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0C0B6343-544F-4CED-B74E-B2B5A62AFBB4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31" r:id="rId14"/>
    <sheet name="ON Data" sheetId="432" state="hidden" r:id="rId15"/>
    <sheet name="ZV Vykáz.-A" sheetId="344" r:id="rId16"/>
    <sheet name="ZV Vykáz.-A Lékaři" sheetId="429" r:id="rId17"/>
    <sheet name="ZV Vykáz.-A Detail" sheetId="345" r:id="rId18"/>
    <sheet name="ZV Vykáz.-A Det.Lék." sheetId="430" r:id="rId19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8" hidden="1">'ZV Vykáz.-A Det.Lék.'!$A$5:$S$5</definedName>
    <definedName name="_xlnm._FilterDatabase" localSheetId="17" hidden="1">'ZV Vykáz.-A Detail'!$A$5:$R$5</definedName>
    <definedName name="_xlnm._FilterDatabase" localSheetId="16" hidden="1">'ZV Vykáz.-A Lékaři'!$A$4:$A$5</definedName>
    <definedName name="doměsíce">'HI Graf'!$C$11</definedName>
    <definedName name="Obdobi" localSheetId="14">'ON Data'!$B$3:$B$16</definedName>
    <definedName name="Obdobi" localSheetId="13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C17" i="431"/>
  <c r="D12" i="431"/>
  <c r="F18" i="431"/>
  <c r="G13" i="431"/>
  <c r="I19" i="431"/>
  <c r="L12" i="431"/>
  <c r="O13" i="431"/>
  <c r="Q19" i="431"/>
  <c r="P19" i="431"/>
  <c r="C10" i="431"/>
  <c r="C18" i="431"/>
  <c r="D13" i="431"/>
  <c r="D21" i="431"/>
  <c r="E16" i="431"/>
  <c r="F11" i="431"/>
  <c r="F19" i="431"/>
  <c r="G14" i="431"/>
  <c r="H9" i="431"/>
  <c r="H17" i="431"/>
  <c r="I12" i="431"/>
  <c r="I20" i="431"/>
  <c r="J15" i="431"/>
  <c r="K10" i="431"/>
  <c r="K18" i="431"/>
  <c r="L13" i="431"/>
  <c r="L21" i="431"/>
  <c r="M16" i="431"/>
  <c r="N11" i="431"/>
  <c r="N19" i="431"/>
  <c r="O14" i="431"/>
  <c r="P9" i="431"/>
  <c r="P17" i="431"/>
  <c r="Q12" i="431"/>
  <c r="Q20" i="431"/>
  <c r="E9" i="431"/>
  <c r="G15" i="431"/>
  <c r="H10" i="431"/>
  <c r="I13" i="431"/>
  <c r="I21" i="431"/>
  <c r="K11" i="431"/>
  <c r="L14" i="431"/>
  <c r="M9" i="431"/>
  <c r="N12" i="431"/>
  <c r="O15" i="431"/>
  <c r="P10" i="431"/>
  <c r="Q13" i="431"/>
  <c r="N13" i="431"/>
  <c r="C11" i="431"/>
  <c r="C19" i="431"/>
  <c r="D14" i="431"/>
  <c r="E17" i="431"/>
  <c r="F12" i="431"/>
  <c r="F20" i="431"/>
  <c r="H18" i="431"/>
  <c r="J16" i="431"/>
  <c r="K19" i="431"/>
  <c r="M17" i="431"/>
  <c r="N20" i="431"/>
  <c r="P18" i="431"/>
  <c r="C12" i="431"/>
  <c r="C20" i="431"/>
  <c r="D15" i="431"/>
  <c r="E10" i="431"/>
  <c r="E18" i="431"/>
  <c r="F13" i="431"/>
  <c r="F21" i="431"/>
  <c r="G16" i="431"/>
  <c r="H11" i="431"/>
  <c r="H19" i="431"/>
  <c r="I14" i="431"/>
  <c r="J9" i="431"/>
  <c r="J17" i="431"/>
  <c r="K12" i="431"/>
  <c r="K20" i="431"/>
  <c r="L15" i="431"/>
  <c r="M10" i="431"/>
  <c r="M18" i="431"/>
  <c r="Q14" i="431"/>
  <c r="C13" i="431"/>
  <c r="C21" i="431"/>
  <c r="D16" i="431"/>
  <c r="E11" i="431"/>
  <c r="E19" i="431"/>
  <c r="F14" i="431"/>
  <c r="G9" i="431"/>
  <c r="G17" i="431"/>
  <c r="H12" i="431"/>
  <c r="H20" i="431"/>
  <c r="I15" i="431"/>
  <c r="J10" i="431"/>
  <c r="J18" i="431"/>
  <c r="K13" i="431"/>
  <c r="K21" i="431"/>
  <c r="L16" i="431"/>
  <c r="M11" i="431"/>
  <c r="M19" i="431"/>
  <c r="N14" i="431"/>
  <c r="O9" i="431"/>
  <c r="O17" i="431"/>
  <c r="P12" i="431"/>
  <c r="P20" i="431"/>
  <c r="C14" i="431"/>
  <c r="D9" i="431"/>
  <c r="D17" i="431"/>
  <c r="E12" i="431"/>
  <c r="E20" i="431"/>
  <c r="F15" i="431"/>
  <c r="G10" i="431"/>
  <c r="G18" i="431"/>
  <c r="H13" i="431"/>
  <c r="H21" i="431"/>
  <c r="I16" i="431"/>
  <c r="J11" i="431"/>
  <c r="J19" i="431"/>
  <c r="K14" i="431"/>
  <c r="L9" i="431"/>
  <c r="L17" i="431"/>
  <c r="M12" i="431"/>
  <c r="M20" i="431"/>
  <c r="N15" i="431"/>
  <c r="O10" i="431"/>
  <c r="O18" i="431"/>
  <c r="P13" i="431"/>
  <c r="P21" i="431"/>
  <c r="Q16" i="431"/>
  <c r="D20" i="431"/>
  <c r="H16" i="431"/>
  <c r="J14" i="431"/>
  <c r="L20" i="431"/>
  <c r="N18" i="431"/>
  <c r="O21" i="431"/>
  <c r="N21" i="431"/>
  <c r="C15" i="431"/>
  <c r="D10" i="431"/>
  <c r="D18" i="431"/>
  <c r="E13" i="431"/>
  <c r="E21" i="431"/>
  <c r="F16" i="431"/>
  <c r="G11" i="431"/>
  <c r="G19" i="431"/>
  <c r="H14" i="431"/>
  <c r="I9" i="431"/>
  <c r="I17" i="431"/>
  <c r="J12" i="431"/>
  <c r="J20" i="431"/>
  <c r="K15" i="431"/>
  <c r="L10" i="431"/>
  <c r="L18" i="431"/>
  <c r="M13" i="431"/>
  <c r="M21" i="431"/>
  <c r="N16" i="431"/>
  <c r="O11" i="431"/>
  <c r="O19" i="431"/>
  <c r="P14" i="431"/>
  <c r="Q9" i="431"/>
  <c r="Q17" i="431"/>
  <c r="F10" i="431"/>
  <c r="G21" i="431"/>
  <c r="K9" i="431"/>
  <c r="N10" i="431"/>
  <c r="Q11" i="431"/>
  <c r="Q21" i="431"/>
  <c r="P11" i="431"/>
  <c r="Q15" i="431"/>
  <c r="C16" i="431"/>
  <c r="D11" i="431"/>
  <c r="D19" i="431"/>
  <c r="E14" i="431"/>
  <c r="F9" i="431"/>
  <c r="F17" i="431"/>
  <c r="G12" i="431"/>
  <c r="G20" i="431"/>
  <c r="H15" i="431"/>
  <c r="I10" i="431"/>
  <c r="I18" i="431"/>
  <c r="J13" i="431"/>
  <c r="J21" i="431"/>
  <c r="K16" i="431"/>
  <c r="L11" i="431"/>
  <c r="L19" i="431"/>
  <c r="M14" i="431"/>
  <c r="N9" i="431"/>
  <c r="N17" i="431"/>
  <c r="O12" i="431"/>
  <c r="O20" i="431"/>
  <c r="P15" i="431"/>
  <c r="Q10" i="431"/>
  <c r="Q18" i="431"/>
  <c r="E15" i="431"/>
  <c r="I11" i="431"/>
  <c r="K17" i="431"/>
  <c r="M15" i="431"/>
  <c r="P16" i="431"/>
  <c r="O16" i="431"/>
  <c r="S18" i="431" l="1"/>
  <c r="R18" i="431"/>
  <c r="S10" i="431"/>
  <c r="R10" i="431"/>
  <c r="R15" i="431"/>
  <c r="S15" i="431"/>
  <c r="S21" i="431"/>
  <c r="R21" i="431"/>
  <c r="S11" i="431"/>
  <c r="R11" i="431"/>
  <c r="R17" i="431"/>
  <c r="S17" i="431"/>
  <c r="R9" i="431"/>
  <c r="S9" i="431"/>
  <c r="S16" i="431"/>
  <c r="R16" i="431"/>
  <c r="S14" i="431"/>
  <c r="R14" i="431"/>
  <c r="S13" i="431"/>
  <c r="R13" i="431"/>
  <c r="S20" i="431"/>
  <c r="R20" i="431"/>
  <c r="S12" i="431"/>
  <c r="R12" i="431"/>
  <c r="R19" i="431"/>
  <c r="S19" i="431"/>
  <c r="O8" i="431"/>
  <c r="G8" i="431"/>
  <c r="N8" i="431"/>
  <c r="Q8" i="431"/>
  <c r="P8" i="431"/>
  <c r="K8" i="431"/>
  <c r="H8" i="431"/>
  <c r="E8" i="431"/>
  <c r="F8" i="431"/>
  <c r="D8" i="431"/>
  <c r="M8" i="431"/>
  <c r="C8" i="431"/>
  <c r="J8" i="431"/>
  <c r="L8" i="431"/>
  <c r="I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0" i="414" l="1"/>
  <c r="E20" i="414" s="1"/>
  <c r="D19" i="414"/>
  <c r="A24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18" i="414" s="1"/>
  <c r="C11" i="339"/>
  <c r="E19" i="414"/>
  <c r="A20" i="414"/>
  <c r="A19" i="414"/>
  <c r="A18" i="414"/>
  <c r="A9" i="414" l="1"/>
  <c r="A8" i="414"/>
  <c r="A7" i="414"/>
  <c r="A22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B13" i="340" l="1"/>
  <c r="B12" i="340"/>
  <c r="A21" i="414" l="1"/>
  <c r="A17" i="414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G3" i="344"/>
  <c r="C3" i="344"/>
  <c r="B11" i="339"/>
  <c r="J11" i="339" s="1"/>
  <c r="R3" i="344" l="1"/>
  <c r="I11" i="339"/>
  <c r="F11" i="339"/>
  <c r="H11" i="339" l="1"/>
  <c r="G11" i="339"/>
  <c r="A13" i="414"/>
  <c r="A14" i="414"/>
  <c r="A4" i="414"/>
  <c r="A6" i="339" l="1"/>
  <c r="A5" i="339"/>
  <c r="D14" i="414"/>
  <c r="C17" i="414"/>
  <c r="D4" i="414"/>
  <c r="D17" i="414"/>
  <c r="C14" i="414"/>
  <c r="D8" i="414" l="1"/>
  <c r="C13" i="414" l="1"/>
  <c r="C7" i="414"/>
  <c r="E18" i="414" l="1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P3" i="345"/>
  <c r="O3" i="345"/>
  <c r="R3" i="345" s="1"/>
  <c r="L3" i="345"/>
  <c r="Q3" i="345" s="1"/>
  <c r="K3" i="345"/>
  <c r="H3" i="345"/>
  <c r="G3" i="345"/>
  <c r="M3" i="387"/>
  <c r="K3" i="387" s="1"/>
  <c r="L3" i="387"/>
  <c r="J3" i="387"/>
  <c r="I3" i="387"/>
  <c r="G3" i="387"/>
  <c r="F3" i="387"/>
  <c r="N3" i="220"/>
  <c r="L3" i="220" s="1"/>
  <c r="D21" i="414"/>
  <c r="C21" i="414"/>
  <c r="H3" i="387" l="1"/>
  <c r="I12" i="339"/>
  <c r="I13" i="339" s="1"/>
  <c r="F13" i="339"/>
  <c r="E13" i="339"/>
  <c r="E15" i="339" s="1"/>
  <c r="H12" i="339"/>
  <c r="G12" i="339"/>
  <c r="A4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6" i="414"/>
  <c r="C4" i="414"/>
  <c r="H13" i="339" l="1"/>
  <c r="G15" i="339"/>
  <c r="H15" i="339"/>
  <c r="J13" i="339"/>
  <c r="B15" i="339"/>
  <c r="E14" i="414"/>
  <c r="E4" i="414"/>
  <c r="C6" i="340"/>
  <c r="D6" i="340" s="1"/>
  <c r="B4" i="340"/>
  <c r="G13" i="339"/>
  <c r="C4" i="340" l="1"/>
  <c r="E17" i="414"/>
  <c r="E21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<sst xmlns="http://schemas.openxmlformats.org/spreadsheetml/2006/main" count="9049" uniqueCount="1958">
  <si>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</si>
  <si>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</si>
  <si>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</si>
  <si>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</si>
  <si>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</si>
  <si>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</si>
  <si>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</si>
  <si>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</si>
  <si>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</si>
  <si>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</si>
  <si>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</si>
  <si>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</si>
  <si>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</si>
  <si>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</si>
  <si>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</si>
  <si>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</si>
  <si>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</si>
  <si>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</si>
  <si>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</si>
  <si>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</si>
  <si>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</si>
  <si>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</si>
  <si>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</si>
  <si>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</si>
  <si>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</si>
  <si>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</si>
  <si>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</si>
  <si>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</si>
  <si>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</si>
  <si>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</si>
  <si>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</si>
  <si>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</si>
  <si>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</si>
  <si>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</si>
  <si>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</si>
  <si>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</si>
  <si>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</si>
  <si>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</si>
  <si>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</si>
  <si>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</si>
  <si>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</si>
  <si>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</si>
  <si>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</si>
  <si>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</si>
  <si>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</si>
  <si>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</si>
  <si>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</si>
  <si>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</si>
  <si>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</si>
  <si>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</si>
  <si>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</si>
  <si>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</si>
  <si>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</si>
  <si>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</si>
  <si>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</si>
  <si>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</si>
  <si>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</si>
  <si>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</si>
  <si>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</si>
  <si>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</si>
  <si>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</si>
  <si>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</si>
  <si>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</si>
  <si>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</si>
  <si>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</si>
  <si>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</si>
  <si>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</si>
  <si>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</si>
  <si>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</si>
  <si>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</si>
  <si>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</si>
  <si>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</si>
  <si>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</si>
  <si>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</si>
  <si>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</si>
  <si>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</si>
  <si>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</si>
  <si>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</si>
  <si>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</si>
  <si>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</si>
  <si>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</si>
  <si>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</si>
  <si>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</si>
  <si>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</si>
  <si>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</si>
  <si>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</si>
  <si>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</si>
  <si>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</si>
  <si>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</si>
  <si>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</si>
  <si>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</si>
  <si>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</si>
  <si>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</si>
  <si>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</si>
  <si>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</si>
  <si>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</si>
  <si>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</si>
  <si>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</si>
  <si>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</si>
  <si>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</si>
  <si>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</si>
  <si>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</si>
  <si>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</si>
  <si>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</si>
  <si>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</si>
  <si>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</si>
  <si>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</si>
  <si>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</si>
  <si>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</si>
  <si>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</si>
  <si>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</si>
  <si>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</si>
  <si>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</si>
  <si>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</si>
  <si>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</si>
  <si>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</si>
  <si>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</si>
  <si>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</si>
  <si>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</si>
  <si>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</si>
  <si>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</si>
  <si>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</si>
  <si>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</si>
  <si>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</si>
  <si>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</si>
  <si>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</si>
  <si>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</si>
  <si>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</si>
  <si>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</si>
  <si>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</si>
  <si>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</si>
  <si>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</si>
  <si>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</si>
  <si>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</si>
  <si>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</si>
  <si>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</si>
  <si>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</si>
  <si>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</si>
  <si>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</si>
  <si>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</si>
  <si>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</si>
  <si>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</si>
  <si>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</si>
  <si>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</si>
  <si>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</si>
  <si>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</si>
  <si>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</si>
  <si>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</si>
  <si>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</si>
  <si>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</si>
  <si>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</si>
  <si>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</si>
  <si>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</si>
  <si>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</si>
  <si>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</si>
  <si>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</si>
  <si>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</si>
  <si>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</si>
  <si>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</si>
  <si>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</si>
  <si>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</si>
  <si>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</si>
  <si>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</si>
  <si>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</si>
  <si>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</si>
  <si>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</si>
  <si>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</si>
  <si>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</si>
  <si>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</si>
  <si>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</si>
  <si>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</si>
  <si>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</si>
  <si>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</si>
  <si>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</si>
  <si>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</si>
  <si>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</si>
  <si>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</si>
  <si>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</si>
  <si>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</si>
  <si>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</si>
  <si>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</si>
  <si>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</si>
  <si>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</si>
  <si>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</si>
  <si>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</si>
  <si>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</si>
  <si>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</si>
  <si>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</si>
  <si>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</si>
  <si>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</si>
  <si>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</si>
  <si>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</si>
  <si>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</si>
  <si>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</si>
  <si>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</si>
  <si>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</si>
  <si>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</si>
  <si>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</si>
  <si>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</si>
  <si>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</si>
  <si>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</si>
  <si>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</si>
  <si>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</si>
  <si>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</si>
  <si>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</si>
  <si>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</si>
  <si>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</si>
  <si>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</si>
  <si>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</si>
  <si>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</si>
  <si>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</si>
  <si>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</si>
  <si>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</si>
  <si>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</si>
  <si>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</si>
  <si>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</si>
  <si>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</si>
  <si>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</si>
  <si>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</si>
  <si>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</si>
  <si>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</si>
  <si>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</si>
  <si>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</si>
  <si>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</si>
  <si>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</si>
  <si>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</si>
  <si>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</si>
  <si>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</si>
  <si>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</si>
  <si>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</si>
  <si>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</si>
  <si>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Rozp. 2019            CELKEM</t>
  </si>
  <si>
    <t>Skut. 2019 CELKEM</t>
  </si>
  <si>
    <t>ROZDÍL  Skut. - Rozp. 2019</t>
  </si>
  <si>
    <t>% plnění rozp.2019</t>
  </si>
  <si>
    <t>Rozp.rok 2020</t>
  </si>
  <si>
    <t>Sk.v tis 2020</t>
  </si>
  <si>
    <t>ROZDÍL (Sk.do data - Rozp.do data 2020)</t>
  </si>
  <si>
    <t>% plnění (Skut.do data/Rozp.rok 2020)</t>
  </si>
  <si>
    <t>Rozdíl 2018</t>
  </si>
  <si>
    <t>Plnění 2018</t>
  </si>
  <si>
    <t>% 2018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</si>
  <si>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Klinika zubního lékařství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</si>
  <si>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</si>
  <si>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</si>
  <si>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</si>
  <si>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</si>
  <si>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</si>
  <si>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</si>
  <si>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</si>
  <si>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</si>
  <si>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</si>
  <si>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50113013     Léky - antibiotika (LEK)</t>
  </si>
  <si>
    <t xml:space="preserve">                    50113190     Léky - medicinální plyny (sklad SVM)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</si>
  <si>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</si>
  <si>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</si>
  <si>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</si>
  <si>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</si>
  <si>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</si>
  <si>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50115064     ZPr - šicí materiál (Z529)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</si>
  <si>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</si>
  <si>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</si>
  <si>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50115079     ZPr - internzivní péče (Z542)</t>
  </si>
  <si>
    <t xml:space="preserve">                    50115090     ZPr - zubolékařský materiál (Z509)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</si>
  <si>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</si>
  <si>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</si>
  <si>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</si>
  <si>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</si>
  <si>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</si>
  <si>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</si>
  <si>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50117007     Údržbový materiál ostatní - sklady (sk.T17)</t>
  </si>
  <si>
    <t xml:space="preserve">                    50117009     Spotřební materiál k ZPr. (sk.V21)</t>
  </si>
  <si>
    <t xml:space="preserve">                    50117011     Obalový mat. pro sterilizaci (sk.V20)</t>
  </si>
  <si>
    <t xml:space="preserve">                    50117015     IT - spotřební materiál (sk. P37, 38, 48)</t>
  </si>
  <si>
    <t xml:space="preserve">                    50117020     Všeob.mat. - nábytek (V30) do 1tis.</t>
  </si>
  <si>
    <t xml:space="preserve">                    50117021     Všeob.mat. - hosp.přístr.a nářadí (V32) od 1tis do 2999,99</t>
  </si>
  <si>
    <t xml:space="preserve">                    50117022     Všeob.mat. - kuchyň tech. (V33) od 1tis do 2999,99</t>
  </si>
  <si>
    <t xml:space="preserve">                    50117023     Všeob.mat. - kancel.tech. (V34) od 1tis do 2999,99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</si>
  <si>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</si>
  <si>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</si>
  <si>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50118002     ND - zdravot.techn.(sklad) (sk.Z39)</t>
  </si>
  <si>
    <t xml:space="preserve">                    50118003     ND - ostatní techn.(OSBTK, vč.metrologa)</t>
  </si>
  <si>
    <t xml:space="preserve">                    50118004     ND - zdravotní techn. (OSBTK, vč.metrologa)</t>
  </si>
  <si>
    <t xml:space="preserve">                    50118005     ND - výpoč. techn.(sklad) (sk.P47)</t>
  </si>
  <si>
    <t xml:space="preserve">                    50118006     ND - ZVIT (sk.B63)</t>
  </si>
  <si>
    <t xml:space="preserve">                    50118009     ND - ostatní technika (UTZ)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</si>
  <si>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</si>
  <si>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</si>
  <si>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50119090     OOPP pro pacienty a doprovod (sk.T11)</t>
  </si>
  <si>
    <t xml:space="preserve">                    50119092     Pokojový textil (sk. T15)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</si>
  <si>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</si>
  <si>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</si>
  <si>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</si>
  <si>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</si>
  <si>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</si>
  <si>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</si>
  <si>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          50119078     OOPP a prádlo pro zaměstnance COVID19 - ochranné pláště (sk.T14A)</t>
  </si>
  <si>
    <t xml:space="preserve">                    50119079     OOPP a prádlo pro zaměstnance COVID19 - ochranné brýle (sk.T14B)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</si>
  <si>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</si>
  <si>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</si>
  <si>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</si>
  <si>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</si>
  <si>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</si>
  <si>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               50210075     Plyn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</si>
  <si>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</si>
  <si>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</si>
  <si>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</si>
  <si>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</si>
  <si>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</si>
  <si>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</si>
  <si>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</si>
  <si>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51102032     Opravy zdravotnické techniky - UTZ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</si>
  <si>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</si>
  <si>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</si>
  <si>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</si>
  <si>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</si>
  <si>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</si>
  <si>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</si>
  <si>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</si>
  <si>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</si>
  <si>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</si>
  <si>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</si>
  <si>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</si>
  <si>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     51804005     Náj. plynových lahví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</si>
  <si>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</si>
  <si>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</si>
  <si>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</si>
  <si>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51806004     Popl. za DDD a ostatní služby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</si>
  <si>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</si>
  <si>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</si>
  <si>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</si>
  <si>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51808007     Revize, sml.servis - energetik</t>
  </si>
  <si>
    <t xml:space="preserve">                    51808008     Revize, tech.kontroly, prev.prohl.- OSBTK</t>
  </si>
  <si>
    <t xml:space="preserve">                    51808009     Revize, sml.servis PO - OBKR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</si>
  <si>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</si>
  <si>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</si>
  <si>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51808020     Smluvní servis - UTZ</t>
  </si>
  <si>
    <t xml:space="preserve">                    51808021     Revize, tech.kontroly, prev.prohl.- UTZ</t>
  </si>
  <si>
    <t xml:space="preserve">               51809     Náklady za poplatky na bankovní služby</t>
  </si>
  <si>
    <t xml:space="preserve">                    51809001     Poplatky za vedení účtu</t>
  </si>
  <si>
    <t xml:space="preserve">               51874     Ostatní služby</t>
  </si>
  <si>
    <t xml:space="preserve">                    51874010     Ostatní služby - zdravotní</t>
  </si>
  <si>
    <t xml:space="preserve">                    51874011     Zkoušky kvality</t>
  </si>
  <si>
    <t xml:space="preserve">                    51874018     Propagace, reklama, tisk (TM)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</si>
  <si>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</si>
  <si>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</si>
  <si>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</si>
  <si>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</si>
  <si>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</si>
  <si>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</si>
  <si>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</si>
  <si>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</si>
  <si>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</si>
  <si>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</si>
  <si>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</si>
  <si>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</si>
  <si>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</si>
  <si>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</si>
  <si>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</si>
  <si>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</si>
  <si>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</si>
  <si>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</si>
  <si>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</si>
  <si>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</si>
  <si>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</si>
  <si>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</si>
  <si>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</si>
  <si>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</si>
  <si>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</si>
  <si>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</si>
  <si>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</si>
  <si>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     54910010     Školení - nezdrav.pracov.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</si>
  <si>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</si>
  <si>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</si>
  <si>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</si>
  <si>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</si>
  <si>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</si>
  <si>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</si>
  <si>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</si>
  <si>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     55120     ZC vyřazeného DM</t>
  </si>
  <si>
    <t xml:space="preserve">                    55120004     ZC DHM - zdravot.techn. z odpisů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</si>
  <si>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</si>
  <si>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</si>
  <si>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</si>
  <si>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55802     DDHM - provozní</t>
  </si>
  <si>
    <t xml:space="preserve">                    55802001     DDHM - kuchyňské zařízení a nádobí (sk.V_26)</t>
  </si>
  <si>
    <t xml:space="preserve">                    55802002     DDHM - ostatní provozní technika (sk.V_35)</t>
  </si>
  <si>
    <t xml:space="preserve">                    55802003     DDHM - kacelářská technika (sk.V_37)</t>
  </si>
  <si>
    <t xml:space="preserve">               55805     DDHM - inventář</t>
  </si>
  <si>
    <t xml:space="preserve">                    55805001     DDHM - ostatní (sk.T_19)</t>
  </si>
  <si>
    <t xml:space="preserve">                    55805002     DDHM - nábytek (sk.V_31)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</si>
  <si>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</si>
  <si>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</si>
  <si>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</si>
  <si>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</si>
  <si>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</si>
  <si>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60210323     Zdr.služby - státní orgány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</si>
  <si>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</si>
  <si>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</si>
  <si>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</si>
  <si>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</si>
  <si>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</si>
  <si>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60241     Odmítnutí vykázané péče     OZPI</t>
  </si>
  <si>
    <t xml:space="preserve">                    60241201     Odmítnutí vykázané péče, receptů, poukázek PZt, Tr - ZP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</si>
  <si>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</si>
  <si>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</si>
  <si>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</si>
  <si>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</si>
  <si>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</si>
  <si>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</si>
  <si>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</si>
  <si>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64924     Ostatní služby - mimo zdrav.výkony  FAKTURACE</t>
  </si>
  <si>
    <t xml:space="preserve">                    64924442     Telekom.služby, soukr. hovory</t>
  </si>
  <si>
    <t xml:space="preserve">                    64924459     Školení, stáže, odb. semináře, konference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</si>
  <si>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</si>
  <si>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</si>
  <si>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</si>
  <si>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</si>
  <si>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</si>
  <si>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</si>
  <si>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</si>
  <si>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79903     VPN - doprava</t>
  </si>
  <si>
    <t xml:space="preserve">                    79903001     Doprava - sanitní</t>
  </si>
  <si>
    <t xml:space="preserve">                    79903002     Doprava - osobní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</si>
  <si>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</si>
  <si>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</si>
  <si>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</si>
  <si>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79906     VPN - prádelna</t>
  </si>
  <si>
    <t xml:space="preserve">                    79906000     Praní prádla</t>
  </si>
  <si>
    <t xml:space="preserve">               79907     VPN - sklad</t>
  </si>
  <si>
    <t xml:space="preserve">                    79907002     Tisk tiskopisů</t>
  </si>
  <si>
    <t xml:space="preserve">               79910     VPN - informační technologie</t>
  </si>
  <si>
    <t xml:space="preserve">                    79910001     Výkony IT</t>
  </si>
  <si>
    <t xml:space="preserve">               79920     VPN - mezistřediskové převody</t>
  </si>
  <si>
    <t xml:space="preserve">                    79920001     Agregované výkony</t>
  </si>
  <si>
    <t xml:space="preserve">               79950     VPN - správní režie</t>
  </si>
  <si>
    <t xml:space="preserve">                    79950001     Rozúčtování režie HTS</t>
  </si>
  <si>
    <t>24</t>
  </si>
  <si>
    <t>ZUBNI: Klinika zubního lékařství</t>
  </si>
  <si>
    <t>50113001 - léky - paušál (LEK)</t>
  </si>
  <si>
    <t>50113013 - léky - antibiotika (LEK)</t>
  </si>
  <si>
    <t>50113190 - léky - medicinální plyny (sklad SVM)</t>
  </si>
  <si>
    <t>ZUBNI: Klinika zubního lékařství Celkem</t>
  </si>
  <si>
    <t>SumaKL</t>
  </si>
  <si>
    <t>2421</t>
  </si>
  <si>
    <t xml:space="preserve">ZUBNI: ambulance </t>
  </si>
  <si>
    <t>ZUBNI: ambulance  Celkem</t>
  </si>
  <si>
    <t>SumaNS</t>
  </si>
  <si>
    <t>mezeraNS</t>
  </si>
  <si>
    <t>léky - paušál (LEK)</t>
  </si>
  <si>
    <t>O</t>
  </si>
  <si>
    <t>0.9% W/V SODIUM CHLORIDE I.V.</t>
  </si>
  <si>
    <t>INJ 20X10ML</t>
  </si>
  <si>
    <t>ADRENALIN LECIVA</t>
  </si>
  <si>
    <t>INJ 5X1ML/1MG</t>
  </si>
  <si>
    <t>APAURIN</t>
  </si>
  <si>
    <t>INJ 10X2ML/10MG</t>
  </si>
  <si>
    <t>AQUA PRO INJECTIONE BRAUN</t>
  </si>
  <si>
    <t>INJ SOL 20X10ML-PLA</t>
  </si>
  <si>
    <t>ARDEANUTRISOL G 40</t>
  </si>
  <si>
    <t>400G/L INF SOL 20X80ML</t>
  </si>
  <si>
    <t>ATROPIN BIOTIKA 1MG</t>
  </si>
  <si>
    <t>INJ 10X1ML/1MG</t>
  </si>
  <si>
    <t>AULIN</t>
  </si>
  <si>
    <t>POR GRA SOL30SÁČKŮ</t>
  </si>
  <si>
    <t>GRA 15X100MG(SACKY)</t>
  </si>
  <si>
    <t>BUPIVACAINE GRINDEKS</t>
  </si>
  <si>
    <t>5MG/ML INJ SOL 5X10ML</t>
  </si>
  <si>
    <t>CARBOSORB</t>
  </si>
  <si>
    <t>320MG TBL NOB 20</t>
  </si>
  <si>
    <t>DEGAN</t>
  </si>
  <si>
    <t>TBL 40X10MG</t>
  </si>
  <si>
    <t>DIAZEPAM SLOVAKOFARMA</t>
  </si>
  <si>
    <t>5MG TBL NOB 20(1X20)</t>
  </si>
  <si>
    <t>DOLMINA INJ.</t>
  </si>
  <si>
    <t>INJ 5X3ML/75MG</t>
  </si>
  <si>
    <t>DZ TRIXO LIND 500ML</t>
  </si>
  <si>
    <t>ECOLAV Výplach očí 100ml</t>
  </si>
  <si>
    <t>100 ml</t>
  </si>
  <si>
    <t>ELMEX GELEE</t>
  </si>
  <si>
    <t>STM GEL 1X25GM</t>
  </si>
  <si>
    <t>CHLORID SODNÝ 0,9% BRAUN</t>
  </si>
  <si>
    <t>INF SOL 10X250MLPELAH</t>
  </si>
  <si>
    <t>INF SOL 10X500MLPELAH</t>
  </si>
  <si>
    <t>INF SOL 10X1000MLPLAH</t>
  </si>
  <si>
    <t>IBALGIN 400</t>
  </si>
  <si>
    <t>400MG TBL FLM 36</t>
  </si>
  <si>
    <t>400MG TBL FLM 24</t>
  </si>
  <si>
    <t>INFADOLAN</t>
  </si>
  <si>
    <t>1600IU/G+300IU/G UNG 30G II</t>
  </si>
  <si>
    <t>IR  AQUA STERILE OPLACH.1x1000 ml ECOTAINER</t>
  </si>
  <si>
    <t>IR OPLACH</t>
  </si>
  <si>
    <t>KAMISTAD SENZITIV</t>
  </si>
  <si>
    <t>ORM GEL 1X10GM</t>
  </si>
  <si>
    <t>KL BENZINUM 500 ml/330g HVLP</t>
  </si>
  <si>
    <t>KL BENZINUM 900ml/ 600g</t>
  </si>
  <si>
    <t>KL ETHANOL.C.BENZINO 100g ROZPRAŠOVAČ</t>
  </si>
  <si>
    <t>KL ETHANOL.C.BENZINO 10G</t>
  </si>
  <si>
    <t>KL ETHANOL.C.BENZINO 75G</t>
  </si>
  <si>
    <t>KL ETHANOLUM BENZ.DENAT. 500ml  /400g/</t>
  </si>
  <si>
    <t>KL ETHANOLUM BENZ.DENAT. 900ml /720g/</t>
  </si>
  <si>
    <t>KL ETHANOLUM BENZ.DENAT. SPRAY 100g</t>
  </si>
  <si>
    <t>KL CHLORHEXIDINI SOL. 0,1% 1000ml</t>
  </si>
  <si>
    <t>KL CHLORHEXIDINI SOL. 0,1% 200g</t>
  </si>
  <si>
    <t>v sirokohrdle lahvi</t>
  </si>
  <si>
    <t>KL CHLORHEXIDINI SOL. 0,1% 300 g</t>
  </si>
  <si>
    <t>KL CHLORHEXIDINI SOL. 0,2% 200 g</t>
  </si>
  <si>
    <t>KL CHLORNAN SODNÝ 1% 100g v sirokohrdle lahvi</t>
  </si>
  <si>
    <t>KL CHLORNAN SODNÝ 1% 300g v sirokohrdle lahvi</t>
  </si>
  <si>
    <t>KL JODOVY OLEJ 10G</t>
  </si>
  <si>
    <t>KL PRIPRAVEK</t>
  </si>
  <si>
    <t>KL ROZTOK</t>
  </si>
  <si>
    <t>KL SIGNATURY</t>
  </si>
  <si>
    <t>KL SOL.ARG.NITR.10% 10G</t>
  </si>
  <si>
    <t>KL SOL.HYD.PEROX.3% 100G v sirokohrdle lahvi</t>
  </si>
  <si>
    <t>KL SOL.HYD.PEROX.3% 10G</t>
  </si>
  <si>
    <t>KL SOL.HYD.PEROX.3% 200G v sirokohrdle lahvi</t>
  </si>
  <si>
    <t>KL SOL.HYD.PEROX.3% 300 G</t>
  </si>
  <si>
    <t>KL SOL.HYD.PEROX.3% 300G v sirokohrdle lahvi</t>
  </si>
  <si>
    <t>KL SOL.METHYLROS.CHL.1% 10G</t>
  </si>
  <si>
    <t>KL SOL.PHENOLI CAMPHOR. 10g</t>
  </si>
  <si>
    <t>KL SOL.ZINCI CHLOR.10% 10 g</t>
  </si>
  <si>
    <t>KL SOL.ZINCI CHLOR.10% 5G</t>
  </si>
  <si>
    <t>KL UNGUENTUM</t>
  </si>
  <si>
    <t>KL VASELINUM ALBUM, 20G</t>
  </si>
  <si>
    <t>KL VASELINUM ALBUM, 50G</t>
  </si>
  <si>
    <t>LIDOCAIN EGIS 10 %</t>
  </si>
  <si>
    <t>DRM SPR SOL 1X38GM</t>
  </si>
  <si>
    <t>MAGNESIUM SULFATE KALCEKS</t>
  </si>
  <si>
    <t>100MG/ML INJ/INF SOL 5X10ML</t>
  </si>
  <si>
    <t>200MG/ML INJ/INF SOL 5X10ML</t>
  </si>
  <si>
    <t>MAGNESIUM SULFURICUM BBP 10%</t>
  </si>
  <si>
    <t>INJ 5X10ML 10%</t>
  </si>
  <si>
    <t>MAGNESIUM SULFURICUM BBP 20%</t>
  </si>
  <si>
    <t>200MG/ML INJ SOL 5X10ML</t>
  </si>
  <si>
    <t>MAGNOSOLV</t>
  </si>
  <si>
    <t>365MG POR GRA SOL SCC 30</t>
  </si>
  <si>
    <t>MESOCAIN</t>
  </si>
  <si>
    <t>INJ 10X10ML 1%</t>
  </si>
  <si>
    <t>NIMESIL</t>
  </si>
  <si>
    <t>PORGRASUS30X100MG-S</t>
  </si>
  <si>
    <t>OPHTHALMO-SEPTONEX</t>
  </si>
  <si>
    <t>OPH GTT SOL 1X10ML PLAST</t>
  </si>
  <si>
    <t>OXAZEPAM TBL.20X10MG</t>
  </si>
  <si>
    <t>TBL 20X10MG(BLISTR)</t>
  </si>
  <si>
    <t>PARALEN 500</t>
  </si>
  <si>
    <t>POR TBL NOB 24X500MG</t>
  </si>
  <si>
    <t>SEPTANEST S ADRENALINEM 1:200 000</t>
  </si>
  <si>
    <t>40MG/ML+5MCG/ML INJ SOL 50X1,7ML+BLISTR</t>
  </si>
  <si>
    <t>SOLCOSERYL (orální pasta)</t>
  </si>
  <si>
    <t>2,125MG/G+10MG/G ORM PST 1X5G</t>
  </si>
  <si>
    <t>SUPRACAIN 4%</t>
  </si>
  <si>
    <t>INJ 10X2ML</t>
  </si>
  <si>
    <t>TANTUM VERDE</t>
  </si>
  <si>
    <t>1,5MG/ML GGR 240 ML</t>
  </si>
  <si>
    <t>P</t>
  </si>
  <si>
    <t>VENTOLIN INHALER N</t>
  </si>
  <si>
    <t>100MCG/DÁV INH SUS PSS 200DÁV</t>
  </si>
  <si>
    <t>VITAMIN B12 LECIVA 1000RG</t>
  </si>
  <si>
    <t>INJ 5X1ML/1000RG</t>
  </si>
  <si>
    <t>ZODAC</t>
  </si>
  <si>
    <t>TBL OBD 30X10MG</t>
  </si>
  <si>
    <t>léky - antibiotika (LEK)</t>
  </si>
  <si>
    <t>AMOKSIKLAV 1 G</t>
  </si>
  <si>
    <t>POR TBL FLM 21X1GM</t>
  </si>
  <si>
    <t>AMOKSIKLAV 1G</t>
  </si>
  <si>
    <t>TBL OBD 14X1GM</t>
  </si>
  <si>
    <t>DALACIN C 300 MG</t>
  </si>
  <si>
    <t>POR CPS DUR 16X300MG</t>
  </si>
  <si>
    <t>2421 - ZUBNI: ambulance</t>
  </si>
  <si>
    <t>R03AC02 - SALBUTAMOL</t>
  </si>
  <si>
    <t>R06AE07 - CETIRIZIN</t>
  </si>
  <si>
    <t>J01CR02 - AMOXICILIN A  INHIBITOR BETA-LAKTAMASY</t>
  </si>
  <si>
    <t>J01CR02</t>
  </si>
  <si>
    <t>5951</t>
  </si>
  <si>
    <t>875MG/125MG TBL FLM 14</t>
  </si>
  <si>
    <t>R03AC02</t>
  </si>
  <si>
    <t>231956</t>
  </si>
  <si>
    <t>R06AE07</t>
  </si>
  <si>
    <t>66030</t>
  </si>
  <si>
    <t>10MG TBL FLM 30</t>
  </si>
  <si>
    <t>Přehled plnění pozitivního listu - spotřeba léčivých přípravků - orientační přehled</t>
  </si>
  <si>
    <t>24 - ZUBNI: Klinika zubního lékařství</t>
  </si>
  <si>
    <t xml:space="preserve">2421 - ZUBNI: ambulance 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</si>
  <si>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</si>
  <si>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</si>
  <si>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</si>
  <si>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</si>
  <si>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50115064 - ZPr - šicí materiál (Z529)</t>
  </si>
  <si>
    <t>50115065 - ZPr - vpichovací materiál (Z530)</t>
  </si>
  <si>
    <t>50115067 - ZPr - rukavice (Z532)</t>
  </si>
  <si>
    <t>50115079 - ZPr - internzivní péče (Z542)</t>
  </si>
  <si>
    <t>50115090 - ZPr - zubolékařský materiál (Z509)</t>
  </si>
  <si>
    <t>50115050</t>
  </si>
  <si>
    <t>obvazový materiál (Z502)</t>
  </si>
  <si>
    <t>ZA616</t>
  </si>
  <si>
    <t>DrenĂˇĹľ zubnĂ­ sterilnĂ­ 1 x 6 cm 0360</t>
  </si>
  <si>
    <t>ZA603</t>
  </si>
  <si>
    <t>Kompresa gĂˇza 7,5 x 7,5 cm/2 ks sterilnĂ­ karton Ăˇ 1000 ks 26005</t>
  </si>
  <si>
    <t>ZD740</t>
  </si>
  <si>
    <t>Kompresa gĂˇza sterilkompres 7,5 x 7,5 cm/5 ks, 100% bavlna, sterilnĂ­ 1325019265(1230119225)</t>
  </si>
  <si>
    <t>ZC506</t>
  </si>
  <si>
    <t>Kompresa NT 10 x 10 cm/5 ks sterilnĂ­ 1325020275</t>
  </si>
  <si>
    <t>ZN200</t>
  </si>
  <si>
    <t>KrytĂ­ hemostatickĂ© traumacel new dent kostky bal. Ăˇ 50 ks 10115</t>
  </si>
  <si>
    <t>ZA562</t>
  </si>
  <si>
    <t>NĂˇplast cosmopor i. v. 6 x 8 cm bal. Ăˇ 50 ks 9008054</t>
  </si>
  <si>
    <t>ZB404</t>
  </si>
  <si>
    <t>NĂˇplast cosmos 8 cm x 1 m 5403353</t>
  </si>
  <si>
    <t>ZI599</t>
  </si>
  <si>
    <t>NĂˇplast curapor 10 x   8 cm 32913 ( 22121,  nĂˇhrada za cosmopor )</t>
  </si>
  <si>
    <t>ZD111</t>
  </si>
  <si>
    <t>NĂˇplast omnifix E 5 cm x 10 m 9006493</t>
  </si>
  <si>
    <t>ZA451</t>
  </si>
  <si>
    <t>NĂˇplast omniplast 5,0 cm x 9,2 m 9004540 (900429)</t>
  </si>
  <si>
    <t>ZN366</t>
  </si>
  <si>
    <t>NĂˇplast poinjekÄŤnĂ­ elastickĂˇ tkanĂˇ jednotl. baleno 19 mm x 72 mm P-CURE1972ELAST</t>
  </si>
  <si>
    <t>ZN475</t>
  </si>
  <si>
    <t>Obinadlo elastickĂ© universal   8 cm x 5 m 1323100312</t>
  </si>
  <si>
    <t>ZL995</t>
  </si>
  <si>
    <t>Obinadlo hyrofilnĂ­ sterilnĂ­  6 cm x 5 m  004310190</t>
  </si>
  <si>
    <t>ZL997</t>
  </si>
  <si>
    <t>Obinadlo hyrofilnĂ­ sterilnĂ­ 10 cm x 5 m  004310174</t>
  </si>
  <si>
    <t>ZG538</t>
  </si>
  <si>
    <t>Obvaz ran po chir. zĂˇkrocĂ­ch COE PACK 530315</t>
  </si>
  <si>
    <t>ZL789</t>
  </si>
  <si>
    <t>Obvaz sterilnĂ­ hotovĂ˝ ÄŤ. 2 A4091360</t>
  </si>
  <si>
    <t>ZA604</t>
  </si>
  <si>
    <t>TyÄŤinka vatovĂˇ sterilnĂ­ jednotlivÄ› balalenĂˇ bal. Ăˇ 1000 ks 5100/SG/CS</t>
  </si>
  <si>
    <t>ZQ569</t>
  </si>
  <si>
    <t>Vata buniÄŤitĂˇ dÄ›lenĂˇ cellin 2 role / 500 ks 40 x 50 mm 1230206310</t>
  </si>
  <si>
    <t>ZA446</t>
  </si>
  <si>
    <t>Vata buniÄŤitĂˇ pĹ™Ă­Ĺ™ezy 20 x 30 cm 1230200129</t>
  </si>
  <si>
    <t>ZM000</t>
  </si>
  <si>
    <t>Vata obvazovĂˇ sklĂˇdanĂˇ 50 g 1102323</t>
  </si>
  <si>
    <t>50115060</t>
  </si>
  <si>
    <t>ZPr - ostatní (Z503)</t>
  </si>
  <si>
    <t>ZD131</t>
  </si>
  <si>
    <t>ÄŚepelka skalpelovĂˇ 12 BB512</t>
  </si>
  <si>
    <t>ZC752</t>
  </si>
  <si>
    <t>ÄŚepelka skalpelovĂˇ 15 BB515</t>
  </si>
  <si>
    <t>ZK979</t>
  </si>
  <si>
    <t>CĂ©vka odsĂˇvacĂ­ CH18 s pĹ™eruĹˇovaÄŤem sĂˇnĂ­, dĂ©lka 50 cm, P01177a</t>
  </si>
  <si>
    <t>ZN249</t>
  </si>
  <si>
    <t>DrĹľĂˇk skalpelovĂ˝ch ÄŤepelek ÄŤ. 3 PL87-103</t>
  </si>
  <si>
    <t>ZS008</t>
  </si>
  <si>
    <t>DrĹľĂˇtko skalpelovĂ˝ch ÄŤepelek ÄŤ.3 B39711291003</t>
  </si>
  <si>
    <t>ZA708</t>
  </si>
  <si>
    <t>HadiÄŤka spojovacĂ­ Gamaplus HY 3,0 x 150LL 606371</t>
  </si>
  <si>
    <t>ZA728</t>
  </si>
  <si>
    <t>Lopatka ĂşstnĂ­ dĹ™evÄ›nĂˇ lĂ©kaĹ™skĂˇ nesterilnĂ­ bal. Ăˇ 100 ks 1320100655</t>
  </si>
  <si>
    <t>ZF549</t>
  </si>
  <si>
    <t>NĂˇĂşstek s filtrem vĂ˝mÄ›nnĂ˝ k plynu Entonox 1043178 (ref.828-0002)</t>
  </si>
  <si>
    <t>ZH808</t>
  </si>
  <si>
    <t>NĂˇdoba na histologickĂ˝ mat. s pufrovanĂ˝m formalĂ­nem HISTOFOR 20 ml bal. Ăˇ 100 ks BFS-20</t>
  </si>
  <si>
    <t>ZF159</t>
  </si>
  <si>
    <t>NĂˇdoba na kontaminovanĂ˝ odpad 1 l 15-0002</t>
  </si>
  <si>
    <t>NĂˇdoba na kontaminovanĂ˝ odpad 1 l 15-0002/2</t>
  </si>
  <si>
    <t>ZE159</t>
  </si>
  <si>
    <t>NĂˇdoba na kontaminovanĂ˝ odpad 2 l 15-0003</t>
  </si>
  <si>
    <t>ZM705</t>
  </si>
  <si>
    <t>Pinzeta zubnĂ­ s rĂ˝hovanou ÄŤelistĂ­ lomenĂˇ 157 mm 397114500021</t>
  </si>
  <si>
    <t>ZS089</t>
  </si>
  <si>
    <t>Sonda Nabersova 172 mm 397133580230</t>
  </si>
  <si>
    <t>ZB923</t>
  </si>
  <si>
    <t>Sonda parodontologickĂˇ 133500106</t>
  </si>
  <si>
    <t>ZA787</t>
  </si>
  <si>
    <t>StĹ™Ă­kaÄŤka injekÄŤnĂ­ 2-dĂ­lnĂˇ 10 ml L Inject Solo 4606108V</t>
  </si>
  <si>
    <t>ZR395</t>
  </si>
  <si>
    <t>StĹ™Ă­kaÄŤka injekÄŤnĂ­ 2-dĂ­lnĂˇ 2 ml L DISCARDIT LC 300928</t>
  </si>
  <si>
    <t>ZR396</t>
  </si>
  <si>
    <t>StĹ™Ă­kaÄŤka injekÄŤnĂ­ 2-dĂ­lnĂˇ 5 ml L DISCARDIT LE 309050</t>
  </si>
  <si>
    <t>ZA754</t>
  </si>
  <si>
    <t>StĹ™Ă­kaÄŤka injekÄŤnĂ­ 3-dĂ­lnĂˇ 10 ml LL Omnifix Solo se zĂˇvitem 4617100V</t>
  </si>
  <si>
    <t>ZB035</t>
  </si>
  <si>
    <t>Vzduchovod ĂşstnĂ­ ÄŤ. 4 ÄŤervenĂ˝ vel. 10 jednorĂˇzovĂ˝ sterilnĂ­ bal. Ăˇ 25 ks 73.900.00.400</t>
  </si>
  <si>
    <t>ZC705</t>
  </si>
  <si>
    <t>Vzduchovod ĂşstnĂ­ vel. 2 80 mm bal. Ăˇ 10 ks P03050a</t>
  </si>
  <si>
    <t>ZA810</t>
  </si>
  <si>
    <t>Vzduchovod ĂşstnĂ­ vel. 3 90 mm bal. Ăˇ 5 ks P03051a</t>
  </si>
  <si>
    <t>ZS138</t>
  </si>
  <si>
    <t>Zkumavka s mediem +  flokovanĂ˝ tampon eSwab normal -bĂ­lĂ˝ (kit 1 ml tekutĂ©ho Amies mĂ©dia) 220245</t>
  </si>
  <si>
    <t>ZI179</t>
  </si>
  <si>
    <t>Zkumavka s mediem + flovakovanĂ˝ tampon eSwab rĹŻĹľovĂ˝ (nos,krk,vagina,koneÄŤnĂ­k,rĂˇny,fekĂˇlnĂ­ vzo) 490CE.A</t>
  </si>
  <si>
    <t>Zkumavka s mediem+ flovakovanĂ˝ tampon eSwab rĹŻĹľovĂ˝ (nos,krk,vagina,koneÄŤnĂ­k,rĂˇny,fekĂˇlnĂ­ vzo) 490CE.A</t>
  </si>
  <si>
    <t>50115064</t>
  </si>
  <si>
    <t>ZPr - šicí materiál (Z529)</t>
  </si>
  <si>
    <t>ZC992</t>
  </si>
  <si>
    <t>Ĺ itĂ­ dafilon modrĂ˝ 4/0 (1.5) bal. Ăˇ 36 ks C0932132</t>
  </si>
  <si>
    <t>ZO261</t>
  </si>
  <si>
    <t>Ĺ itĂ­ Glycolon violet , sĂ­la vlĂˇkna 4-0, dĂ©lka vlĂˇkna 70 cm, jehla HRT 18, bal. Ăˇ 24 ks PB40605</t>
  </si>
  <si>
    <t>ZP245</t>
  </si>
  <si>
    <t>Ĺ itĂ­ GLYCOLON violet HR 12 6/0 USP 45 cm bal. Ăˇ 24 ks PB40204</t>
  </si>
  <si>
    <t>ZQ686</t>
  </si>
  <si>
    <t>Ĺ itĂ­ mopylen 2 x HRT 18, sĂ­la 5-0, dĂ©lka 0,90 m, PP, nevstĹ™ebatelnĂ©, barva modrĂˇ, bal. Ăˇ 36 ks 70612</t>
  </si>
  <si>
    <t>ZH392</t>
  </si>
  <si>
    <t>Ĺ itĂ­ novosyn quick undy 3/0 (2) bal. Ăˇ 36 ks C3046030</t>
  </si>
  <si>
    <t>ZO353</t>
  </si>
  <si>
    <t>Ĺ itĂ­ PGA-RESORBA pletenĂ© potahovanĂ© syntetickĂ© vstĹ™ebatelnĂ© vlĂˇkno jehla HR 22 fialovĂˇ 3/0 70cm bal.Ăˇ 24 ks PA10211</t>
  </si>
  <si>
    <t>ZO354</t>
  </si>
  <si>
    <t>Ĺ itĂ­ PGA-RESORBA pletenĂ© potahovanĂ© syntetickĂ© vstĹ™ebatelnĂ© vlĂˇkno jehla HR 22 fialovĂˇ 4/0 70 cm bal. Ăˇ 24 ks PA10210</t>
  </si>
  <si>
    <t>50115065</t>
  </si>
  <si>
    <t>ZPr - vpichovací materiál (Z530)</t>
  </si>
  <si>
    <t>ZC305</t>
  </si>
  <si>
    <t>Jehla injekÄŤnĂ­ 0,4 x 20 mm ĹˇedĂˇ 4657705</t>
  </si>
  <si>
    <t>ZA834</t>
  </si>
  <si>
    <t>Jehla injekÄŤnĂ­ 0,7 x 40 mm ÄŤernĂˇ 4660021</t>
  </si>
  <si>
    <t>ZA833</t>
  </si>
  <si>
    <t>Jehla injekÄŤnĂ­ 0,8 x 40 mm zelenĂˇ 4657527</t>
  </si>
  <si>
    <t>ZD515</t>
  </si>
  <si>
    <t>Jehla jednorĂˇzovĂˇ septoject modrĂˇ G30 0,3 x 25 mm Ăˇ 100 ks 0038505</t>
  </si>
  <si>
    <t>ZA360</t>
  </si>
  <si>
    <t>Jehla sterican 0,5 x 25 mm oranĹľovĂˇ 9186158</t>
  </si>
  <si>
    <t>50115067</t>
  </si>
  <si>
    <t>ZPr - rukavice (Z532)</t>
  </si>
  <si>
    <t>ZK473</t>
  </si>
  <si>
    <t>Rukavice operaÄŤnĂ­ latex s pudrem sterilnĂ­ ansell medigrip plus vel. 6,0 6035500</t>
  </si>
  <si>
    <t>ZK474</t>
  </si>
  <si>
    <t>Rukavice operaÄŤnĂ­ latex s pudrem sterilnĂ­ ansell, vasco surgical powderet vel. 6,5 6035518 (303503)</t>
  </si>
  <si>
    <t>ZK475</t>
  </si>
  <si>
    <t>Rukavice operaÄŤnĂ­ latex s pudrem sterilnĂ­ ansell, vasco surgical powderet vel. 7 6035526 (303504EU)</t>
  </si>
  <si>
    <t>ZK476</t>
  </si>
  <si>
    <t>Rukavice operaÄŤnĂ­ latex s pudrem sterilnĂ­ ansell, vasco surgical powderet vel. 7,5 6035534</t>
  </si>
  <si>
    <t>ZK477</t>
  </si>
  <si>
    <t>Rukavice operaÄŤnĂ­ latex s pudrem sterilnĂ­ ansell, vasco surgical powderet vel. 8 6035542 (303506EU)</t>
  </si>
  <si>
    <t>ZC063</t>
  </si>
  <si>
    <t>Rukavice vyĹˇetĹ™ovacĂ­ latex bez pudru nesterilnĂ­ M 9421615 - povoleno pouze pro ĂšÄŚOCH a KZL</t>
  </si>
  <si>
    <t>ZP363</t>
  </si>
  <si>
    <t>Rukavice vyĹˇetĹ™ovacĂ­ latex bez pudru nesterilnĂ­ superlife XS bal. Ăˇ 100 ks 8951480 - povoleno pouze pro ĂšÄŚOCH a KZL</t>
  </si>
  <si>
    <t>ZA568</t>
  </si>
  <si>
    <t>Rukavice vyĹˇetĹ™ovacĂ­ latex s pudrem nesterilnĂ­ premium  XS bal. Ăˇ 100 ks 1016863 - povoleno pouze pro ĂšÄŚOCH a KZL</t>
  </si>
  <si>
    <t>ZP181</t>
  </si>
  <si>
    <t>Rukavice vyĹˇetĹ™ovacĂ­ latex s pudrem nesterilnĂ­ superlife M bal. Ăˇ 100 ks 8951472 - povoleno pouze pro ĂšÄŚOCH a KZL</t>
  </si>
  <si>
    <t>ZP111</t>
  </si>
  <si>
    <t>Rukavice vyĹˇetĹ™ovacĂ­ latex s pudrem nesterilnĂ­ superlife S bal. Ăˇ 100 ks 8951471 - povoleno pouze pro ĂšÄŚOCH a KZL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</si>
  <si>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</si>
  <si>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</si>
  <si>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</si>
  <si>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</si>
  <si>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ZP946</t>
  </si>
  <si>
    <t>Rukavice vyĹˇetĹ™ovacĂ­ nitril basic bez pudru modrĂ© S bal. Ăˇ 200 ks 44750</t>
  </si>
  <si>
    <t>ZP949</t>
  </si>
  <si>
    <t>Rukavice vyĹˇetĹ™ovacĂ­ nitril basic bez pudru modrĂ© XL bal. Ăˇ 170 ks 44753</t>
  </si>
  <si>
    <t>ZP950</t>
  </si>
  <si>
    <t>Rukavice vyĹˇetĹ™ovacĂ­ nitril basic bez pudru modrĂ© XS bal. Ăˇ 200 ks 44749</t>
  </si>
  <si>
    <t>ZA034</t>
  </si>
  <si>
    <t>Rukavice vyĹˇetĹ™ovacĂ­ nitril bez pudru nesterilnĂ­ sempercare  XS bal. Ăˇ 200 ks 32615</t>
  </si>
  <si>
    <t>Rukavice vyĹˇetĹ™ovacĂ­ nitril nesterilnĂ­ basic bez pudru modrĂ© L bal. Ăˇ 200 ks 44752</t>
  </si>
  <si>
    <t>Rukavice vyĹˇetĹ™ovacĂ­ nitril nesterilnĂ­ basic bez pudru modrĂ© M bal. Ăˇ 200 ks 44751</t>
  </si>
  <si>
    <t>Rukavice vyĹˇetĹ™ovacĂ­ nitril nesterilnĂ­ basic bez pudru modrĂ© S bal. Ăˇ 200 ks 44750</t>
  </si>
  <si>
    <t>ZI758</t>
  </si>
  <si>
    <t>Rukavice vyĹˇetĹ™ovacĂ­ vinyl bez pudru nesterilnĂ­ M Ăˇ 100 ks EFEKTVR03</t>
  </si>
  <si>
    <t>ZB391</t>
  </si>
  <si>
    <t>Rukavice vyĹˇetĹ™ovacĂ­ vinyl CureGuard L bal. Ăˇ 100 ks 4160 COVID 19</t>
  </si>
  <si>
    <t>50115090</t>
  </si>
  <si>
    <t>ZPr - zubolékařský materiál (Z509)</t>
  </si>
  <si>
    <t>ZG556</t>
  </si>
  <si>
    <t>Adhesor carbofine 80 g prĂˇĹˇek 40 g tekutina 4111420</t>
  </si>
  <si>
    <t>ZC307</t>
  </si>
  <si>
    <t>Adhesor orig. 80 G N 2 4111112</t>
  </si>
  <si>
    <t>ZC306</t>
  </si>
  <si>
    <t>Adhesor orig. 80 g N-1 prĂˇĹˇek 55 g tekutina N-1</t>
  </si>
  <si>
    <t>ZL331</t>
  </si>
  <si>
    <t>Adhezivum dentĂˇlnĂ­ single bond universal  kit 9020890</t>
  </si>
  <si>
    <t>ZJ299</t>
  </si>
  <si>
    <t>Adisil Rose 1:1 silikon 2x1 101201</t>
  </si>
  <si>
    <t>ZE370</t>
  </si>
  <si>
    <t>Alphaflex 0040</t>
  </si>
  <si>
    <t>ZD415</t>
  </si>
  <si>
    <t>AmalgĂˇm kapslovĂ˝ ÄŤ.2 YDM-I600</t>
  </si>
  <si>
    <t>ZI927</t>
  </si>
  <si>
    <t>AmalgĂˇm YDM ÄŤ.1 ,bal.Ăˇ 50 ks, Ag-43/400 (YDM-I/400)</t>
  </si>
  <si>
    <t>ZB722</t>
  </si>
  <si>
    <t>Amalgam Kit 0990</t>
  </si>
  <si>
    <t>ZL893</t>
  </si>
  <si>
    <t>AplikĂˇtor M+W MicroTips ĹľlutĂ© 0500508</t>
  </si>
  <si>
    <t>ZL894</t>
  </si>
  <si>
    <t>AplikĂˇtor M+W MicroTips modrĂ˝ 0500507</t>
  </si>
  <si>
    <t>ZD680</t>
  </si>
  <si>
    <t>Aqua cem, fix. materiĂˇl pro zub.nĂˇhrady 30 g 88115</t>
  </si>
  <si>
    <t>ZC379</t>
  </si>
  <si>
    <t>Aquasil ultra LV Regular 4 x 50 ml DT678779</t>
  </si>
  <si>
    <t>ZE584</t>
  </si>
  <si>
    <t>Aquasil ultra XLV/regular set 678781</t>
  </si>
  <si>
    <t>ZL962</t>
  </si>
  <si>
    <t>Aquasil Ultra+XLV stand.tuhnoucĂ­ DT678707</t>
  </si>
  <si>
    <t>ZI895</t>
  </si>
  <si>
    <t>ÄŚep 04 papĂ­rovĂ˝ 25 dentaclean 9019125</t>
  </si>
  <si>
    <t>ZI489</t>
  </si>
  <si>
    <t>ÄŚep 04 papĂ­rovĂ˝ 35 dentaclean 9019127</t>
  </si>
  <si>
    <t>ZI730</t>
  </si>
  <si>
    <t>ÄŚep 04 papĂ­rovĂ˝ 40 dentaclean 9019128</t>
  </si>
  <si>
    <t>ZI514</t>
  </si>
  <si>
    <t>ÄŚep 06 papĂ­rovĂ˝ 15 dentaclean 9019136</t>
  </si>
  <si>
    <t>ZI515</t>
  </si>
  <si>
    <t>ÄŚep 06 papĂ­rovĂ˝ 20 dentaclean Ăˇ 100 ks 9019137</t>
  </si>
  <si>
    <t>ZI516</t>
  </si>
  <si>
    <t>ÄŚep 06 papĂ­rovĂ˝ 25 dentaclean Ăˇ 100 ks 9019138</t>
  </si>
  <si>
    <t>ZE911</t>
  </si>
  <si>
    <t>ÄŚep 06 papĂ­rovĂ˝ 30 dentaclean Ăˇ 100 ks P64030 9019139</t>
  </si>
  <si>
    <t>ZC253</t>
  </si>
  <si>
    <t>ÄŚep 06 papĂ­rovĂ˝ 35 dentaclean 9019140</t>
  </si>
  <si>
    <t>ZM836</t>
  </si>
  <si>
    <t>ÄŚep 06 papĂ­rovĂ˝ 40 dentacean 9019141</t>
  </si>
  <si>
    <t>ZK681</t>
  </si>
  <si>
    <t>ÄŚep 06 papĂ­rovĂ˝ 50 dentacean 9019143</t>
  </si>
  <si>
    <t>ZK682</t>
  </si>
  <si>
    <t>ÄŚep 06 papĂ­rovĂ˝ 60 dentacean 9019144</t>
  </si>
  <si>
    <t>ZI056</t>
  </si>
  <si>
    <t>ÄŚep gutaperÄŤovĂ˝ 04 vel. 35 dentaclean 9003560</t>
  </si>
  <si>
    <t>ZF372</t>
  </si>
  <si>
    <t>ÄŚep gutaperÄŤovĂ˝ 06 vel. 35 dentaclean 9003561</t>
  </si>
  <si>
    <t>ZM870</t>
  </si>
  <si>
    <t>ÄŚep gutaperÄŤovĂ˝ Dentaclean .06  vel. 15 bal. Ăˇ 60 ks 9003553</t>
  </si>
  <si>
    <t>ZH113</t>
  </si>
  <si>
    <t>ÄŚep gutaperÄŤovĂ˝ ProTaper F1 bal. Ăˇ 60 ks 0488675</t>
  </si>
  <si>
    <t>ZH114</t>
  </si>
  <si>
    <t>ÄŚep gutaperÄŤovĂ˝ ProTaper F2 bal. Ăˇ 60 ks 0488676</t>
  </si>
  <si>
    <t>ZH115</t>
  </si>
  <si>
    <t>ÄŚep gutaperÄŤovĂ˝ ProTaper F3 bal. Ăˇ 60 ks 0488677</t>
  </si>
  <si>
    <t>ZI932</t>
  </si>
  <si>
    <t>ÄŚep gutaperÄŤovĂ˝ ProTaper F4-F5 bal. Ăˇ 60 ks 0488679</t>
  </si>
  <si>
    <t>ZI549</t>
  </si>
  <si>
    <t>ÄŚep papĂ­rovĂ˝ 02% VDW550230</t>
  </si>
  <si>
    <t>ÄŚep papĂ­rovĂ˝ 04  40 dentaclean 9019128</t>
  </si>
  <si>
    <t>ZI896</t>
  </si>
  <si>
    <t>ÄŚep papĂ­rovĂ˝ 04  50 dentaclean 9019130</t>
  </si>
  <si>
    <t>ZI897</t>
  </si>
  <si>
    <t>ÄŚep papĂ­rovĂ˝ 04  60 dentaclean 9019131</t>
  </si>
  <si>
    <t>ZS870</t>
  </si>
  <si>
    <t>ÄŚep papĂ­rovĂ˝ 04  70 Dentaclean, bal. Ăˇ 100ks 9019132</t>
  </si>
  <si>
    <t>ZS871</t>
  </si>
  <si>
    <t>ÄŚep papĂ­rovĂ˝ 04  80 Dentaclean, bal. Ăˇ 100ks 9019133</t>
  </si>
  <si>
    <t>ZJ069</t>
  </si>
  <si>
    <t>ÄŚep papĂ­rovĂ˝ 04 45 dentaclean bal. Ăˇ 100 ks 9019129</t>
  </si>
  <si>
    <t>ZI091</t>
  </si>
  <si>
    <t>ÄŚep papĂ­rovĂ˝ 04% 258-0606 030 (VDW558030)</t>
  </si>
  <si>
    <t>ZI262</t>
  </si>
  <si>
    <t>ÄŚep papĂ­rovĂ˝ 04% 258-608 040 (VDW558040)</t>
  </si>
  <si>
    <t>ZI090</t>
  </si>
  <si>
    <t>ÄŚep papĂ­rovĂ˝ 04% VDW558020 1569321</t>
  </si>
  <si>
    <t>ZI092</t>
  </si>
  <si>
    <t>ÄŚep papĂ­rovĂ˝ 04% VDW558025 258-605 25</t>
  </si>
  <si>
    <t>ZC463</t>
  </si>
  <si>
    <t>ÄŚep papĂ­rovĂ˝ 040 04% 258-691</t>
  </si>
  <si>
    <t>ÄŚep papĂ­rovĂ˝ 06  25 dentaclean Ăˇ 100 ks 9019138</t>
  </si>
  <si>
    <t>ZS869</t>
  </si>
  <si>
    <t>ÄŚep papĂ­rovĂ˝ 06  80 Dentaclean, bal. Ăˇ 100ks 9019146</t>
  </si>
  <si>
    <t>ÄŚep papĂ­rovĂ˝ 06 15 dentaclean 9019136</t>
  </si>
  <si>
    <t>ÄŚep papĂ­rovĂ˝ 06 20 dentaclean Ăˇ 100 ks 9019137</t>
  </si>
  <si>
    <t>ZD768</t>
  </si>
  <si>
    <t>ÄŚep papĂ­rovĂ˝ ISO 45</t>
  </si>
  <si>
    <t>ZD524</t>
  </si>
  <si>
    <t>ÄŚep vodĂ­cĂ­ stĹ™ednĂ­ 302</t>
  </si>
  <si>
    <t>ZC547</t>
  </si>
  <si>
    <t>Bellavest SH 12,8 kg 1BG54252</t>
  </si>
  <si>
    <t>ZN626</t>
  </si>
  <si>
    <t>Brousek diamantovĂ˝ kuliÄŤka 1 mm; RA 8 06.204.001.524.021 397146511010</t>
  </si>
  <si>
    <t>ZN627</t>
  </si>
  <si>
    <t>Brousek diamantovĂ˝ kuliÄŤka 2 mm; RA 8 06.204.001.524.025 397146511020</t>
  </si>
  <si>
    <t>ZN628</t>
  </si>
  <si>
    <t>Brousek diamantovĂ˝ kuliÄŤka 3 mm; RA 8 06.204.001.524.029 397146511030</t>
  </si>
  <si>
    <t>ZS349</t>
  </si>
  <si>
    <t>Brousek diamantovĂ˝ kuliÄŤka FG 8 06.314.001.524.018, bal Ăˇ 5 ks 397146514680</t>
  </si>
  <si>
    <t>ZI121</t>
  </si>
  <si>
    <t>Brousek diamantovĂ˝ ĹˇpiÄŤka FG 8 06.314.160.504.014, bal Ăˇ 5 ks 397146517270</t>
  </si>
  <si>
    <t>ZS351</t>
  </si>
  <si>
    <t>Brousek diamantovĂ˝ ĹˇpiÄŤka FG 8 06.314.160.514.014, bal Ăˇ 5 ks 397146517320</t>
  </si>
  <si>
    <t>ZS352</t>
  </si>
  <si>
    <t>Brousek diamantovĂ˝ vajĂ­ÄŤko FG 8 06.314.277.524.018, bal Ăˇ 5 ks 397146518870</t>
  </si>
  <si>
    <t>ZS353</t>
  </si>
  <si>
    <t>Brousek diamantovĂ˝ vajĂ­ÄŤko FG 8 06.314.277.524.023, bal Ăˇ 5 ks 397146518880</t>
  </si>
  <si>
    <t>ZS350</t>
  </si>
  <si>
    <t>Brousek diamantovĂ˝ zaoblenĂˇ ĹˇpiÄŤka FG 8 06.314.210.534.025, bal Ăˇ 5 ks 397146514450</t>
  </si>
  <si>
    <t>ZR068</t>
  </si>
  <si>
    <t>Brousek karborund kulatĂ˝ medium 050, bal. Ăˇ 5 ks 6030502042B</t>
  </si>
  <si>
    <t>ZD124</t>
  </si>
  <si>
    <t>Caries detector 6 ml 152010</t>
  </si>
  <si>
    <t>ZL574</t>
  </si>
  <si>
    <t>Cement fixaÄŤnĂ­ skloionomernĂ­ 0120164</t>
  </si>
  <si>
    <t>ZR369</t>
  </si>
  <si>
    <t>Cement Light Cure Band Blue  Intro  stĹ™Ă­kaÄŤka 1 x 5g J910</t>
  </si>
  <si>
    <t>ZI753</t>
  </si>
  <si>
    <t>Cement pryskyĹ™iÄŤnĂ˝ RelyX Unicem Aplicap 9008485</t>
  </si>
  <si>
    <t>ZF508</t>
  </si>
  <si>
    <t>Cement vĂ˝plĹovĂ˝ provizornĂ­ 40 g 5304520</t>
  </si>
  <si>
    <t>ZD789</t>
  </si>
  <si>
    <t>Clip clip /voco/prov.vĂ˝plĹovĂ˝ materiĂˇl stĹ™Ă­kaÄŤka 2 x 4 g 1284</t>
  </si>
  <si>
    <t>ZE590</t>
  </si>
  <si>
    <t>Dentiplast 20 g SP4232110</t>
  </si>
  <si>
    <t>ZG694</t>
  </si>
  <si>
    <t>Deska bazĂˇlnĂ­ - dolnĂ­ transparentnĂ­ bal.Ăˇ 50 ks 9002526</t>
  </si>
  <si>
    <t>ZG693</t>
  </si>
  <si>
    <t>Deska bazĂˇlnĂ­ - hornĂ­ transparentnĂ­ bal.Ăˇ 50 ks 9002525</t>
  </si>
  <si>
    <t>ZD525</t>
  </si>
  <si>
    <t>Dia disk FL 365.524.450</t>
  </si>
  <si>
    <t>ZI912</t>
  </si>
  <si>
    <t>Diamant sintrovanĂ˝ Ăˇ 6 ks  ED5000</t>
  </si>
  <si>
    <t>ZP244</t>
  </si>
  <si>
    <t>Disk leĹˇtĂ­cĂ­ Sof-Lex XT  8692C-hrubĂ˝ ÄŤervenĂ˝ 12,7 mm, bal. Ăˇ 50 ks 9009253</t>
  </si>
  <si>
    <t>ZB823</t>
  </si>
  <si>
    <t>DrĂˇt kulatĂ˝ 0,8 mm IN0308</t>
  </si>
  <si>
    <t>ZC369</t>
  </si>
  <si>
    <t>DrĂˇt kulatĂ˝ pr. 7 mm IN0307</t>
  </si>
  <si>
    <t>ZC383</t>
  </si>
  <si>
    <t>DrĂˇt kulatĂ˝ pr. 9 mm IN0309</t>
  </si>
  <si>
    <t>ZM837</t>
  </si>
  <si>
    <t>DrĂˇt ligaturovĂ˝ Remaniu, kulatĂ˝, mÄ›kkĂ˝, prĹŻm. 0,25 mm, dĂ©lka 1,160 m) 501-025-00</t>
  </si>
  <si>
    <t>ZS356</t>
  </si>
  <si>
    <t>DrĂˇt LOW Nitanium RCS 018 , bal. Ăˇ 10 ks 100-604</t>
  </si>
  <si>
    <t>ZF061</t>
  </si>
  <si>
    <t>DrĂˇt NiTi 012 101-431</t>
  </si>
  <si>
    <t>ZE060</t>
  </si>
  <si>
    <t>DrĂˇt NiTi 012 upper oval form III 101-430</t>
  </si>
  <si>
    <t>ZD392</t>
  </si>
  <si>
    <t>DrĂˇt NiTi 014 lower oval form III 101-433</t>
  </si>
  <si>
    <t>ZD391</t>
  </si>
  <si>
    <t>DrĂˇt NiTi 014 upper oval form III 101-432</t>
  </si>
  <si>
    <t>ZF690</t>
  </si>
  <si>
    <t>DrĂˇt NiTi 016 lower oval form III 101-435</t>
  </si>
  <si>
    <t>ZD393</t>
  </si>
  <si>
    <t>DrĂˇt NiTi 016 upper oval form III 101-434</t>
  </si>
  <si>
    <t>ZF496</t>
  </si>
  <si>
    <t>DrĂˇt NiTi 018 101-436</t>
  </si>
  <si>
    <t>ZF484</t>
  </si>
  <si>
    <t>DrĂˇt NiTi 018 101-437</t>
  </si>
  <si>
    <t>ZF692</t>
  </si>
  <si>
    <t>DrĂˇt NiTi 16 x 22 101-443</t>
  </si>
  <si>
    <t>ZF691</t>
  </si>
  <si>
    <t>DrĂˇt NiTi 16 x 22 upper oval form III 101-442</t>
  </si>
  <si>
    <t>ZE673</t>
  </si>
  <si>
    <t>DrĂˇt NiTi 17 x 25 101-444</t>
  </si>
  <si>
    <t>ZH889</t>
  </si>
  <si>
    <t>DrĂˇt NiTi 17 x 25 101-445</t>
  </si>
  <si>
    <t>ZE061</t>
  </si>
  <si>
    <t>DrĂˇt NiTi 18 x 25 101-449</t>
  </si>
  <si>
    <t>ZF062</t>
  </si>
  <si>
    <t>DrĂˇt NiTi 19 x 25 101-450</t>
  </si>
  <si>
    <t>ZE675</t>
  </si>
  <si>
    <t>DrĂˇt NiTi 19 x 25 101-451</t>
  </si>
  <si>
    <t>ZJ354</t>
  </si>
  <si>
    <t>DrĂˇt ocelovĂ˝  020 UP SS Oval arch form, bal. Ăˇ 10 ks 101-408</t>
  </si>
  <si>
    <t>ZJ355</t>
  </si>
  <si>
    <t>DrĂˇt ocelovĂ˝ 020 LOW SS Oval arch form, bal. Ăˇ 10 ks 101-409</t>
  </si>
  <si>
    <t>ZE062</t>
  </si>
  <si>
    <t>DrĂˇt ocelovĂ˝ 16 x 22 101-412</t>
  </si>
  <si>
    <t>ZF063</t>
  </si>
  <si>
    <t>DrĂˇt ocelovĂ˝ 16 x 22 101-413</t>
  </si>
  <si>
    <t>ZE063</t>
  </si>
  <si>
    <t>DrĂˇt ocelovĂ˝ 17 x 25 101-414</t>
  </si>
  <si>
    <t>ZF064</t>
  </si>
  <si>
    <t>DrĂˇt ocelovĂ˝ 17 x 25 101-415</t>
  </si>
  <si>
    <t>ZE064</t>
  </si>
  <si>
    <t>DrĂˇt ocelovĂ˝ 18 x 25 WSE7259  (101-418)</t>
  </si>
  <si>
    <t>ZJ564</t>
  </si>
  <si>
    <t>DrĂˇt ocelovĂ˝ 19 x 25 101-420</t>
  </si>
  <si>
    <t>ZF059</t>
  </si>
  <si>
    <t>DrĂˇt ocelovĂ˝ 19 x 25 101-421</t>
  </si>
  <si>
    <t>ZN014</t>
  </si>
  <si>
    <t>DrĂˇt ocelovĂ˝ prut 018 remanium bal. Ăˇ 25 ks 535-045-00</t>
  </si>
  <si>
    <t>ZS357</t>
  </si>
  <si>
    <t>DrĂˇt ocelovĂ˝ UP CNA OVAL ARCH 018 x 0.25, bal. Ăˇ 10 ks 101-518</t>
  </si>
  <si>
    <t>ZL504</t>
  </si>
  <si>
    <t>DrĂˇt retainerovĂ˝  PENTA ONE - pÄ›tiramennĂ˝, pozlacenĂ˝ 24 karat.zlato ZMRW</t>
  </si>
  <si>
    <t>ZG421</t>
  </si>
  <si>
    <t>DrĂˇt tvrdĂ˝ Interdent 0,6 mm, 3 m</t>
  </si>
  <si>
    <t>ZS355</t>
  </si>
  <si>
    <t>DrĂˇt UP Nitanium RCS 016x0.22, bal. Ăˇ 10 ks 100-605</t>
  </si>
  <si>
    <t>ZS354</t>
  </si>
  <si>
    <t>DrĂˇt UP Nitanium RCS 017x0.25, bal. Ăˇ 10 ks 100-607</t>
  </si>
  <si>
    <t>ZC519</t>
  </si>
  <si>
    <t>Elastic cromo 4221305</t>
  </si>
  <si>
    <t>ZR774</t>
  </si>
  <si>
    <t>Equator OT (titanovĂ˝ abutment) kompatibilnĂ­ se vĹˇemi systĂ©my implantĂˇtĹŻ 4.0, 12 mm, L6 993030LB</t>
  </si>
  <si>
    <t>ZP792</t>
  </si>
  <si>
    <t>Equator OT (titanovĂ˝ abutment) kompatibilnĂ­ se vĹˇemi systĂ©my implantĂˇtĹŻ manĹľeta 2 mm 993030/manĹľeta 2 mm</t>
  </si>
  <si>
    <t>ZS123</t>
  </si>
  <si>
    <t>Equator OT (titanovĂ˝ abutment) pro implantĂˇt Lasak 3,7 mm, dĂ©lka 12 mm, vĂ˝Ĺˇka g.m. 5 mm 993030IMP375</t>
  </si>
  <si>
    <t>ZS124</t>
  </si>
  <si>
    <t>Equator OT (titanovĂ˝ abutment) pro implantĂˇt Lasak 3,7 mm, dĂ©lka 12 mm, vĂ˝Ĺˇka g.m. 6 mm 993030IMP376</t>
  </si>
  <si>
    <t>ZS072</t>
  </si>
  <si>
    <t>Equator OT Impladent vĂ˝Ĺˇka 3,7 Rhein</t>
  </si>
  <si>
    <t>ZM736</t>
  </si>
  <si>
    <t>FĂłlie erkoflex 1,0 mm/120 mm ER581210</t>
  </si>
  <si>
    <t>ZE417</t>
  </si>
  <si>
    <t>FĂłlie termopl. Erkodur 1,5/120 mm, bal.Ăˇ 50 ks,  ER524215</t>
  </si>
  <si>
    <t>ZE418</t>
  </si>
  <si>
    <t>FĂłlie termopl. Erkodur 2,0/120 mm, bal.Ăˇ 10 ks, ER52122010</t>
  </si>
  <si>
    <t>ZF135</t>
  </si>
  <si>
    <t>FrĂ©za malĂˇ OWA ( L2116 0001 00BO ) 999-6000/5</t>
  </si>
  <si>
    <t>ZE225</t>
  </si>
  <si>
    <t>FrĂ©za na silikon S187QG23</t>
  </si>
  <si>
    <t>ZF181</t>
  </si>
  <si>
    <t>FrĂ©za na silikon S237QG65</t>
  </si>
  <si>
    <t>ZF226</t>
  </si>
  <si>
    <t>FrĂ©za na silikon S263QG60</t>
  </si>
  <si>
    <t>ZC325</t>
  </si>
  <si>
    <t>Gel etching 4122505</t>
  </si>
  <si>
    <t>ZS815</t>
  </si>
  <si>
    <t>Guma leĹˇtĂ­cĂ­ Becht pro opracovĂˇnĂ­ kompozitĹŻ, ĹˇpiÄŤka silikonovĂˇ, 5 000-10 000 ot./min, sĂ­la 15,0 mm BT240.0</t>
  </si>
  <si>
    <t>ZQ602</t>
  </si>
  <si>
    <t>Guma leĹˇtĂ­cĂ­ CERAGLOSS HP pro opracovĂˇnĂ­ keramiky, dĂ©lka 2,5 mm, prĹŻmÄ›r 150 1/10mm, modrĂˇ ED3042HP</t>
  </si>
  <si>
    <t>ZG949</t>
  </si>
  <si>
    <t>Guma leĹˇtĂ­cĂ­ stargloss pro opracovĂˇnĂ­ keramiky disk modrĂ˝ EDR1520</t>
  </si>
  <si>
    <t>ZR084</t>
  </si>
  <si>
    <t>Guma na leĹˇtÄ›nĂ­ amalgĂˇmovĂ˝ch vĂ˝plnĂ­ Amalgam reducer 050, 10,0 bal. Ăˇ 12 ks 9000290</t>
  </si>
  <si>
    <t>ZF457</t>
  </si>
  <si>
    <t>Guttasolw 15 ml</t>
  </si>
  <si>
    <t>ZD133</t>
  </si>
  <si>
    <t>Hmota otiskovacĂ­ kettenbach 0137221</t>
  </si>
  <si>
    <t>ZB393</t>
  </si>
  <si>
    <t>Hmota otiskovacĂ­ silikonovĂˇ speedex putty 0026292</t>
  </si>
  <si>
    <t>ZK252</t>
  </si>
  <si>
    <t>Hmota otiskovacĂ­ zeta plus 900 ml 003-540107</t>
  </si>
  <si>
    <t>ZD890</t>
  </si>
  <si>
    <t>Hmota zatmelovacĂ­ Shera Cast 20 kg /8x2,5/</t>
  </si>
  <si>
    <t>ZC452</t>
  </si>
  <si>
    <t>Hmota zatmelovacĂ­ sherafina rapid 6 kg 1084SH</t>
  </si>
  <si>
    <t>ZI619</t>
  </si>
  <si>
    <t>ChrĂˇniÄŤ prstu Langenbeck 397136910002</t>
  </si>
  <si>
    <t>ZS802</t>
  </si>
  <si>
    <t>ImplantĂˇt zubnĂ­ Astra Tech Dentsply-  replika implantĂˇtu EV 3.0, zelenĂ˝, dĂ©lka 16,5 mm, prĹŻm. occlusal 3,05 mm, prĹŻm. apical 1,7 mm 25543</t>
  </si>
  <si>
    <t>ZS218</t>
  </si>
  <si>
    <t>ImplantĂˇt zubnĂ­ Astra Tech Dentsply EV 3,6, pr. 4,0 mm, vĂ˝Ĺˇka 1 mm, doÄŤasnĂ˝ Temp Abutment, purple 26252</t>
  </si>
  <si>
    <t>ZO916</t>
  </si>
  <si>
    <t>ImplantĂˇt zubnĂ­ Astra Tech Dentsply OsseoSpeed EV C pr. 3,6 mm dĂ©lka 11 mm 25224</t>
  </si>
  <si>
    <t>ZP125</t>
  </si>
  <si>
    <t>ImplantĂˇt zubnĂ­ Astra Tech Dentsply OsseoSpeed EV S pr. 3,0mm dĂ©lka 11 mm 25214</t>
  </si>
  <si>
    <t>ZP097</t>
  </si>
  <si>
    <t>ImplantĂˇt zubnĂ­ Astra Tech Dentsply OsseoSpeed EV S pr. 4,8 mm dĂ©lka 11 mm 25244</t>
  </si>
  <si>
    <t>ZO445</t>
  </si>
  <si>
    <t>ImplantĂˇt zubnĂ­ Astra Tech Dentsply OsseoSpeed EV S pr.3,6 dĂ©lka 9 mm 25223</t>
  </si>
  <si>
    <t>ZO442</t>
  </si>
  <si>
    <t>ImplantĂˇt zubnĂ­ Astra Tech Dentsply OsseoSpeed EV S pr.4,2 dĂ©lka 11 mm 25234</t>
  </si>
  <si>
    <t>ZO443</t>
  </si>
  <si>
    <t>ImplantĂˇt zubnĂ­ Astra Tech Dentsply OsseoSpeed EV S pr.4,2 dĂ©lka 9 mm 25233</t>
  </si>
  <si>
    <t>ZO771</t>
  </si>
  <si>
    <t>ImplantĂˇt zubnĂ­ Astra Tech Dentsply OsseoSpeed EV S pr.4,8 dĂ©lka 9 mm 25243</t>
  </si>
  <si>
    <t>ZS866</t>
  </si>
  <si>
    <t>ImplantĂˇt zubnĂ­ Astra Tech Dentsply OsseoSpeed EV S pr.5,4 dĂ©lka 11 mm 25254</t>
  </si>
  <si>
    <t>ZS865</t>
  </si>
  <si>
    <t>ImplantĂˇt zubnĂ­ Astra Tech Dentsply OsseoSpeed EV S pr.5,4 dĂ©lka 9 mm 25253</t>
  </si>
  <si>
    <t>ZL044</t>
  </si>
  <si>
    <t>ImplantĂˇt zubnĂ­ Astra Tech TX 4.0 S 24941</t>
  </si>
  <si>
    <t>ZL045</t>
  </si>
  <si>
    <t>ImplantĂˇt zubnĂ­ Astra Tech TX 4.0 S 24942</t>
  </si>
  <si>
    <t>ZO871</t>
  </si>
  <si>
    <t>ImplantĂˇt zubnĂ­ Astra Tech TX 5. 0S 24972</t>
  </si>
  <si>
    <t>ZC299</t>
  </si>
  <si>
    <t>Impression Compound, bal. Ăˇ 5 ks, 1DDCEIC</t>
  </si>
  <si>
    <t>ZQ663</t>
  </si>
  <si>
    <t>Ingoty LT IPS e.max Press barva A1, bal. Ăˇ 5 ks 9024639</t>
  </si>
  <si>
    <t>ZL180</t>
  </si>
  <si>
    <t>Ingoty LT IPS e-max Press barva A2 bal. Ăˇ 5 ks IV605274</t>
  </si>
  <si>
    <t>ZD118</t>
  </si>
  <si>
    <t>Interim Stand pÄ›n.vloĹľky 0658697</t>
  </si>
  <si>
    <t>ZC415</t>
  </si>
  <si>
    <t>Interwaxit s rozpraĹˇovaÄŤem Ăˇ 200 ml 413</t>
  </si>
  <si>
    <t>ZL701</t>
  </si>
  <si>
    <t>IPS PressVest Spead pow. Premium IV685586AN</t>
  </si>
  <si>
    <t>ZL702</t>
  </si>
  <si>
    <t>IPS PressVest Speed lig.Premium IV685588</t>
  </si>
  <si>
    <t>ZM869</t>
  </si>
  <si>
    <t>Jehla jednorĂˇzovĂˇ septoject zelenĂˇ G 30 0,3 x 16 mm bal. Ăˇ 100 ks 9009059</t>
  </si>
  <si>
    <t>ZH080</t>
  </si>
  <si>
    <t>KamĂ­nek na Zirkonoxid-ĂşzkĂ˝ vĂˇleÄŤek Z638</t>
  </si>
  <si>
    <t>ZH084</t>
  </si>
  <si>
    <t>KamĂ­nek na Zirkonoxid-ÄŤoÄŤka Z772</t>
  </si>
  <si>
    <t>ZH086</t>
  </si>
  <si>
    <t>KamĂ­nek na Zirkonoxid-kĂłnus Z736</t>
  </si>
  <si>
    <t>ZH081</t>
  </si>
  <si>
    <t>KamĂ­nek na Zirkonoxid-ĹˇpiÄŤka Z652R</t>
  </si>
  <si>
    <t>ZH079</t>
  </si>
  <si>
    <t>KamĂ­nek na Zirkonoxid-nĂ­zkĂ˝ vĂˇleÄŤek Z623</t>
  </si>
  <si>
    <t>ZH082</t>
  </si>
  <si>
    <t>KamĂ­nek na Zirkonoxid-vajĂ­ÄŤko Z660</t>
  </si>
  <si>
    <t>ZH085</t>
  </si>
  <si>
    <t>KamĂ­nek na Zirkonoxid-vysokĂ˝ vĂˇleÄŤek Z732</t>
  </si>
  <si>
    <t>ZS214</t>
  </si>
  <si>
    <t>Kanyla aplikaÄŤnĂ­ nĂˇhradnĂ­ k  materiĂˇlu ApexCal, bal. Ăˇ 15 ks 0091331</t>
  </si>
  <si>
    <t>ZD786</t>
  </si>
  <si>
    <t>Kanyla Ĺľl. mixing tips bal. Ăˇ 40 ks 60578121</t>
  </si>
  <si>
    <t>ZE155</t>
  </si>
  <si>
    <t>Kanyla M+W pro leptacĂ­ gel 0100102</t>
  </si>
  <si>
    <t>ZF632</t>
  </si>
  <si>
    <t>Kanyla NaViTip 0 bal. Ăˇ 20 ks 498581</t>
  </si>
  <si>
    <t>ZK606</t>
  </si>
  <si>
    <t>Kanyla RMO FLI 022, hornĂ­ levĂˇ, 2. molĂˇr</t>
  </si>
  <si>
    <t>ZK616</t>
  </si>
  <si>
    <t>Kanyla RMO FLI 16 A08734</t>
  </si>
  <si>
    <t>ZK610</t>
  </si>
  <si>
    <t>Kanyla RMO FLI 17 A08736</t>
  </si>
  <si>
    <t>ZK608</t>
  </si>
  <si>
    <t>Kanyla RMO FLI 26 A08735</t>
  </si>
  <si>
    <t>ZK609</t>
  </si>
  <si>
    <t>Kanyla RMO FLI 36 A08744</t>
  </si>
  <si>
    <t>ZK607</t>
  </si>
  <si>
    <t>Kanyla RMO FLI 37 A08746</t>
  </si>
  <si>
    <t>ZK605</t>
  </si>
  <si>
    <t>Kanyla RMO FLI 46 A08745</t>
  </si>
  <si>
    <t>ZK611</t>
  </si>
  <si>
    <t>Kanyla RMO FLI 47 A08747</t>
  </si>
  <si>
    <t>ZB498</t>
  </si>
  <si>
    <t>KartĂˇÄŤek ÄŤistĂ­cĂ­ na vrtĂˇÄŤky 9002460</t>
  </si>
  <si>
    <t>ZC326</t>
  </si>
  <si>
    <t>KartĂˇÄŤek na koĹ™enovĂ© nĂˇstroje 954361 (14360NI)</t>
  </si>
  <si>
    <t>ZC455</t>
  </si>
  <si>
    <t>KartĂˇÄŤek nylon do kolĂ©nka BT260.23N</t>
  </si>
  <si>
    <t>ZC570</t>
  </si>
  <si>
    <t>Kavitan LC A2 12 g prĂˇĹˇku + 5 g tekutiny 4113411</t>
  </si>
  <si>
    <t>ZG149</t>
  </si>
  <si>
    <t>Kazeta a stojĂˇnek na rotaÄŤnĂ­ nĂˇstroje 397139500740</t>
  </si>
  <si>
    <t>ZD448</t>
  </si>
  <si>
    <t>KelĂ­mek odlĂ©v. fornax D5 1205004116</t>
  </si>
  <si>
    <t>ZS025</t>
  </si>
  <si>
    <t>Keramika  IPS InLine Opaquer A-D 3g C4 0141924</t>
  </si>
  <si>
    <t>ZO009</t>
  </si>
  <si>
    <t>Keramika IPS e.max Ceram Build Up Liq. 60 ml 597055</t>
  </si>
  <si>
    <t>ZS091</t>
  </si>
  <si>
    <t>Keramika IPS e.max Ceram Deep Dentin A4 20 g 8942DA4</t>
  </si>
  <si>
    <t>ZS092</t>
  </si>
  <si>
    <t>Keramika IPS e.max Ceram Deep Dentin B1 20 g 8942DB1</t>
  </si>
  <si>
    <t>ZS093</t>
  </si>
  <si>
    <t>Keramika IPS e.max Ceram Deep Dentin B4 20 g 8942DB4</t>
  </si>
  <si>
    <t>ZS094</t>
  </si>
  <si>
    <t>Keramika IPS e.max Ceram Deep Dentin C1 20 g 8942DC1</t>
  </si>
  <si>
    <t>ZS095</t>
  </si>
  <si>
    <t>Keramika IPS e.max Ceram Deep Dentin C2 20 g 8942DC2</t>
  </si>
  <si>
    <t>ZS096</t>
  </si>
  <si>
    <t>Keramika IPS e.max Ceram Deep Dentin C3 20 g 8942DC3</t>
  </si>
  <si>
    <t>ZS097</t>
  </si>
  <si>
    <t>Keramika IPS e.max Ceram Deep Dentin C4 20 g 8942DC4</t>
  </si>
  <si>
    <t>ZS098</t>
  </si>
  <si>
    <t>Keramika IPS e.max Ceram Deep Dentin D2 20 g 8942DD2</t>
  </si>
  <si>
    <t>ZS099</t>
  </si>
  <si>
    <t>Keramika IPS e.max Ceram Deep Dentin D3 20 g 8942DD3</t>
  </si>
  <si>
    <t>ZS100</t>
  </si>
  <si>
    <t>Keramika IPS e.max Ceram Deep Dentin D4 20 g 8942DD4</t>
  </si>
  <si>
    <t>ZS101</t>
  </si>
  <si>
    <t>Keramika IPS e.max Ceram Dentin A4   20 g 8941DA4</t>
  </si>
  <si>
    <t>ZS102</t>
  </si>
  <si>
    <t>Keramika IPS e.max Ceram Dentin B4 20 g 8941DB4</t>
  </si>
  <si>
    <t>ZS103</t>
  </si>
  <si>
    <t>Keramika IPS e.max Ceram Dentin C1 20 g 8941DC1</t>
  </si>
  <si>
    <t>ZS104</t>
  </si>
  <si>
    <t>Keramika IPS e.max Ceram Dentin C2 20 g 8941DC2</t>
  </si>
  <si>
    <t>ZS105</t>
  </si>
  <si>
    <t>Keramika IPS e.max Ceram Dentin C3 20 g 8941DC3</t>
  </si>
  <si>
    <t>ZS106</t>
  </si>
  <si>
    <t>Keramika IPS e.max Ceram Dentin C4 20 g 8941DC4</t>
  </si>
  <si>
    <t>ZS026</t>
  </si>
  <si>
    <t>Keramika IPS InLine Deep Dentin A-D 20g C1 0141987</t>
  </si>
  <si>
    <t>ZS027</t>
  </si>
  <si>
    <t>Keramika IPS InLine Deep Dentin A-D 20g C2 0141988</t>
  </si>
  <si>
    <t>ZS028</t>
  </si>
  <si>
    <t>Keramika IPS InLine Deep Dentin A-D 20g C3 0141989</t>
  </si>
  <si>
    <t>ZS029</t>
  </si>
  <si>
    <t>Keramika IPS InLine Deep Dentin A-D 20g C4 0141990</t>
  </si>
  <si>
    <t>ZS030</t>
  </si>
  <si>
    <t>Keramika IPS InLine Deep Dentin A-D 20g D4 0141992</t>
  </si>
  <si>
    <t>ZS031</t>
  </si>
  <si>
    <t>Keramika IPS InLine Dentin A-D 20g C1 0241914</t>
  </si>
  <si>
    <t>ZS032</t>
  </si>
  <si>
    <t>Keramika IPS InLine Dentin A-D 20g C3 0241916</t>
  </si>
  <si>
    <t>ZS033</t>
  </si>
  <si>
    <t>Keramika IPS InLine Dentin A-D 20g C4 0241917</t>
  </si>
  <si>
    <t>ZS034</t>
  </si>
  <si>
    <t>Keramika IPS InLine Dentin A-D 20g D4 0241920</t>
  </si>
  <si>
    <t>ZS347</t>
  </si>
  <si>
    <t>Keramika IPS InLine Gingiva Opaquer rĹŻĹľovĂˇ, bal. Ăˇ 3g 0441941</t>
  </si>
  <si>
    <t>ZS024</t>
  </si>
  <si>
    <t>Keramika IPS InLine Opaquer A-D 3g C1 0141921</t>
  </si>
  <si>
    <t>ZD068</t>
  </si>
  <si>
    <t>Keramika IPS InLine PoM Opaquer A-D A2 IV593161</t>
  </si>
  <si>
    <t>ZD338</t>
  </si>
  <si>
    <t>Keramika IPS InLine PoM Opaquer A-D A3 IV593162</t>
  </si>
  <si>
    <t>ZD444</t>
  </si>
  <si>
    <t>Keramika IPS InLine PoM Opaquer A-D A3,5 IV593163</t>
  </si>
  <si>
    <t>ZM575</t>
  </si>
  <si>
    <t>Keramika IPS InLine PoM Opaquer A-D B2 3 g IV593166</t>
  </si>
  <si>
    <t>ZM578</t>
  </si>
  <si>
    <t>Keramika IPS InLine PoM Stains - vanille Ăˇ 1 g IV602375</t>
  </si>
  <si>
    <t>ZM570</t>
  </si>
  <si>
    <t>Keramika IPS InLine Transpa - brown Ăˇ 20 g IV600100</t>
  </si>
  <si>
    <t>ZE586</t>
  </si>
  <si>
    <t>Ketac cem easymix 56900</t>
  </si>
  <si>
    <t>ZI811</t>
  </si>
  <si>
    <t>KlĂ­nek derotaÄŤnĂ­ 400-301</t>
  </si>
  <si>
    <t>ZD420</t>
  </si>
  <si>
    <t>KlĂ­nek dĹ™evÄ›nĂ˝ interdentĂˇlnĂ­, anatomicky tvarovanĂ˝, z javorovĂ©ho dĹ™eva, rĹŻznĂ© vel. rĹŻĹľovĂˇ, modrĂˇ, zelenĂˇ, ĹľlutĂˇ,  bal. Ăˇ 400 ks 9002277</t>
  </si>
  <si>
    <t>ZF100</t>
  </si>
  <si>
    <t>KnoflĂ­k Opti-MIM 430-001</t>
  </si>
  <si>
    <t>ZQ787</t>
  </si>
  <si>
    <t>KnoflĂ­k titanovĂ˝ s pozlacenĂ˝m Ĺ™etĂ­zkem GOLD EXTRUSION HOOK WITH CHAIN (14 KARAT), pro urychlenĂ­ proĹ™ezĂˇnĂ­ -  vytaĹľenĂ­, neproĹ™ezenĂ©ho zoubku, kulatĂˇ bĂˇze 4250-00</t>
  </si>
  <si>
    <t>ZS902</t>
  </si>
  <si>
    <t>Koncovka KaVo spray - kolĂ©nko 0082717</t>
  </si>
  <si>
    <t>ZS901</t>
  </si>
  <si>
    <t>Koncovka KaVo spray - turbĂ­nka 0082716</t>
  </si>
  <si>
    <t>ZD787</t>
  </si>
  <si>
    <t>Koncovka Ĺľl.intra oral tips,na mĂ­chacĂ­ kanylu 0088259</t>
  </si>
  <si>
    <t>ZD581</t>
  </si>
  <si>
    <t>KotouÄŤ HP 22 mm drĂˇtÄ›nĂ˝ nerez BT277.1</t>
  </si>
  <si>
    <t>ZD523</t>
  </si>
  <si>
    <t>KotouÄŤ Ĺ™ezacĂ­ pr.40/0,5 mm, Ăˇ 10 ks, 370000107</t>
  </si>
  <si>
    <t>ZB860</t>
  </si>
  <si>
    <t>KotouÄŤ plĂˇtÄ›nĂ˝ pr.100 mm-neproĹˇĂ­v. IX5001</t>
  </si>
  <si>
    <t>ZC518</t>
  </si>
  <si>
    <t>Kromopan 100 450 g, 1/X2710</t>
  </si>
  <si>
    <t>ZH306</t>
  </si>
  <si>
    <t>Ĺ pendlĂ­k-spona 0,7 mm Ăˇ 100 ks 620-107 00</t>
  </si>
  <si>
    <t>ZH307</t>
  </si>
  <si>
    <t>Ĺ pendlĂ­k-spona 0,8 mm Ăˇ 100 ks 620-108 00</t>
  </si>
  <si>
    <t>ZP126</t>
  </si>
  <si>
    <t>Ĺ roub krycĂ­ EV 3,0 25280</t>
  </si>
  <si>
    <t>ZO446</t>
  </si>
  <si>
    <t>Ĺ roub krycĂ­ EV 3,6 25281</t>
  </si>
  <si>
    <t>ZO447</t>
  </si>
  <si>
    <t>Ĺ roub krycĂ­ EV 4,2 25282</t>
  </si>
  <si>
    <t>ZO448</t>
  </si>
  <si>
    <t>Ĺ roub krycĂ­ EV 4,8 25283</t>
  </si>
  <si>
    <t>ZS867</t>
  </si>
  <si>
    <t>Ĺ roub krycĂ­ EV 5.4 25284</t>
  </si>
  <si>
    <t>ZB044</t>
  </si>
  <si>
    <t>Ĺ roub ortodontickĂ˝ Bertoni 602-606-1</t>
  </si>
  <si>
    <t>ZG393</t>
  </si>
  <si>
    <t>Ĺ roub ortodontickĂ˝ Hyrax Ăˇ 10 ks 602-801-30</t>
  </si>
  <si>
    <t>ZS331</t>
  </si>
  <si>
    <t>Ĺ roubovĂˇk extra krĂˇtkĂ˝ Bioniq , hex 1.25/L17 2404.00</t>
  </si>
  <si>
    <t>ZM662</t>
  </si>
  <si>
    <t>Ĺ roubovĂˇk hex krĂˇtkĂ˝ I.25/L23 2405.00</t>
  </si>
  <si>
    <t>ZB933</t>
  </si>
  <si>
    <t>Ĺ tÄ›teÄŤky aplikaÄŤnĂ­, Ăˇ 400 ks, SD8100123</t>
  </si>
  <si>
    <t>ZL622</t>
  </si>
  <si>
    <t>Ĺ tÄ›teÄŤky jednorĂˇzovĂ© bĂ­lĂ© mÄ›kkĂ©, Ăˇ 50 ks, DC702008</t>
  </si>
  <si>
    <t>ZK532</t>
  </si>
  <si>
    <t>LahviÄŤka na ortocryl 16210000</t>
  </si>
  <si>
    <t>ZK602</t>
  </si>
  <si>
    <t>Lepidlo na perly INO372</t>
  </si>
  <si>
    <t>ZE738</t>
  </si>
  <si>
    <t>ĹetĂ­zek elast. ÄŤirĂ˝-light 400-317LF</t>
  </si>
  <si>
    <t>ZS359</t>
  </si>
  <si>
    <t>Ligatura elastickĂˇ  na tyÄŤce vnÄ›jĹˇĂ­ prĹŻmÄ›r 3,07 mm, MINI, svÄ›tle modrĂˇ, bal. 100 tyÄŤek tj. 1000 ligatur J00347</t>
  </si>
  <si>
    <t>ZS358</t>
  </si>
  <si>
    <t>Ligatura elastickĂˇ na tyÄŤce vnÄ›jĹˇĂ­ prĹŻmÄ›r 3,07 mm, MINI, ÄŤernĂˇ, bal. 100 tyÄŤek tj. 1000 ligatur J00361</t>
  </si>
  <si>
    <t>ZQ898</t>
  </si>
  <si>
    <t>Ligatura elastickĂˇ na tyÄŤce vnÄ›jĹˇĂ­ prĹŻmÄ›r 3,07 mm, MINI, modrĂˇ, bal. 100 tyÄŤek tj. 1000 ligatur J00351</t>
  </si>
  <si>
    <t>ZS360</t>
  </si>
  <si>
    <t>Ligatura elastickĂˇ na tyÄŤce vnÄ›jĹˇĂ­ prĹŻmÄ›r 3,07 mm, MINI, tmavÄ› modrĂˇ, bal. 100 tyÄŤek tj. 1000 ligatur J00349</t>
  </si>
  <si>
    <t>ZS271</t>
  </si>
  <si>
    <t>Ligatura elastickĂˇ na tyÄŤce vnÄ›jĹˇĂ­ prĹŻmÄ›r 3,07 mm, stĹ™Ă­brnĂˇ, bal. Ăˇ 100 tyÄŤek tj. 1000 ligatur J00359</t>
  </si>
  <si>
    <t>ZR495</t>
  </si>
  <si>
    <t>Ligatura elastickĂˇ na tyÄŤce, MINI, perleĹĄovĂˇ, bal. 100 tyÄŤek tj. 1000 ligatur J00337</t>
  </si>
  <si>
    <t>ZQ167</t>
  </si>
  <si>
    <t>Ligatura prefabrikovanĂˇ krĂˇtkĂˇ Kobayashi Twists 100.014 bal. Ăˇ 100 ks SHK014</t>
  </si>
  <si>
    <t>ZD798</t>
  </si>
  <si>
    <t>Light bond stĹ™Ă­kaÄŤky Ăˇ 4 ks LBPPF</t>
  </si>
  <si>
    <t>ZD089</t>
  </si>
  <si>
    <t>MÄ›Ĺ™Ă­tko koĹ™enovĂ˝ch nĂˇstrojĹŻ 397144510120</t>
  </si>
  <si>
    <t>ZN775</t>
  </si>
  <si>
    <t>MateriĂˇl fotokompozitnĂ­ pro bezkovovĂ© nĂˇhrady Signum ceramis dentin A3,5 bal. 4g Her66022944</t>
  </si>
  <si>
    <t>ZP112</t>
  </si>
  <si>
    <t>MateriĂˇl fotokompozitnĂ­ pro bezkovovĂ© nĂˇhrady Signum ceramis dentin B4 bal. 4g HK66022949</t>
  </si>
  <si>
    <t>ZN884</t>
  </si>
  <si>
    <t>MateriĂˇl fotokompozitnĂ­ pro bezkovovĂ© nĂˇhrady Signum ceramis dentin EL bal. 4g Her66022957</t>
  </si>
  <si>
    <t>ZN781</t>
  </si>
  <si>
    <t>MateriĂˇl fotokompozitnĂ­ pro kovovĂ© i bezkovovĂ© nĂˇhrady Signum Matrix Opal Schneide OS1 bal. 4 g Her66019694</t>
  </si>
  <si>
    <t>ZN786</t>
  </si>
  <si>
    <t>MateriĂˇl fotokompozitnĂ­ pro kovovĂ© i bezkovovĂ© nĂˇhrady Signum Matrix Opal Transparent OTY bal. 4 g Her66019701</t>
  </si>
  <si>
    <t>ZN790</t>
  </si>
  <si>
    <t>MateriĂˇl fotokompozitnĂ­ pro kovovĂ© i bezkovovĂ© nĂˇhrady Signum Matrix SekundĂ¤r Dentin SD1 bal. 4 g Her66019693</t>
  </si>
  <si>
    <t>ZS348</t>
  </si>
  <si>
    <t>MateriĂˇl glazovacĂ­ pro keramiku IPS Ivocolor Glaze Paste, bal. Ăˇ 9 g 9034068</t>
  </si>
  <si>
    <t>ZR879</t>
  </si>
  <si>
    <t>MateriĂˇl glazovacĂ­ pro keramiku IPS, IPS Ivocolor mixing liquid Allround Ăˇ 15 ml IVV667694</t>
  </si>
  <si>
    <t>ZQ963</t>
  </si>
  <si>
    <t>MateriĂˇl kompozitnĂ­ bis-akrylĂˇtovĂ˝  pro vĂ˝robu provizor. nĂˇhrad Protemp 4 doplĹ.balenĂ­ A2 (1 x 50ml kartuĹˇe  A2, 16 x mĂ­chacĂ­ kanyly - modrĂ©) 9020139</t>
  </si>
  <si>
    <t>ZL469</t>
  </si>
  <si>
    <t>MateriĂˇl kompozitnĂ­ Filtek Ultimate A2-B 9025146</t>
  </si>
  <si>
    <t>ZL470</t>
  </si>
  <si>
    <t>MateriĂˇl kompozitnĂ­ Filtek ultimate A3-B 9025147</t>
  </si>
  <si>
    <t>ZL575</t>
  </si>
  <si>
    <t>MateriĂˇl kompozitnĂ­ Filtek ultimate Flowable A2  9025772</t>
  </si>
  <si>
    <t>ZH722</t>
  </si>
  <si>
    <t>Matrice Fender Wedge 58122XS</t>
  </si>
  <si>
    <t>ZL447</t>
  </si>
  <si>
    <t>Matrice Hawe adapt 0,038 mm bal. Ăˇ 30 ks 581207</t>
  </si>
  <si>
    <t>ZE521</t>
  </si>
  <si>
    <t>Matrice Hawe adapt 1202581203</t>
  </si>
  <si>
    <t>ZL445</t>
  </si>
  <si>
    <t>Matrice Hawe adapt 1204581204</t>
  </si>
  <si>
    <t>ZL448</t>
  </si>
  <si>
    <t>Matrice Hawe adapt 1205581205</t>
  </si>
  <si>
    <t>ZL446</t>
  </si>
  <si>
    <t>Matrice Hawe adapt 1208581208</t>
  </si>
  <si>
    <t>ZC336</t>
  </si>
  <si>
    <t>Matrice Hawe Striproll ĹˇĂ­Ĺ™ka 6 mm dĂ©lka 15 m transparentnĂ­ HW686</t>
  </si>
  <si>
    <t>ZC447</t>
  </si>
  <si>
    <t>Matrice Hawe Striproll ĹˇĂ­Ĺ™ka 8 mm dĂ©lka 15 m transparentnĂ­ HW685</t>
  </si>
  <si>
    <t>ZS021</t>
  </si>
  <si>
    <t>Matrice pĂˇskovĂˇ Matrix Strip ST, 3m v kotouÄŤi, ĹˇĂ­Ĺ™ka 5 mm, tlouĹˇĹĄka 0,03 mm 9005786</t>
  </si>
  <si>
    <t>ZS020</t>
  </si>
  <si>
    <t>Matrice pĂˇskovĂˇ Matrix Strip ST, 3m v kotouÄŤi, ĹˇĂ­Ĺ™ka 6 mm, tlouĹˇĹĄka 0,03 mm 9005787</t>
  </si>
  <si>
    <t>ZS022</t>
  </si>
  <si>
    <t>Matrice pĂˇskovĂˇ Matrix Strip ST, 3m v kotouÄŤi, ĹˇĂ­Ĺ™ka 7 mm, tlouĹˇĹĄka 0,03 mm 9005788</t>
  </si>
  <si>
    <t>ZP796</t>
  </si>
  <si>
    <t>Matrice pro OT Equator, sada - retenÄŤnĂ­ matrice (fialovĂˇ- pevnĂˇ),  2,7 kg, bal. Ăˇ 4 ks 993140CEV</t>
  </si>
  <si>
    <t>ZP799</t>
  </si>
  <si>
    <t>Matrice pro OT Equator, sada - retenÄŤnĂ­ matrice (ĹľlutĂˇ - extra mÄ›kkĂˇ), 0,6 kg, bal. Ăˇ 4 ks 993140CEG</t>
  </si>
  <si>
    <t>ZP795</t>
  </si>
  <si>
    <t>Matrice pro OT Equator, sada (1 x nerez pouzdro, 1 x laboratornĂ­ matrice -ÄŤernĂˇ, 4 x retenÄŤnĂ­ matrice -ĹľlutĂˇ 0,6 kg, fialovĂˇ 2,7 kg, bĂ­lĂˇ 1,8 kg, rĹŻĹľovĂˇ 1,2 kg, 1 x ochrannĂ˝ disk) 993192ECE</t>
  </si>
  <si>
    <t>ZQ687</t>
  </si>
  <si>
    <t>MembrĂˇna Bio-Gide Compressed 20x30mm AT500372</t>
  </si>
  <si>
    <t>ZF449</t>
  </si>
  <si>
    <t>MĹ™Ă­Ĺľka tvarovanĂˇ-pozlac.Ăˇ 10 ks DM 318-104</t>
  </si>
  <si>
    <t>ZD864</t>
  </si>
  <si>
    <t>NĂˇstroj Le Cron malĂ˝ TD21841</t>
  </si>
  <si>
    <t>ZE860</t>
  </si>
  <si>
    <t>NĂˇstroj modelovacĂ­ ÄŤervenĂ˝ HSL033-00</t>
  </si>
  <si>
    <t>ZF585</t>
  </si>
  <si>
    <t>NĂˇstroj modelovacĂ­ HSL032-00</t>
  </si>
  <si>
    <t>ZD826</t>
  </si>
  <si>
    <t>NĂˇstroj modelovacĂ­ LeCron 155520180</t>
  </si>
  <si>
    <t>ZC362</t>
  </si>
  <si>
    <t>NĂˇstroj modelovacĂ­ Zahle HSL060-03</t>
  </si>
  <si>
    <t>ZG166</t>
  </si>
  <si>
    <t>NĂˇstroj modelovacĂ­ Zahle zelenĂ˝ HSL030-00</t>
  </si>
  <si>
    <t>ZC403</t>
  </si>
  <si>
    <t>NĂˇstroj na zubnĂ­ kĂˇmen srpkovĂ˝ 0,6 mm 155 mm 397147510030</t>
  </si>
  <si>
    <t>ZG518</t>
  </si>
  <si>
    <t>NĂˇvlek na senzor RVG  bal. Ăˇ 500 ks 582024</t>
  </si>
  <si>
    <t>ZC517</t>
  </si>
  <si>
    <t>Nit dentĂˇlnĂ­ BT485</t>
  </si>
  <si>
    <t>ZE685</t>
  </si>
  <si>
    <t>Nit elastickĂˇ ÄŤirĂˇ 18 x 18 ECM0695</t>
  </si>
  <si>
    <t>ZS215</t>
  </si>
  <si>
    <t>Nit zubnĂ­ Miraflos Big, bĂ­lĂˇ, nĂˇhradnĂ­ role, voskovanĂˇ, dĂ©lka 200 m 0122832</t>
  </si>
  <si>
    <t>ZE700</t>
  </si>
  <si>
    <t>Nit zubnĂ­ vosk M+W 15 m 0000877</t>
  </si>
  <si>
    <t>ZE411</t>
  </si>
  <si>
    <t>NĹŻĹľ modelovacĂ­ 130 mm 397155520212</t>
  </si>
  <si>
    <t>ZE412</t>
  </si>
  <si>
    <t>NĹŻĹľ modelovacĂ­ 175 mm 397155520222</t>
  </si>
  <si>
    <t>ZE413</t>
  </si>
  <si>
    <t>NĹŻĹľ na sĂˇdru 180 mm 121520050</t>
  </si>
  <si>
    <t>ZC922</t>
  </si>
  <si>
    <t>OÄŤko Opti-MIM 430-005</t>
  </si>
  <si>
    <t>ZF554</t>
  </si>
  <si>
    <t>ObrĂˇzek do ortodontickĂ˝ch aparĂˇtkĹŻ beruĹˇka Ăˇ 20 ks 160-100-05</t>
  </si>
  <si>
    <t>ZC821</t>
  </si>
  <si>
    <t>Occlu spray zelenĂ˝ 75 ml 00093</t>
  </si>
  <si>
    <t>ZL700</t>
  </si>
  <si>
    <t>Opal effect 2 Ăˇ 20g IV593276</t>
  </si>
  <si>
    <t>ZD039</t>
  </si>
  <si>
    <t>Opaquer B3 Ăˇ 3g IV593167</t>
  </si>
  <si>
    <t>ZL704</t>
  </si>
  <si>
    <t>Opaquer D2 Ăˇ 3g IV593173</t>
  </si>
  <si>
    <t>ZG296</t>
  </si>
  <si>
    <t>OptiBond FL 0036191</t>
  </si>
  <si>
    <t>ZC485</t>
  </si>
  <si>
    <t>Oralium 1000 g 1600/0</t>
  </si>
  <si>
    <t>ZD313</t>
  </si>
  <si>
    <t>Oranwash L 140 ml IX2877</t>
  </si>
  <si>
    <t>ZC451</t>
  </si>
  <si>
    <t>Orthocryl E Q prĂˇĹˇek transparent 1kg 160-300</t>
  </si>
  <si>
    <t>ZD386</t>
  </si>
  <si>
    <t>Orthocryl lig.ÄŤirĂ© 500 161-100</t>
  </si>
  <si>
    <t>ZD140</t>
  </si>
  <si>
    <t>PĂˇjka univerzĂˇlnĂ­ stĹ™Ă­brnĂˇ - 700Â°C 380-604-50</t>
  </si>
  <si>
    <t>ZC822</t>
  </si>
  <si>
    <t>PĂˇska brusnĂˇ 50 m zrnitost 120 IN0820</t>
  </si>
  <si>
    <t>ZG569</t>
  </si>
  <si>
    <t>PĂˇska brusnĂˇ 50 m zrnitost 180 IN0821</t>
  </si>
  <si>
    <t>ZS107</t>
  </si>
  <si>
    <t>PĂˇska Sof-Lex dokonÄŤovacĂ­ a leĹˇtĂ­cĂ­ pro leĹˇtÄ›nĂ­ kompozit, kompomerĹŻ a keramiky, pro aproximĂˇlnĂ­ oblasti jemnĂˇ/x-jemnĂˇ, bal. Ăˇ 120 ks 0016802</t>
  </si>
  <si>
    <t>ZS108</t>
  </si>
  <si>
    <t>PĂˇska Sof-Lex dokonÄŤovacĂ­ a leĹˇtĂ­cĂ­ pro leĹˇtÄ›nĂ­ kompozit, kompomerĹŻ a keramiky, pro aproximĂˇlnĂ­ oblastileĹˇtĂ­cĂ­ hrubĂˇ/stĹ™ednĂ­ ĂşzkĂˇ, bal. Ăˇ 100 ks 0016803</t>
  </si>
  <si>
    <t>ZH899</t>
  </si>
  <si>
    <t>PĂˇsky stripovacĂ­ jednostrannĂ© 106-220</t>
  </si>
  <si>
    <t>ZB984</t>
  </si>
  <si>
    <t>PĂˇtradlo zubnĂ­ lomenĂ©-krĂˇtkĂ© 397133510040</t>
  </si>
  <si>
    <t>ZC319</t>
  </si>
  <si>
    <t>PapĂ­r artikulaÄŤnĂ­ modroÄŤerv. l 12 x 10 listĹŻ 102</t>
  </si>
  <si>
    <t>ZC320</t>
  </si>
  <si>
    <t>PĂ­sek Cobra White 50 my 1 kg</t>
  </si>
  <si>
    <t>ZC462</t>
  </si>
  <si>
    <t>PĂ­sek Interalox 250 7 kg 00404</t>
  </si>
  <si>
    <t>ZS213</t>
  </si>
  <si>
    <t>Pasta ApexCal pro pĹ™Ă­pravu vloĹľky dezinfekÄŤnĂ­ provizornĂ­, na bĂˇzi hydroxidu vĂˇpenatĂ©ho, balenĂ­ 2 x 2,5g stĹ™Ă­kaÄŤka, 15 x aplikaÄŤnĂ­ kanyla 0091330</t>
  </si>
  <si>
    <t>ZC328</t>
  </si>
  <si>
    <t>pasta Calxyd  2 x 3,5 g 4142120</t>
  </si>
  <si>
    <t>ZC300</t>
  </si>
  <si>
    <t>Pasta Depural Neo 60 g 4816210</t>
  </si>
  <si>
    <t>ZE019</t>
  </si>
  <si>
    <t>Pasta leĹˇtĂ­cĂ­ Opal 35 g 520.0000RE</t>
  </si>
  <si>
    <t>ZJ765</t>
  </si>
  <si>
    <t>Pasta pro vypalovĂˇnĂ­ v keramickĂ© peci Ăˇ 12 g VIEFP12</t>
  </si>
  <si>
    <t>ZD589</t>
  </si>
  <si>
    <t>Pattern Resin-prĂˇĹˇek 100 g GCREPR001</t>
  </si>
  <si>
    <t>ZC477</t>
  </si>
  <si>
    <t>Pemza leĹˇtĂ­cĂ­  5kg 260000013</t>
  </si>
  <si>
    <t>ZQ890</t>
  </si>
  <si>
    <t>PerliÄŤky pro profylaxi Prophypearls, pro Prophyflex 3, pĹ™Ă­chĹĄ neutrĂˇnĂ­, bal. 80x15 g 0082890</t>
  </si>
  <si>
    <t>ZG718</t>
  </si>
  <si>
    <t>PilĂ­Ĺ™ attachment locator D3.7/L3 01210</t>
  </si>
  <si>
    <t>ZN212</t>
  </si>
  <si>
    <t>PilĂ­Ĺ™ Attachment LOCATOR IMPLADENT L5, prĹŻmÄ›r 3,7 mm 01212</t>
  </si>
  <si>
    <t>ZD465</t>
  </si>
  <si>
    <t>PilnĂ­k K - File 397144518762</t>
  </si>
  <si>
    <t>ZI685</t>
  </si>
  <si>
    <t>PilnĂ­k K - File 397144518772</t>
  </si>
  <si>
    <t>ZP866</t>
  </si>
  <si>
    <t>PilnĂ­k K-File L31 prĹŻmÄ›ry 0,20 - 0,80 mm dĂ©lka 31 mm sada = 6 ks 397144519062</t>
  </si>
  <si>
    <t>ZL713</t>
  </si>
  <si>
    <t>PilnĂ­k K-File L31 prĹŻmÄ›ry 0,30 mm dĂ©lka 31 mm bal. Ăˇ 6 ks  397144519082</t>
  </si>
  <si>
    <t>ZQ672</t>
  </si>
  <si>
    <t>PilnĂ­k K-File prĹŻmÄ›r 0,10 dĂ©lka 31 mm sada = 6 ks 397144519062</t>
  </si>
  <si>
    <t>ZQ674</t>
  </si>
  <si>
    <t>PilnĂ­k K-File prĹŻmÄ›r 0,35 dĂ©lka 31 mm sada = 6 ks 397144519092</t>
  </si>
  <si>
    <t>ZS293</t>
  </si>
  <si>
    <t>PlniÄŤ do kolĂ©nka rotaÄŤnĂ­ Paste Carrier, prĹŻmÄ›r 0,25 mm, dĂ©lka 25 mm, ÄŤervenĂ˝, bal. Ăˇ 4 ks 397144512100</t>
  </si>
  <si>
    <t>ZO907</t>
  </si>
  <si>
    <t>PomĹŻcka k odtaĹľenĂ­ rtĹŻ Optragate Regular bezlatexovĂˇ bal. Ăˇ 80 ks 0091611</t>
  </si>
  <si>
    <t>ZQ255</t>
  </si>
  <si>
    <t>PomĹŻcka k odtaĹľenĂ­ rtĹŻ Optragate small bezlatexovĂˇ bal. Ăˇ 80 ks 0091612</t>
  </si>
  <si>
    <t>ZP801</t>
  </si>
  <si>
    <t>Pouzdro nerez pro matrice 993140, bal. Ăˇ 2 kusy 993141CAE</t>
  </si>
  <si>
    <t>ZQ889</t>
  </si>
  <si>
    <t>PrĂˇĹˇek do pĂ­skovaÄŤe RondoFlex, k air-abrasion oĹˇetĹ™enĂ­, vel. ÄŤĂˇstic  50 Âµm, bal. Ăˇ 1000 g 0182004</t>
  </si>
  <si>
    <t>ZE020</t>
  </si>
  <si>
    <t>Preci-vertix P sada (6 ks patric 1813, 6 ks ĹľlutĂ˝ch matric, 1 ks zavadÄ›ÄŤ) AD1811</t>
  </si>
  <si>
    <t>ZC360</t>
  </si>
  <si>
    <t>Premacryl liq.bezbarvĂ˝ 250 ml 4342921</t>
  </si>
  <si>
    <t>ZC565</t>
  </si>
  <si>
    <t>Premacryl prĂˇĹˇek rĹŻĹľovĂ˝ 500 g 4342405</t>
  </si>
  <si>
    <t>ZD470</t>
  </si>
  <si>
    <t>Premacryl prĂˇĹˇek transparent 500 g 4342400</t>
  </si>
  <si>
    <t>ZC453</t>
  </si>
  <si>
    <t>Prime-bond 60667240</t>
  </si>
  <si>
    <t>ZS803</t>
  </si>
  <si>
    <t>ProhlubeĹ licĂ­ voskovĂˇ velkĂˇ, prĹŻm. 30mm, bal. Ăˇ 50 ks 12.1022</t>
  </si>
  <si>
    <t>ZB277</t>
  </si>
  <si>
    <t>PronikaÄŤ K - File 063025015</t>
  </si>
  <si>
    <t>ZH124</t>
  </si>
  <si>
    <t>PronikaÄŤ K - File VDW063025010</t>
  </si>
  <si>
    <t>ZD038</t>
  </si>
  <si>
    <t>PronikaÄŤ k-reamer 397144517492</t>
  </si>
  <si>
    <t>ZS332</t>
  </si>
  <si>
    <t>PronikaÄŤ K-Reamer L 31, prĹŻmÄ›r 0,10 mm, dĂ©lka 31 mm , bal. Ăˇ 6 ks 397144517772</t>
  </si>
  <si>
    <t>ZJ756</t>
  </si>
  <si>
    <t>PronikaÄŤ k-reamers 029015</t>
  </si>
  <si>
    <t>ZI095</t>
  </si>
  <si>
    <t>PronikaÄŤ k-reamers 053025010</t>
  </si>
  <si>
    <t>ZA422</t>
  </si>
  <si>
    <t>ProstĹ™edek izolaÄŤnĂ­ picosep Ăˇ 30 ml 1552.0030</t>
  </si>
  <si>
    <t>ZG856</t>
  </si>
  <si>
    <t>ProstĹ™edek na ÄŤiĹˇĹĄ. koĹ™en. kanĂˇlkĹŻ FileCare EDTA/vdw/ stĹ™Ă­kaÄŤky 5 x 3 ml 0858649</t>
  </si>
  <si>
    <t>ZB638</t>
  </si>
  <si>
    <t>ProtahovĂˇÄŤek HedstrĂ©m 073025010</t>
  </si>
  <si>
    <t>ZC928</t>
  </si>
  <si>
    <t>ProtahovĂˇÄŤek HedstrĂ©m 073025015</t>
  </si>
  <si>
    <t>ZO132</t>
  </si>
  <si>
    <t>ProtahovĂˇÄŤek h-file 0,08 397144515832</t>
  </si>
  <si>
    <t>ZP364</t>
  </si>
  <si>
    <t>ProtahovĂˇÄŤek H-File 025 dĂ©lka 31 mm ÄŤervenĂ˝ bal. Ăˇ 6 ks 397144515432</t>
  </si>
  <si>
    <t>ZC417</t>
  </si>
  <si>
    <t>Protemp 3 Garant 1 x 50 ml A3</t>
  </si>
  <si>
    <t>ZC921</t>
  </si>
  <si>
    <t>PruĹľina open v cĂ­vce (100-751) F00062</t>
  </si>
  <si>
    <t>ZJ766</t>
  </si>
  <si>
    <t>PryskyĹ™ice LC Block-out resin sada UD240</t>
  </si>
  <si>
    <t>ZC312</t>
  </si>
  <si>
    <t>Remanium CS 1 kg, 102-403</t>
  </si>
  <si>
    <t>ZG423</t>
  </si>
  <si>
    <t>Remanium g-weich Ăˇ 1000g 100-001</t>
  </si>
  <si>
    <t>ZC313</t>
  </si>
  <si>
    <t>Repin 800 g orig. 4241110</t>
  </si>
  <si>
    <t>ZQ059</t>
  </si>
  <si>
    <t>Roztok k ochranÄ› gigivy Rubber Dam Liquid - tekutĂ˝ kofferdam, bal. 1 x 1,2 ml 9033141</t>
  </si>
  <si>
    <t>ZM729</t>
  </si>
  <si>
    <t>Roztok na otiskovacĂ­ hmotu VPS Tray Adhezivum ES7307</t>
  </si>
  <si>
    <t>ZC527</t>
  </si>
  <si>
    <t>SĂˇdra alabastr. 0301/25 Ăˇ 25 kg</t>
  </si>
  <si>
    <t>ZC450</t>
  </si>
  <si>
    <t>SĂˇdra efektor otisk 25 kg 4251135</t>
  </si>
  <si>
    <t>ZA277</t>
  </si>
  <si>
    <t>SĂˇdra Hinristone zelenĂ˝ 25 kg 0612/25</t>
  </si>
  <si>
    <t>ZD469</t>
  </si>
  <si>
    <t>SĂˇdra Hinristone zlatoh. 25 kg 0613/25</t>
  </si>
  <si>
    <t>ZC441</t>
  </si>
  <si>
    <t>SĂˇdra marmodent 0208/25 Ăˇ 25 kg</t>
  </si>
  <si>
    <t>ZN548</t>
  </si>
  <si>
    <t>Sada flexistone Plus DC005115</t>
  </si>
  <si>
    <t>ZC949</t>
  </si>
  <si>
    <t>Sada Gingivamoil DC03053</t>
  </si>
  <si>
    <t>ZC561</t>
  </si>
  <si>
    <t>Sada na leĹˇtÄ›nĂ­ amalgam. vĂ˝plnĂ­ (2 ks Amalgam reducerĹŻ, 5 ks Alphaflex hnÄ›dĂ©, 5 ks Alphaflex zelenĂ©) 9000288</t>
  </si>
  <si>
    <t>ZL506</t>
  </si>
  <si>
    <t>Sada na leptĂˇnĂ­ porcelain etch silane 9007952</t>
  </si>
  <si>
    <t>ZG719</t>
  </si>
  <si>
    <t>Sada protetickĂˇ locator Ăˇ 2 ks 08519-2</t>
  </si>
  <si>
    <t>ZQ678</t>
  </si>
  <si>
    <t>Savka Hygovac V 1000G zelenĂ©, PP, dĂ©lka 140 mm konce 45Â° a S autoklĂˇvovatelnĂ© bal. Ăˇ 100 ks V1000G</t>
  </si>
  <si>
    <t>ZQ988</t>
  </si>
  <si>
    <t>Savka M+W pro dÄ›ti, zelenĂˇ, dĂ©lka 10,8 cm, ĹˇĂ­Ĺ™ka 1 cm, spojka o prĹŻmÄ›ru 16 mm, autoklĂˇvovatelnĂˇ, bal. Ăˇ 10 ks 0300612</t>
  </si>
  <si>
    <t>ZQ987</t>
  </si>
  <si>
    <t>Savka M+W pro dospÄ›lĂ©, modrĂˇ, dĂ©lka 12,4 cm, ĹˇĂ­Ĺ™ka 1,5 cm, spojka o prĹŻmÄ›ru 16 mm, autoklĂˇvovatelnĂˇ, bal. Ăˇ 10 ks 0300603</t>
  </si>
  <si>
    <t>ZL468</t>
  </si>
  <si>
    <t>Savka s odnĂ­m.koncovkou - transp. bal.Ăˇ 100 ks,  MSF6007</t>
  </si>
  <si>
    <t>ZD005</t>
  </si>
  <si>
    <t>Separating fluid 500 ml 1/V3651</t>
  </si>
  <si>
    <t>ZD576</t>
  </si>
  <si>
    <t>Signum c+b opaque lig.4 ml HK64714198</t>
  </si>
  <si>
    <t>ZD115</t>
  </si>
  <si>
    <t>Signum Margin Ăˇ 4 g SM4001</t>
  </si>
  <si>
    <t>ZE689</t>
  </si>
  <si>
    <t>Signum metal bond 1 4 ml HK66033915</t>
  </si>
  <si>
    <t>ZD235</t>
  </si>
  <si>
    <t>Signum metal bond 2 4 ml HK66033916</t>
  </si>
  <si>
    <t>ZC481</t>
  </si>
  <si>
    <t>Siloflex plus catal. 60 g 4213310</t>
  </si>
  <si>
    <t>ZC480</t>
  </si>
  <si>
    <t>Siloflex plus light 200 g 4213210</t>
  </si>
  <si>
    <t>ZC479</t>
  </si>
  <si>
    <t>Siloflex plus putty 1350 g 4213110</t>
  </si>
  <si>
    <t>ZF338</t>
  </si>
  <si>
    <t>Sof-lex disky ES8692M</t>
  </si>
  <si>
    <t>ZC552</t>
  </si>
  <si>
    <t>Sof-lex disky ES8692SF</t>
  </si>
  <si>
    <t>ZC457</t>
  </si>
  <si>
    <t>Solitine (Kerr) 60084</t>
  </si>
  <si>
    <t>ZD351</t>
  </si>
  <si>
    <t>Speedex Universal Aktivator 1 x 60 ml - 60 g IX4990</t>
  </si>
  <si>
    <t>ZC471</t>
  </si>
  <si>
    <t>Spofacryl orig. 100g O 4318200</t>
  </si>
  <si>
    <t>ZR718</t>
  </si>
  <si>
    <t>Spoj zĂˇsuvnĂ˝ Matrix Bredent yellow vs 3 mini sv bal. bal. Ăˇ 8 ks 430 0733 3</t>
  </si>
  <si>
    <t>ZC373</t>
  </si>
  <si>
    <t>Sprej cognoscin orig. 120 g 1IX1140</t>
  </si>
  <si>
    <t>ZL577</t>
  </si>
  <si>
    <t>Sprej Kavo 4119640KA</t>
  </si>
  <si>
    <t>ZH467</t>
  </si>
  <si>
    <t>Sprej Kavo QUATTROCARE Ăˇ 6 ks (6 lahvĂ­) KaVo QUATTROcare spreje a 500 ml 1.011.5720</t>
  </si>
  <si>
    <t>ZI700</t>
  </si>
  <si>
    <t>StojĂˇnek keramickĂ˝ - sada G VI9256</t>
  </si>
  <si>
    <t>ZC359</t>
  </si>
  <si>
    <t>Stomaflex lak 140 g 600056</t>
  </si>
  <si>
    <t>ZC304</t>
  </si>
  <si>
    <t>Stomaflex varnish (lak) 140 g 4817330</t>
  </si>
  <si>
    <t>ZC439</t>
  </si>
  <si>
    <t>Superacryl plus 0  a 500 gr pl 4328411</t>
  </si>
  <si>
    <t>ZC358</t>
  </si>
  <si>
    <t>Superacryl plus liq. 250 ml 4328902</t>
  </si>
  <si>
    <t>ZD531</t>
  </si>
  <si>
    <t>Superacryl plus PLV. 500 g 4328417</t>
  </si>
  <si>
    <t>ZC357</t>
  </si>
  <si>
    <t>Superacryl plus Z a 500 gr pl 4328414</t>
  </si>
  <si>
    <t>ZF676</t>
  </si>
  <si>
    <t>Superpont dentin 100g 4324220</t>
  </si>
  <si>
    <t>ZJ301</t>
  </si>
  <si>
    <t>SystĂ©m adhezivnĂ­ F-Splint-Aid (1x lahviÄŤka s pĂˇskou a bondem ĹˇĂ­Ĺ™ka 4 mm, dĂ©lka 12 cm + 5x aplikaÄŤnĂ­ svorka)</t>
  </si>
  <si>
    <t>ZF481</t>
  </si>
  <si>
    <t>Tah gumovĂ˝ intraor.-medium 1/4" 407-041S</t>
  </si>
  <si>
    <t>ZF689</t>
  </si>
  <si>
    <t>Tahy gumovĂ© intraor.-medium 1/8" 407-021S</t>
  </si>
  <si>
    <t>ZD390</t>
  </si>
  <si>
    <t>Tahy gumovĂ© intraor.-medium 3/16" 407-031S</t>
  </si>
  <si>
    <t>ZD095</t>
  </si>
  <si>
    <t>Tekutina expanznĂ­ sheraifina 1l 1501SH</t>
  </si>
  <si>
    <t>ZD290</t>
  </si>
  <si>
    <t>Tetric Evo 2g Flow A2</t>
  </si>
  <si>
    <t>ZF188</t>
  </si>
  <si>
    <t>Tetric Evo Flow 2 g  A1</t>
  </si>
  <si>
    <t>ZC563</t>
  </si>
  <si>
    <t>Tokuso rebase 1/X7045</t>
  </si>
  <si>
    <t>ZI924</t>
  </si>
  <si>
    <t>Tryska rozpraĹˇovacĂ­ na Orthocryl 162-751-00</t>
  </si>
  <si>
    <t>ZB842</t>
  </si>
  <si>
    <t>UpravovaÄŤ voskovĂ˝ch valĹŻ (9102607) 69600010</t>
  </si>
  <si>
    <t>ZR475</t>
  </si>
  <si>
    <t>VĂˇleÄŤek vhojovacĂ­  EV Dentsply 3,0 pr. 4 vĂ˝Ĺˇka 6,5 mm bez antirotaÄŤnĂ­ho prvku 25796</t>
  </si>
  <si>
    <t>ZO991</t>
  </si>
  <si>
    <t>VĂˇleÄŤek vhojovacĂ­ Dentsply EV 3.0, pr. 3.5 mm vĂ˝Ĺˇka 3.5 mm 25298</t>
  </si>
  <si>
    <t>ZO993</t>
  </si>
  <si>
    <t>VĂˇleÄŤek vhojovacĂ­ Dentsply EV 3.6 pr. 4.0 mm vĂ˝Ĺˇka 3.5 mm 25300</t>
  </si>
  <si>
    <t>ZO994</t>
  </si>
  <si>
    <t>VĂˇleÄŤek vhojovacĂ­ Dentsply EV 3.6 pr. 4.0 mm vĂ˝Ĺˇka 4.5 mm 25299</t>
  </si>
  <si>
    <t>ZP382</t>
  </si>
  <si>
    <t>VĂˇleÄŤek vhojovacĂ­ Dentsply EV 4,8 pr. 5.0, 3,5 mm 25502</t>
  </si>
  <si>
    <t>ZO825</t>
  </si>
  <si>
    <t>VĂˇleÄŤek vhojovacĂ­ Dentsply EV 4,8 prĹŻmÄ›r 6,5 mm vĂ˝Ĺˇka 4,5 mm 25306</t>
  </si>
  <si>
    <t>ZO995</t>
  </si>
  <si>
    <t>VĂˇleÄŤek vhojovacĂ­ Dentsply EV 4.2 pr. 5.0 mm vĂ˝Ĺˇka 3.5 mm 25501</t>
  </si>
  <si>
    <t>ZO996</t>
  </si>
  <si>
    <t>VĂˇleÄŤek vhojovacĂ­ Dentsply EV 4.2 pr. 5.0 mm vĂ˝Ĺˇka 4.5 mm 25302</t>
  </si>
  <si>
    <t>ZO998</t>
  </si>
  <si>
    <t>VĂˇleÄŤek vhojovacĂ­ Dentsply EV 5.4 pr. 6.5 mm vĂ˝Ĺˇka 4.5 mm 25308</t>
  </si>
  <si>
    <t>ZQ639</t>
  </si>
  <si>
    <t>VĂˇleÄŤek vhojovacĂ­ Profile EV 4,8 pr. 5,0, vĂ˝Ĺˇka 4,5 mm 25914</t>
  </si>
  <si>
    <t>ZQ424</t>
  </si>
  <si>
    <t>VĂˇleÄŤek zubnĂ­ DENTALPAD vel. 1 prĹŻm. 8 mm bal. Ăˇ 750 ks 1320100502</t>
  </si>
  <si>
    <t>ZQ425</t>
  </si>
  <si>
    <t>VĂˇleÄŤek zubnĂ­ DENTALPAD vel. 2 prĹŻm. 10 mm bal. Ăˇ 750 ks 1320200503</t>
  </si>
  <si>
    <t>ZH210</t>
  </si>
  <si>
    <t>Vidlice skusovĂˇ-Foxova deska (69600025) 662451</t>
  </si>
  <si>
    <t>ZC577</t>
  </si>
  <si>
    <t>VlĂˇkno retraÄŤnĂ­ Ultrapak ÄŤ.000 UD9331</t>
  </si>
  <si>
    <t>ZC952</t>
  </si>
  <si>
    <t>VlĂˇkno retrakÄŤnĂ­ Ultrapack 1 UD9334</t>
  </si>
  <si>
    <t>ZI732</t>
  </si>
  <si>
    <t>VlĂˇkno retrakÄŤnĂ­ Ultrapak ÄŤ.00 dĂ©lka vlĂˇkna v lahviÄŤce 244 cm ĹľlutĂ© UD9332</t>
  </si>
  <si>
    <t>ZC850</t>
  </si>
  <si>
    <t>VlĂˇkno Ultrapak ÄŤ. 0 509333</t>
  </si>
  <si>
    <t>ZG158</t>
  </si>
  <si>
    <t>VlĂˇkno wedjets na kofferdam 2,1 m barva ĹľlutĂˇ 0035117</t>
  </si>
  <si>
    <t>ZN191</t>
  </si>
  <si>
    <t>VlĂˇkno zubnĂ­ Mira floss bĂ­lĂ© voskovanĂ© nĂˇhradnĂ­ role 0122833</t>
  </si>
  <si>
    <t>ZN018</t>
  </si>
  <si>
    <t>VlĂˇkno zubnĂ­ Mira floss zĂˇsobnĂ­k Big 605735</t>
  </si>
  <si>
    <t>ZL943</t>
  </si>
  <si>
    <t>VlĂˇkno zubnĂ­ super floss 0098890</t>
  </si>
  <si>
    <t>ZG568</t>
  </si>
  <si>
    <t>Vosk cervikĂˇlnĂ­ fialovĂ˝, tvrdĂ˝ Ăˇ 50 g IN0291</t>
  </si>
  <si>
    <t>ZC448</t>
  </si>
  <si>
    <t>Vosk korunkovĂ˝ - sl. kost 50 g IN0286</t>
  </si>
  <si>
    <t>ZC555</t>
  </si>
  <si>
    <t>Vosk mÄ›kkĂ˝ modelovacĂ­ ceradent 1000 g vosku v destiÄŤkĂˇch 155 x 75 mm s tlouĹˇĹĄkou 1,2 - 1,4 mm 4411115</t>
  </si>
  <si>
    <t>ZG695</t>
  </si>
  <si>
    <t>Vosk modelovacĂ­ - speciĂˇl letnĂ­ 1,5 mm 2500 g 9001516</t>
  </si>
  <si>
    <t>ZP247</t>
  </si>
  <si>
    <t>VrtĂˇÄŤek tvrdokovovĂ˝ bal. Ăˇ 5 ks HM1SQ016314BB</t>
  </si>
  <si>
    <t>ZG444</t>
  </si>
  <si>
    <t>VrtĂˇÄŤek tvrdokovovĂ˝ HM1018316C</t>
  </si>
  <si>
    <t>ZR987</t>
  </si>
  <si>
    <t>VrtĂˇÄŤek tvrdokovovĂ˝ kuliÄŤka  RA 500.204.0 01.102.021 bal. Ăˇ 5 ks 397142518253</t>
  </si>
  <si>
    <t>ZR986</t>
  </si>
  <si>
    <t>VrtĂˇÄŤek tvrdokovovĂ˝ kuliÄŤka RA 500.204.0 01.102.023 bal. Ăˇ 5 ks 397142518263</t>
  </si>
  <si>
    <t>ZR984</t>
  </si>
  <si>
    <t>VrtĂˇÄŤek tvrdokovovĂ˝ kuliÄŤka RA US7 500.2 04.001.001.021 bal. Ăˇ 5 ks 397142511083</t>
  </si>
  <si>
    <t>ZR985</t>
  </si>
  <si>
    <t>VrtĂˇÄŤek tvrdokovovĂ˝ kuliÄŤka RA US8 500.2 04.001.001.023 bal. Ăˇ 5 ks 397142511093</t>
  </si>
  <si>
    <t>ZD292</t>
  </si>
  <si>
    <t>VzornĂ­k Vitapan VIB027C (pĹŻv.k.ÄŤ. VI9970)</t>
  </si>
  <si>
    <t>ZC301</t>
  </si>
  <si>
    <t>Ypeen 800 g dĂłza 100066</t>
  </si>
  <si>
    <t>ZC920</t>
  </si>
  <si>
    <t>ZĂˇmky elite medium twin set. 022 707-398</t>
  </si>
  <si>
    <t>ZN016</t>
  </si>
  <si>
    <t>ZĂˇtka pro ÄŤepy BiPin bal. Ăˇ 500 ks RE322000</t>
  </si>
  <si>
    <t>ZE025</t>
  </si>
  <si>
    <t>Zuby primodent pĹ™ednĂ­ PO609</t>
  </si>
  <si>
    <t>ZD528</t>
  </si>
  <si>
    <t>Zuby primodent zadnĂ­ PO610</t>
  </si>
  <si>
    <t>Spotřeba zdravotnického materiálu - orientační přehled</t>
  </si>
  <si>
    <t>3 NLZP</t>
  </si>
  <si>
    <t>4 THP</t>
  </si>
  <si>
    <t>(prázdné)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</si>
  <si>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</si>
  <si>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</si>
  <si>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</si>
  <si>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</si>
  <si>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</si>
  <si>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</si>
  <si>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</si>
  <si>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</si>
  <si>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</si>
  <si>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ON Data</t>
  </si>
  <si>
    <t>lékaři pod odborným dozorem</t>
  </si>
  <si>
    <t>zubní lékaři</t>
  </si>
  <si>
    <t>zubní lékaři specialisté</t>
  </si>
  <si>
    <t>všeobecné sestry bez dohl.</t>
  </si>
  <si>
    <t>všeobecné sestry bez dohl., spec.</t>
  </si>
  <si>
    <t>radiologičtí asistenti</t>
  </si>
  <si>
    <t>zubní technici</t>
  </si>
  <si>
    <t>dělníci</t>
  </si>
  <si>
    <t>THP</t>
  </si>
  <si>
    <t>Specializovaná ambulantní péče</t>
  </si>
  <si>
    <t>014 - Pracoviště praktického zubního lékaře</t>
  </si>
  <si>
    <t>015 - Pracoviště čelistní ortopedie</t>
  </si>
  <si>
    <t>Zdravotní výkony vykázané na pracovišti v rámci ambulantní péče *</t>
  </si>
  <si>
    <t>beze jména</t>
  </si>
  <si>
    <t>2422</t>
  </si>
  <si>
    <t>2423</t>
  </si>
  <si>
    <t>2424</t>
  </si>
  <si>
    <t>2425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</si>
  <si>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</si>
  <si>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</si>
  <si>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</si>
  <si>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</si>
  <si>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014</t>
  </si>
  <si>
    <t>4</t>
  </si>
  <si>
    <t>0070001</t>
  </si>
  <si>
    <t>0071601</t>
  </si>
  <si>
    <t>0072001</t>
  </si>
  <si>
    <t>0080001</t>
  </si>
  <si>
    <t>0080002</t>
  </si>
  <si>
    <t>0080004</t>
  </si>
  <si>
    <t>0080011</t>
  </si>
  <si>
    <t>0080012</t>
  </si>
  <si>
    <t>0080021</t>
  </si>
  <si>
    <t>0080031</t>
  </si>
  <si>
    <t>0080051</t>
  </si>
  <si>
    <t>0080061</t>
  </si>
  <si>
    <t>0081042</t>
  </si>
  <si>
    <t>0081052</t>
  </si>
  <si>
    <t>0081102</t>
  </si>
  <si>
    <t>0081112</t>
  </si>
  <si>
    <t>0081114</t>
  </si>
  <si>
    <t>0081115</t>
  </si>
  <si>
    <t>0081124</t>
  </si>
  <si>
    <t>0081132</t>
  </si>
  <si>
    <t>0081231</t>
  </si>
  <si>
    <t>0081303</t>
  </si>
  <si>
    <t>0081311</t>
  </si>
  <si>
    <t>0081312</t>
  </si>
  <si>
    <t>0081531</t>
  </si>
  <si>
    <t>0081601</t>
  </si>
  <si>
    <t>0081611</t>
  </si>
  <si>
    <t>0081612</t>
  </si>
  <si>
    <t>0081621</t>
  </si>
  <si>
    <t>0082001</t>
  </si>
  <si>
    <t>0082002</t>
  </si>
  <si>
    <t>0082011</t>
  </si>
  <si>
    <t>0082014</t>
  </si>
  <si>
    <t>0082114</t>
  </si>
  <si>
    <t>0082115</t>
  </si>
  <si>
    <t>0082201</t>
  </si>
  <si>
    <t>0082211</t>
  </si>
  <si>
    <t>0082213</t>
  </si>
  <si>
    <t>0082301</t>
  </si>
  <si>
    <t>0082311</t>
  </si>
  <si>
    <t>0082320</t>
  </si>
  <si>
    <t>0082331</t>
  </si>
  <si>
    <t>0082332</t>
  </si>
  <si>
    <t>0083001</t>
  </si>
  <si>
    <t>0084021</t>
  </si>
  <si>
    <t>0181115</t>
  </si>
  <si>
    <t>0181132</t>
  </si>
  <si>
    <t>0082354</t>
  </si>
  <si>
    <t>0081202</t>
  </si>
  <si>
    <t>0081222</t>
  </si>
  <si>
    <t>0082105</t>
  </si>
  <si>
    <t>0181231</t>
  </si>
  <si>
    <t>0082204</t>
  </si>
  <si>
    <t>0082353</t>
  </si>
  <si>
    <t>0081203</t>
  </si>
  <si>
    <t>0081032</t>
  </si>
  <si>
    <t>0082032</t>
  </si>
  <si>
    <t>0081411</t>
  </si>
  <si>
    <t>0071102</t>
  </si>
  <si>
    <t>0082205</t>
  </si>
  <si>
    <t>0171132</t>
  </si>
  <si>
    <t>0081261</t>
  </si>
  <si>
    <t>0081401</t>
  </si>
  <si>
    <t>0081521</t>
  </si>
  <si>
    <t>0081212</t>
  </si>
  <si>
    <t>0181203</t>
  </si>
  <si>
    <t>0081201</t>
  </si>
  <si>
    <t>0082021</t>
  </si>
  <si>
    <t>0081041</t>
  </si>
  <si>
    <t>0082104</t>
  </si>
  <si>
    <t>0081072</t>
  </si>
  <si>
    <t>0081101</t>
  </si>
  <si>
    <t>0082106</t>
  </si>
  <si>
    <t>0060060</t>
  </si>
  <si>
    <t>0082351</t>
  </si>
  <si>
    <t>0082214</t>
  </si>
  <si>
    <t>0082203</t>
  </si>
  <si>
    <t>0082352</t>
  </si>
  <si>
    <t>0081253</t>
  </si>
  <si>
    <t>0082022</t>
  </si>
  <si>
    <t>0081033</t>
  </si>
  <si>
    <t>0071114</t>
  </si>
  <si>
    <t>0071511</t>
  </si>
  <si>
    <t>V</t>
  </si>
  <si>
    <t>00900</t>
  </si>
  <si>
    <t xml:space="preserve">KOMPLEXNÍ VYŠETŘENÍ ZUBNÍM LÉKAŘEM PŘI REGISTRACI </t>
  </si>
  <si>
    <t>00901</t>
  </si>
  <si>
    <t>OPAKOVANÉ KOMPLEXNÍ VYŠETŘENÍ A OŠETŘENÍ REGISTROV</t>
  </si>
  <si>
    <t>00910</t>
  </si>
  <si>
    <t>ZHOTOVENÍ INTRAORÁLNÍHO RENTGENOVÉHO SNÍMKU</t>
  </si>
  <si>
    <t>00911</t>
  </si>
  <si>
    <t>ZHOTOVENÍ EXTRAORÁLNÍHO RENTGENOVÉHO SNÍMKU</t>
  </si>
  <si>
    <t>00915</t>
  </si>
  <si>
    <t>ZHOTOVENÍ TELERENTGENOVÉHO SNÍMKU LBI</t>
  </si>
  <si>
    <t>00916</t>
  </si>
  <si>
    <t>ANESTÉZIE NA FORAMEN MANDIBULAE A INFRAORBITALE</t>
  </si>
  <si>
    <t>00921</t>
  </si>
  <si>
    <t>OŠETŘENÍ STÁLÉHO ZUBU PLASTICKOU VÝPLNÍ</t>
  </si>
  <si>
    <t>00925</t>
  </si>
  <si>
    <t>ENDODONTICKÉ OŠETŘENÍ - STÁLÝ ZUB - V ROZSAHU ŘEZÁ</t>
  </si>
  <si>
    <t>00931</t>
  </si>
  <si>
    <t>KOMPLEXNÍ LÉČBA CHRONICKÝCH ONEMOCNĚNÍ PARODONTU V</t>
  </si>
  <si>
    <t>00935</t>
  </si>
  <si>
    <t>SUBGINGIVÁLNÍ OŠETŘENÍ</t>
  </si>
  <si>
    <t>00945</t>
  </si>
  <si>
    <t>00946</t>
  </si>
  <si>
    <t>00950</t>
  </si>
  <si>
    <t>EXTRAKCE STÁLÉHO ZUBU NEBO DOČASNÉHO MOLÁRU S NERE</t>
  </si>
  <si>
    <t>00951</t>
  </si>
  <si>
    <t>CHIRURGIE TVRDÝCH TKÁNÍ DUTINY ÚSTNÍ MALÉHO ROZSAH</t>
  </si>
  <si>
    <t>00955</t>
  </si>
  <si>
    <t>CHIRURGIE MĚKKÝCH TKÁNÍ DUTINY ÚSTNÍ A JEJÍHO OKOL</t>
  </si>
  <si>
    <t>00961</t>
  </si>
  <si>
    <t xml:space="preserve">OŠETŘENÍ KOMPLIKACÍ CHIRURGICKÝCH VÝKONŮ V DUTINĚ </t>
  </si>
  <si>
    <t>00970</t>
  </si>
  <si>
    <t>SEJMUTÍ FIXNÍ NÁHRADY - ZA KAŽDOU PILÍŘOVOU KONSTR</t>
  </si>
  <si>
    <t>00971</t>
  </si>
  <si>
    <t>PROVIZORNÍ OCHRANNÁ KORUNKA</t>
  </si>
  <si>
    <t>00974</t>
  </si>
  <si>
    <t>ODEVZDÁNÍ STOMATOLOGICKÉHO VÝROBKU</t>
  </si>
  <si>
    <t>00913</t>
  </si>
  <si>
    <t>ZHOTOVENÍ ORTOPANTOMOGRAMU</t>
  </si>
  <si>
    <t>09543</t>
  </si>
  <si>
    <t>Signalni kod</t>
  </si>
  <si>
    <t>00909</t>
  </si>
  <si>
    <t>KLINICKÉ STOMATOLOGICKÉ VYŠETŘENÍ</t>
  </si>
  <si>
    <t>00963</t>
  </si>
  <si>
    <t>INJEKCE I. M., I. V., I. D., S. C.</t>
  </si>
  <si>
    <t>00914</t>
  </si>
  <si>
    <t>VYHODNOCENÍ ORTOPANTOMOGRAMU</t>
  </si>
  <si>
    <t>99999</t>
  </si>
  <si>
    <t>Nespecifikovany vykon</t>
  </si>
  <si>
    <t>00932</t>
  </si>
  <si>
    <t>LÉČBA CHRONICKÝCH ONEMOCNĚNÍ PARODONTU</t>
  </si>
  <si>
    <t>00917</t>
  </si>
  <si>
    <t>ANESTÉZIE INFILTRAČNÍ</t>
  </si>
  <si>
    <t>00973</t>
  </si>
  <si>
    <t>ÚPRAVA SNÍMATELNÉ NÁHRADY V ORDINACI</t>
  </si>
  <si>
    <t>00949</t>
  </si>
  <si>
    <t>BĚŽNÁ EXTRAKCE DOČASNÉHO ZUBU</t>
  </si>
  <si>
    <t>00923</t>
  </si>
  <si>
    <t>00922</t>
  </si>
  <si>
    <t>OŠETŘENÍ DOČASNÉHO ZUBU PLASTICKOU VÝPLNÍ</t>
  </si>
  <si>
    <t>00907</t>
  </si>
  <si>
    <t xml:space="preserve">STOMATOLOGICKÉ OŠETŘENÍ REGISTROVANÉHO POJIŠTĚNCE </t>
  </si>
  <si>
    <t>00959</t>
  </si>
  <si>
    <t>INTRAORÁLNÍ INCIZE</t>
  </si>
  <si>
    <t>00938</t>
  </si>
  <si>
    <t>PŘECHODNÉ DLAHY KE STABILIZACI ZUBŮ S OSLABENÝM PA</t>
  </si>
  <si>
    <t>00908</t>
  </si>
  <si>
    <t>AKUTNÍ VYŠETŘENÍ A OŠETŘENÍ NEREGISTROVANÉHO POJIŠ</t>
  </si>
  <si>
    <t>00947</t>
  </si>
  <si>
    <t>PÉČE O REGISTROVANÉHO POJIŠTĚNCE NAD 18 LET VĚKU I</t>
  </si>
  <si>
    <t>00903</t>
  </si>
  <si>
    <t>VYŽÁDANÉ VYŠETŘENÍ ODBORNÍKEM NEBO SPECIALISTOU</t>
  </si>
  <si>
    <t>00904</t>
  </si>
  <si>
    <t>STOMATOLOGICKÉ VYŠETŘENÍ REGISTROVANÉHO POJIŠTĚNCE</t>
  </si>
  <si>
    <t>00948</t>
  </si>
  <si>
    <t>ZAJIŠTĚNÍ SUTUROU V RÁMCI VÝKONU EXTRAKCE</t>
  </si>
  <si>
    <t>00944</t>
  </si>
  <si>
    <t>SIGNÁLNÍ VÝKON EPIZODY PÉČE/KONTAKTU U PACIENTŮ OD</t>
  </si>
  <si>
    <t>00906</t>
  </si>
  <si>
    <t>STOMATOLOGICKÉ VYŠETŘENÍ A OŠETŘENÍ REGISTROVANÉHO</t>
  </si>
  <si>
    <t>00920</t>
  </si>
  <si>
    <t>OŠETŘENÍ STÁLÉHO ZUBU FOTOKOMPOZITNÍ VÝPLNÍ</t>
  </si>
  <si>
    <t>09547</t>
  </si>
  <si>
    <t>(VZP) SIGNÁLNÍ VÝKON REGULAČNÍ POPLATEK - POJIŠTĚN</t>
  </si>
  <si>
    <t>00933</t>
  </si>
  <si>
    <t>CHIRURGICKÁ LÉČBA ONEMOCNĚNÍ PARODONTU MALÉHO ROZS</t>
  </si>
  <si>
    <t>00902</t>
  </si>
  <si>
    <t>PÉČE O REGISTROVANÉHO POJIŠTĚNCE NAD 18 LET VĚKU</t>
  </si>
  <si>
    <t>00918</t>
  </si>
  <si>
    <t>00976</t>
  </si>
  <si>
    <t>STOMATOLOGICKÉ VYŠETŘENÍ A OŠETŘENÍ POJIŠTĚNCE S P</t>
  </si>
  <si>
    <t>00924</t>
  </si>
  <si>
    <t>ENDODONTICKÉ OŠETŘENÍ - DOČASNÝ ZUB</t>
  </si>
  <si>
    <t>00926</t>
  </si>
  <si>
    <t>ENDODONTICKÉ OŠETŘENÍ - STÁLÝ ZUB - V ROZSAHU MOLÁ</t>
  </si>
  <si>
    <t>0072041</t>
  </si>
  <si>
    <t>0074001</t>
  </si>
  <si>
    <t>0070011</t>
  </si>
  <si>
    <t>0071111</t>
  </si>
  <si>
    <t>0071112</t>
  </si>
  <si>
    <t>00940</t>
  </si>
  <si>
    <t>KOMPLEXNÍ VYŠETŘENÍ A NÁVRH LÉČBY ONEMOCNĚNÍ ÚSTNÍ</t>
  </si>
  <si>
    <t>00956</t>
  </si>
  <si>
    <t>00953</t>
  </si>
  <si>
    <t>CHIRURGICKÉ OŠETŘOVÁNÍ RETENCE ZUBŮ OTEVŘENÝMI MET</t>
  </si>
  <si>
    <t>00952</t>
  </si>
  <si>
    <t>CHIRURGIE TVRDÝCH TKÁNÍ DUTINY ÚSTNÍ VELKÉHO ROZSA</t>
  </si>
  <si>
    <t>00957</t>
  </si>
  <si>
    <t>TRAUMATOLOGIE TVRDÝCH TKÁNÍ DUTINY ÚSTNÍ MALÉHO RO</t>
  </si>
  <si>
    <t>00958</t>
  </si>
  <si>
    <t>TRAUMATOLOGIE TVRDÝCH TKÁNÍ DUTINY ÚSTNÍ VELKÉHO R</t>
  </si>
  <si>
    <t>00979</t>
  </si>
  <si>
    <t>SEDACE NEZLETILÉHO POJIŠTĚNCE OXIDEM DUSNÝM PŘI AM</t>
  </si>
  <si>
    <t>00977</t>
  </si>
  <si>
    <t>APLIKACE PREFABRIKOVANÉ KORUNKY NA DOČASNÝ ZUB</t>
  </si>
  <si>
    <t>00936</t>
  </si>
  <si>
    <t>ODEBRÁNÍ A ZAJIŠTĚNÍ PŘENOSU TRANSPLANTÁTU</t>
  </si>
  <si>
    <t>00941</t>
  </si>
  <si>
    <t>KONTROLNÍ VYŠETŘENÍ A LÉČBA ONEMOCNĚNÍ ÚSTNÍ SLIZN</t>
  </si>
  <si>
    <t>00934</t>
  </si>
  <si>
    <t>CHIRURGICKÁ LÉČBA ONEMOCNĚNÍ PARODONTU VELKÉHO ROZ</t>
  </si>
  <si>
    <t>00962</t>
  </si>
  <si>
    <t>KONZERVATIVNÍ LÉČBA TEMPOROMANDIBULÁRNÍCH PORUCH</t>
  </si>
  <si>
    <t>00954</t>
  </si>
  <si>
    <t>PERIAPIKÁLNÍ CHIRURGIE</t>
  </si>
  <si>
    <t>00943</t>
  </si>
  <si>
    <t>MĚŘENÍ GALVANICKÝCH PROUDŮ</t>
  </si>
  <si>
    <t>00912</t>
  </si>
  <si>
    <t>00937</t>
  </si>
  <si>
    <t>ARTIKULACE CHRUPU</t>
  </si>
  <si>
    <t>015</t>
  </si>
  <si>
    <t>0074021</t>
  </si>
  <si>
    <t>0076001</t>
  </si>
  <si>
    <t>0076011</t>
  </si>
  <si>
    <t>0076014</t>
  </si>
  <si>
    <t>0076017</t>
  </si>
  <si>
    <t>0076030</t>
  </si>
  <si>
    <t>0076031</t>
  </si>
  <si>
    <t>0076033</t>
  </si>
  <si>
    <t>0076034</t>
  </si>
  <si>
    <t>0076041</t>
  </si>
  <si>
    <t>0076070</t>
  </si>
  <si>
    <t>0076071</t>
  </si>
  <si>
    <t>0076080</t>
  </si>
  <si>
    <t>0076081</t>
  </si>
  <si>
    <t>0086001</t>
  </si>
  <si>
    <t>0086031</t>
  </si>
  <si>
    <t>0086034</t>
  </si>
  <si>
    <t>0086071</t>
  </si>
  <si>
    <t>0086081</t>
  </si>
  <si>
    <t>0086070</t>
  </si>
  <si>
    <t>0086030</t>
  </si>
  <si>
    <t>0070002</t>
  </si>
  <si>
    <t>0070004</t>
  </si>
  <si>
    <t>0084034</t>
  </si>
  <si>
    <t>0086017</t>
  </si>
  <si>
    <t>0074034</t>
  </si>
  <si>
    <t>0086033</t>
  </si>
  <si>
    <t>0086011</t>
  </si>
  <si>
    <t>00981</t>
  </si>
  <si>
    <t>DIAGNOSTIKA ORTODONTICKÝCH ANOMÁLIÍ</t>
  </si>
  <si>
    <t>00984</t>
  </si>
  <si>
    <t>KONTROLA LÉČBY ORTODONTICKÝCH ANOMÁLIÍ JINÝMI POST</t>
  </si>
  <si>
    <t>00985</t>
  </si>
  <si>
    <t xml:space="preserve">UKONČENÍ LÉČBY ORTODONTICKÝCH ANOMÁLIÍ S POUŽITÍM </t>
  </si>
  <si>
    <t>00986</t>
  </si>
  <si>
    <t>KONTROLA VE FÁZI RETENCE NEBO AKTIVNÍ SLEDOVÁNÍ VE</t>
  </si>
  <si>
    <t>00990</t>
  </si>
  <si>
    <t>DIAGNOSTICKÁ PŘESTAVBA ORTODONTICKÉHO MODELU</t>
  </si>
  <si>
    <t>00994</t>
  </si>
  <si>
    <t>ZAHÁJENÍ LÉČBY ORTODONTICKÝCH ANOMÁLIÍ MALÝM FIXNÍ</t>
  </si>
  <si>
    <t>00982</t>
  </si>
  <si>
    <t>ZAHÁJENÍ LÉČBY ORTODONTICKÝCH ANOMÁLIÍ FIXNÍM ORTO</t>
  </si>
  <si>
    <t>00989</t>
  </si>
  <si>
    <t>ANALÝZA ORTODONTICKÝCH MODELŮ</t>
  </si>
  <si>
    <t>00987</t>
  </si>
  <si>
    <t>STANOVENÍ FÁZE RŮSTU</t>
  </si>
  <si>
    <t>00988</t>
  </si>
  <si>
    <t>ANALÝZA TELERENTGENOVÉHO SNÍMKU LBI</t>
  </si>
  <si>
    <t>00983</t>
  </si>
  <si>
    <t xml:space="preserve">KONTROLA LÉČBY ORTODONTICKÝCH ANOMÁLIÍ S POUŽITÍM </t>
  </si>
  <si>
    <t>00993</t>
  </si>
  <si>
    <t>NAVÁZÁNÍ PARCIÁLNÍHO OBLOUKU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</si>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</sst>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9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33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9" fillId="0" borderId="2" xfId="0" applyFont="1" applyFill="1" applyBorder="1"/>
    <xf numFmtId="0" fontId="39" fillId="0" borderId="3" xfId="0" applyFont="1" applyFill="1" applyBorder="1"/>
    <xf numFmtId="3" fontId="28" fillId="0" borderId="28" xfId="78" applyNumberFormat="1" applyFont="1" applyFill="1" applyBorder="1" applyAlignment="1">
      <alignment horizontal="right"/>
    </xf>
    <xf numFmtId="9" fontId="28" fillId="0" borderId="28" xfId="78" applyNumberFormat="1" applyFont="1" applyFill="1" applyBorder="1" applyAlignment="1">
      <alignment horizontal="right"/>
    </xf>
    <xf numFmtId="3" fontId="28" fillId="0" borderId="21" xfId="78" applyNumberFormat="1" applyFont="1" applyFill="1" applyBorder="1" applyAlignment="1">
      <alignment horizontal="right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60" xfId="53" applyNumberFormat="1" applyFont="1" applyFill="1" applyBorder="1"/>
    <xf numFmtId="9" fontId="3" fillId="0" borderId="60" xfId="53" applyNumberFormat="1" applyFont="1" applyFill="1" applyBorder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5" xfId="0" applyFont="1" applyFill="1" applyBorder="1" applyAlignment="1"/>
    <xf numFmtId="0" fontId="28" fillId="2" borderId="27" xfId="78" applyFont="1" applyFill="1" applyBorder="1" applyAlignment="1">
      <alignment horizontal="right"/>
    </xf>
    <xf numFmtId="3" fontId="28" fillId="2" borderId="54" xfId="78" applyNumberFormat="1" applyFont="1" applyFill="1" applyBorder="1"/>
    <xf numFmtId="0" fontId="3" fillId="2" borderId="58" xfId="53" applyFont="1" applyFill="1" applyBorder="1" applyAlignment="1">
      <alignment horizontal="right"/>
    </xf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28" fillId="0" borderId="3" xfId="78" applyFont="1" applyFill="1" applyBorder="1" applyAlignment="1">
      <alignment horizontal="left"/>
    </xf>
    <xf numFmtId="0" fontId="31" fillId="2" borderId="45" xfId="0" applyFont="1" applyFill="1" applyBorder="1" applyAlignment="1">
      <alignment horizontal="center"/>
    </xf>
    <xf numFmtId="3" fontId="3" fillId="0" borderId="59" xfId="53" applyNumberFormat="1" applyFont="1" applyFill="1" applyBorder="1"/>
    <xf numFmtId="3" fontId="3" fillId="0" borderId="60" xfId="53" applyNumberFormat="1" applyFont="1" applyFill="1" applyBorder="1"/>
    <xf numFmtId="3" fontId="3" fillId="0" borderId="61" xfId="53" applyNumberFormat="1" applyFont="1" applyFill="1" applyBorder="1"/>
    <xf numFmtId="169" fontId="32" fillId="0" borderId="0" xfId="0" applyNumberFormat="1" applyFont="1" applyFill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8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6" fillId="4" borderId="34" xfId="1" applyFont="1" applyFill="1" applyBorder="1"/>
    <xf numFmtId="0" fontId="46" fillId="4" borderId="18" xfId="1" applyFont="1" applyFill="1" applyBorder="1"/>
    <xf numFmtId="0" fontId="46" fillId="3" borderId="19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6" fillId="3" borderId="9" xfId="1" applyFont="1" applyFill="1" applyBorder="1"/>
    <xf numFmtId="0" fontId="46" fillId="3" borderId="5" xfId="1" applyFont="1" applyFill="1" applyBorder="1"/>
    <xf numFmtId="0" fontId="46" fillId="6" borderId="5" xfId="1" applyFont="1" applyFill="1" applyBorder="1"/>
    <xf numFmtId="0" fontId="46" fillId="6" borderId="53" xfId="1" applyFont="1" applyFill="1" applyBorder="1"/>
    <xf numFmtId="0" fontId="46" fillId="2" borderId="5" xfId="1" applyFont="1" applyFill="1" applyBorder="1"/>
    <xf numFmtId="0" fontId="46" fillId="4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8" xfId="0" applyNumberFormat="1" applyFont="1" applyFill="1" applyBorder="1"/>
    <xf numFmtId="3" fontId="39" fillId="2" borderId="50" xfId="0" applyNumberFormat="1" applyFont="1" applyFill="1" applyBorder="1"/>
    <xf numFmtId="9" fontId="39" fillId="2" borderId="54" xfId="0" applyNumberFormat="1" applyFont="1" applyFill="1" applyBorder="1"/>
    <xf numFmtId="0" fontId="50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2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6" fillId="2" borderId="35" xfId="1" applyFont="1" applyFill="1" applyBorder="1" applyAlignment="1">
      <alignment horizontal="left" indent="2"/>
    </xf>
    <xf numFmtId="0" fontId="50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50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50" fillId="4" borderId="52" xfId="1" applyFont="1" applyFill="1" applyBorder="1" applyAlignment="1">
      <alignment horizontal="left"/>
    </xf>
    <xf numFmtId="0" fontId="50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7" xfId="0" applyFont="1" applyFill="1" applyBorder="1" applyAlignment="1">
      <alignment horizontal="right"/>
    </xf>
    <xf numFmtId="16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21" xfId="0" applyNumberFormat="1" applyFont="1" applyFill="1" applyBorder="1" applyAlignment="1"/>
    <xf numFmtId="169" fontId="39" fillId="0" borderId="29" xfId="0" applyNumberFormat="1" applyFont="1" applyFill="1" applyBorder="1" applyAlignment="1"/>
    <xf numFmtId="9" fontId="39" fillId="0" borderId="47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1" fillId="2" borderId="87" xfId="74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1" fillId="2" borderId="72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7" xfId="0" applyFont="1" applyFill="1" applyBorder="1"/>
    <xf numFmtId="0" fontId="32" fillId="0" borderId="78" xfId="0" applyFont="1" applyBorder="1" applyAlignment="1"/>
    <xf numFmtId="9" fontId="32" fillId="0" borderId="76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20" xfId="0" applyNumberFormat="1" applyFont="1" applyFill="1" applyBorder="1" applyAlignment="1"/>
    <xf numFmtId="3" fontId="39" fillId="0" borderId="28" xfId="0" applyNumberFormat="1" applyFont="1" applyFill="1" applyBorder="1" applyAlignment="1"/>
    <xf numFmtId="169" fontId="39" fillId="0" borderId="21" xfId="0" applyNumberFormat="1" applyFont="1" applyFill="1" applyBorder="1" applyAlignment="1"/>
    <xf numFmtId="49" fontId="37" fillId="2" borderId="76" xfId="0" quotePrefix="1" applyNumberFormat="1" applyFont="1" applyFill="1" applyBorder="1" applyAlignment="1">
      <alignment horizontal="center" vertical="center"/>
    </xf>
    <xf numFmtId="0" fontId="25" fillId="4" borderId="74" xfId="1" applyFill="1" applyBorder="1" applyAlignment="1">
      <alignment horizontal="left" indent="4"/>
    </xf>
    <xf numFmtId="0" fontId="25" fillId="4" borderId="35" xfId="1" applyFill="1" applyBorder="1" applyAlignment="1">
      <alignment horizontal="left" indent="2"/>
    </xf>
    <xf numFmtId="0" fontId="32" fillId="0" borderId="75" xfId="0" applyFont="1" applyBorder="1"/>
    <xf numFmtId="0" fontId="31" fillId="2" borderId="65" xfId="0" applyFont="1" applyFill="1" applyBorder="1" applyAlignment="1">
      <alignment horizontal="center" vertical="top" wrapText="1"/>
    </xf>
    <xf numFmtId="0" fontId="25" fillId="6" borderId="5" xfId="1" applyFill="1" applyBorder="1"/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1" xfId="0" applyNumberFormat="1" applyFont="1" applyFill="1" applyBorder="1" applyAlignment="1"/>
    <xf numFmtId="0" fontId="39" fillId="2" borderId="19" xfId="0" applyFont="1" applyFill="1" applyBorder="1" applyAlignment="1">
      <alignment horizontal="right"/>
    </xf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5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7" xfId="0" applyNumberFormat="1" applyFont="1" applyBorder="1" applyAlignment="1">
      <alignment horizontal="right" vertical="center"/>
    </xf>
    <xf numFmtId="9" fontId="39" fillId="0" borderId="94" xfId="0" applyNumberFormat="1" applyFont="1" applyBorder="1" applyAlignment="1">
      <alignment horizontal="right" vertical="center"/>
    </xf>
    <xf numFmtId="173" fontId="39" fillId="0" borderId="94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horizontal="right" vertical="center"/>
    </xf>
    <xf numFmtId="173" fontId="39" fillId="0" borderId="65" xfId="0" applyNumberFormat="1" applyFont="1" applyBorder="1" applyAlignment="1">
      <alignment vertical="center"/>
    </xf>
    <xf numFmtId="173" fontId="39" fillId="0" borderId="95" xfId="0" applyNumberFormat="1" applyFont="1" applyBorder="1" applyAlignment="1">
      <alignment vertical="center"/>
    </xf>
    <xf numFmtId="173" fontId="39" fillId="0" borderId="94" xfId="0" applyNumberFormat="1" applyFont="1" applyBorder="1" applyAlignment="1">
      <alignment vertical="center"/>
    </xf>
    <xf numFmtId="173" fontId="39" fillId="0" borderId="63" xfId="0" applyNumberFormat="1" applyFont="1" applyBorder="1" applyAlignment="1">
      <alignment vertical="center"/>
    </xf>
    <xf numFmtId="173" fontId="39" fillId="0" borderId="96" xfId="0" applyNumberFormat="1" applyFont="1" applyBorder="1" applyAlignment="1">
      <alignment vertical="center"/>
    </xf>
    <xf numFmtId="174" fontId="39" fillId="0" borderId="97" xfId="0" applyNumberFormat="1" applyFont="1" applyBorder="1" applyAlignment="1">
      <alignment vertical="center"/>
    </xf>
    <xf numFmtId="174" fontId="39" fillId="0" borderId="94" xfId="0" applyNumberFormat="1" applyFont="1" applyBorder="1" applyAlignment="1">
      <alignment vertical="center"/>
    </xf>
    <xf numFmtId="174" fontId="39" fillId="0" borderId="63" xfId="0" applyNumberFormat="1" applyFont="1" applyBorder="1" applyAlignment="1">
      <alignment vertical="center"/>
    </xf>
    <xf numFmtId="168" fontId="39" fillId="0" borderId="88" xfId="0" applyNumberFormat="1" applyFont="1" applyBorder="1" applyAlignment="1">
      <alignment vertical="center"/>
    </xf>
    <xf numFmtId="0" fontId="32" fillId="0" borderId="95" xfId="0" applyFont="1" applyBorder="1" applyAlignment="1">
      <alignment horizontal="center" vertical="center"/>
    </xf>
    <xf numFmtId="166" fontId="39" fillId="2" borderId="63" xfId="0" applyNumberFormat="1" applyFont="1" applyFill="1" applyBorder="1" applyAlignment="1">
      <alignment horizontal="center" vertical="center"/>
    </xf>
    <xf numFmtId="173" fontId="39" fillId="0" borderId="72" xfId="0" applyNumberFormat="1" applyFont="1" applyBorder="1" applyAlignment="1">
      <alignment horizontal="right" vertical="center"/>
    </xf>
    <xf numFmtId="175" fontId="39" fillId="0" borderId="71" xfId="0" applyNumberFormat="1" applyFont="1" applyBorder="1" applyAlignment="1">
      <alignment horizontal="right" vertical="center"/>
    </xf>
    <xf numFmtId="173" fontId="39" fillId="0" borderId="71" xfId="0" applyNumberFormat="1" applyFont="1" applyBorder="1" applyAlignment="1">
      <alignment horizontal="right" vertical="center"/>
    </xf>
    <xf numFmtId="173" fontId="39" fillId="0" borderId="72" xfId="0" applyNumberFormat="1" applyFont="1" applyBorder="1" applyAlignment="1">
      <alignment vertical="center"/>
    </xf>
    <xf numFmtId="173" fontId="39" fillId="0" borderId="71" xfId="0" applyNumberFormat="1" applyFont="1" applyBorder="1" applyAlignment="1">
      <alignment vertical="center"/>
    </xf>
    <xf numFmtId="173" fontId="39" fillId="0" borderId="70" xfId="0" applyNumberFormat="1" applyFont="1" applyBorder="1" applyAlignment="1">
      <alignment vertical="center"/>
    </xf>
    <xf numFmtId="176" fontId="39" fillId="0" borderId="70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76" xfId="0" quotePrefix="1" applyFont="1" applyFill="1" applyBorder="1" applyAlignment="1">
      <alignment horizontal="center" vertical="center" wrapText="1"/>
    </xf>
    <xf numFmtId="0" fontId="40" fillId="9" borderId="76" xfId="0" quotePrefix="1" applyFont="1" applyFill="1" applyBorder="1" applyAlignment="1">
      <alignment horizontal="center" vertical="center" wrapText="1"/>
    </xf>
    <xf numFmtId="0" fontId="40" fillId="9" borderId="75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3" xfId="0" applyNumberFormat="1" applyFont="1" applyFill="1" applyBorder="1"/>
    <xf numFmtId="3" fontId="0" fillId="7" borderId="64" xfId="0" applyNumberFormat="1" applyFont="1" applyFill="1" applyBorder="1"/>
    <xf numFmtId="0" fontId="0" fillId="0" borderId="104" xfId="0" applyNumberFormat="1" applyFont="1" applyBorder="1"/>
    <xf numFmtId="3" fontId="0" fillId="0" borderId="105" xfId="0" applyNumberFormat="1" applyFont="1" applyBorder="1"/>
    <xf numFmtId="0" fontId="0" fillId="7" borderId="104" xfId="0" applyNumberFormat="1" applyFont="1" applyFill="1" applyBorder="1"/>
    <xf numFmtId="3" fontId="0" fillId="7" borderId="105" xfId="0" applyNumberFormat="1" applyFont="1" applyFill="1" applyBorder="1"/>
    <xf numFmtId="0" fontId="53" fillId="8" borderId="104" xfId="0" applyNumberFormat="1" applyFont="1" applyFill="1" applyBorder="1"/>
    <xf numFmtId="3" fontId="53" fillId="8" borderId="105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7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85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31" fillId="2" borderId="81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>
      <alignment wrapText="1"/>
    </xf>
    <xf numFmtId="0" fontId="5" fillId="0" borderId="2" xfId="14" applyFont="1" applyFill="1" applyBorder="1" applyAlignment="1"/>
    <xf numFmtId="3" fontId="28" fillId="2" borderId="56" xfId="78" applyNumberFormat="1" applyFont="1" applyFill="1" applyBorder="1" applyAlignment="1">
      <alignment horizontal="left"/>
    </xf>
    <xf numFmtId="0" fontId="32" fillId="2" borderId="49" xfId="0" applyFont="1" applyFill="1" applyBorder="1" applyAlignment="1"/>
    <xf numFmtId="3" fontId="28" fillId="2" borderId="51" xfId="78" applyNumberFormat="1" applyFont="1" applyFill="1" applyBorder="1" applyAlignment="1"/>
    <xf numFmtId="0" fontId="39" fillId="2" borderId="56" xfId="0" applyFont="1" applyFill="1" applyBorder="1" applyAlignment="1">
      <alignment horizontal="left"/>
    </xf>
    <xf numFmtId="0" fontId="32" fillId="2" borderId="45" xfId="0" applyFont="1" applyFill="1" applyBorder="1" applyAlignment="1">
      <alignment horizontal="left"/>
    </xf>
    <xf numFmtId="0" fontId="32" fillId="2" borderId="49" xfId="0" applyFont="1" applyFill="1" applyBorder="1" applyAlignment="1">
      <alignment horizontal="left"/>
    </xf>
    <xf numFmtId="0" fontId="39" fillId="2" borderId="51" xfId="0" applyFont="1" applyFill="1" applyBorder="1" applyAlignment="1">
      <alignment horizontal="left"/>
    </xf>
    <xf numFmtId="3" fontId="39" fillId="2" borderId="51" xfId="0" applyNumberFormat="1" applyFont="1" applyFill="1" applyBorder="1" applyAlignment="1">
      <alignment horizontal="left"/>
    </xf>
    <xf numFmtId="3" fontId="32" fillId="2" borderId="46" xfId="0" applyNumberFormat="1" applyFont="1" applyFill="1" applyBorder="1" applyAlignment="1">
      <alignment horizontal="left"/>
    </xf>
    <xf numFmtId="9" fontId="3" fillId="2" borderId="90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9" xfId="80" applyNumberFormat="1" applyFont="1" applyFill="1" applyBorder="1" applyAlignment="1">
      <alignment horizontal="left"/>
    </xf>
    <xf numFmtId="3" fontId="3" fillId="2" borderId="83" xfId="80" applyNumberFormat="1" applyFont="1" applyFill="1" applyBorder="1" applyAlignment="1">
      <alignment horizontal="left"/>
    </xf>
    <xf numFmtId="166" fontId="39" fillId="2" borderId="70" xfId="0" applyNumberFormat="1" applyFont="1" applyFill="1" applyBorder="1" applyAlignment="1">
      <alignment horizontal="center" vertical="center"/>
    </xf>
    <xf numFmtId="0" fontId="32" fillId="0" borderId="98" xfId="0" applyFont="1" applyBorder="1" applyAlignment="1">
      <alignment horizontal="center" vertical="center"/>
    </xf>
    <xf numFmtId="0" fontId="55" fillId="4" borderId="91" xfId="0" applyFont="1" applyFill="1" applyBorder="1" applyAlignment="1">
      <alignment horizontal="center" vertical="center" wrapText="1"/>
    </xf>
    <xf numFmtId="0" fontId="55" fillId="4" borderId="99" xfId="0" applyFont="1" applyFill="1" applyBorder="1" applyAlignment="1">
      <alignment horizontal="center" vertical="center" wrapText="1"/>
    </xf>
    <xf numFmtId="0" fontId="55" fillId="4" borderId="79" xfId="0" applyFont="1" applyFill="1" applyBorder="1" applyAlignment="1">
      <alignment horizontal="center" vertical="center" wrapText="1"/>
    </xf>
    <xf numFmtId="0" fontId="55" fillId="4" borderId="92" xfId="0" applyFont="1" applyFill="1" applyBorder="1" applyAlignment="1">
      <alignment horizontal="center" vertical="center" wrapText="1"/>
    </xf>
    <xf numFmtId="0" fontId="55" fillId="4" borderId="80" xfId="0" applyFont="1" applyFill="1" applyBorder="1" applyAlignment="1">
      <alignment horizontal="center" vertical="center" wrapText="1"/>
    </xf>
    <xf numFmtId="0" fontId="55" fillId="4" borderId="93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5" fillId="2" borderId="91" xfId="0" applyNumberFormat="1" applyFont="1" applyFill="1" applyBorder="1" applyAlignment="1">
      <alignment horizontal="center" vertical="center" wrapText="1"/>
    </xf>
    <xf numFmtId="168" fontId="55" fillId="2" borderId="99" xfId="0" applyNumberFormat="1" applyFont="1" applyFill="1" applyBorder="1" applyAlignment="1">
      <alignment horizontal="center" vertical="center" wrapText="1"/>
    </xf>
    <xf numFmtId="0" fontId="55" fillId="2" borderId="79" xfId="0" applyFont="1" applyFill="1" applyBorder="1" applyAlignment="1">
      <alignment horizontal="center" vertical="center" wrapText="1"/>
    </xf>
    <xf numFmtId="0" fontId="55" fillId="2" borderId="92" xfId="0" applyFont="1" applyFill="1" applyBorder="1" applyAlignment="1">
      <alignment horizontal="center" vertical="center" wrapText="1"/>
    </xf>
    <xf numFmtId="0" fontId="55" fillId="2" borderId="80" xfId="0" applyFont="1" applyFill="1" applyBorder="1" applyAlignment="1">
      <alignment horizontal="center" vertical="center" wrapText="1"/>
    </xf>
    <xf numFmtId="0" fontId="55" fillId="2" borderId="93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5" fillId="4" borderId="79" xfId="0" applyNumberFormat="1" applyFont="1" applyFill="1" applyBorder="1" applyAlignment="1">
      <alignment horizontal="center" vertical="center"/>
    </xf>
    <xf numFmtId="3" fontId="55" fillId="4" borderId="92" xfId="0" applyNumberFormat="1" applyFont="1" applyFill="1" applyBorder="1" applyAlignment="1">
      <alignment horizontal="center" vertical="center"/>
    </xf>
    <xf numFmtId="9" fontId="55" fillId="4" borderId="79" xfId="0" applyNumberFormat="1" applyFont="1" applyFill="1" applyBorder="1" applyAlignment="1">
      <alignment horizontal="center" vertical="center"/>
    </xf>
    <xf numFmtId="9" fontId="55" fillId="4" borderId="92" xfId="0" applyNumberFormat="1" applyFont="1" applyFill="1" applyBorder="1" applyAlignment="1">
      <alignment horizontal="center" vertical="center"/>
    </xf>
    <xf numFmtId="3" fontId="55" fillId="4" borderId="80" xfId="0" applyNumberFormat="1" applyFont="1" applyFill="1" applyBorder="1" applyAlignment="1">
      <alignment horizontal="center" vertical="center" wrapText="1"/>
    </xf>
    <xf numFmtId="3" fontId="55" fillId="4" borderId="93" xfId="0" applyNumberFormat="1" applyFont="1" applyFill="1" applyBorder="1" applyAlignment="1">
      <alignment horizontal="center" vertical="center" wrapText="1"/>
    </xf>
    <xf numFmtId="0" fontId="39" fillId="2" borderId="100" xfId="0" applyFont="1" applyFill="1" applyBorder="1" applyAlignment="1">
      <alignment horizontal="center" vertical="center" wrapText="1"/>
    </xf>
    <xf numFmtId="0" fontId="39" fillId="2" borderId="83" xfId="0" applyFont="1" applyFill="1" applyBorder="1" applyAlignment="1">
      <alignment horizontal="center" vertical="center" wrapText="1"/>
    </xf>
    <xf numFmtId="0" fontId="55" fillId="9" borderId="102" xfId="0" applyFont="1" applyFill="1" applyBorder="1" applyAlignment="1">
      <alignment horizontal="center"/>
    </xf>
    <xf numFmtId="0" fontId="55" fillId="9" borderId="101" xfId="0" applyFont="1" applyFill="1" applyBorder="1" applyAlignment="1">
      <alignment horizontal="center"/>
    </xf>
    <xf numFmtId="0" fontId="55" fillId="9" borderId="78" xfId="0" applyFont="1" applyFill="1" applyBorder="1" applyAlignment="1">
      <alignment horizontal="center"/>
    </xf>
    <xf numFmtId="0" fontId="39" fillId="4" borderId="88" xfId="0" applyFont="1" applyFill="1" applyBorder="1" applyAlignment="1">
      <alignment horizontal="center" vertical="center" wrapText="1"/>
    </xf>
    <xf numFmtId="0" fontId="39" fillId="4" borderId="66" xfId="0" applyFont="1" applyFill="1" applyBorder="1" applyAlignment="1">
      <alignment horizontal="center" vertical="center" wrapText="1"/>
    </xf>
    <xf numFmtId="0" fontId="59" fillId="2" borderId="41" xfId="0" applyFont="1" applyFill="1" applyBorder="1" applyAlignment="1">
      <alignment horizontal="center"/>
    </xf>
    <xf numFmtId="0" fontId="59" fillId="2" borderId="85" xfId="0" applyFont="1" applyFill="1" applyBorder="1" applyAlignment="1">
      <alignment horizontal="center"/>
    </xf>
    <xf numFmtId="0" fontId="59" fillId="2" borderId="73" xfId="0" applyFont="1" applyFill="1" applyBorder="1" applyAlignment="1">
      <alignment horizontal="center"/>
    </xf>
    <xf numFmtId="0" fontId="59" fillId="4" borderId="25" xfId="0" applyFont="1" applyFill="1" applyBorder="1" applyAlignment="1">
      <alignment horizontal="center"/>
    </xf>
    <xf numFmtId="0" fontId="59" fillId="4" borderId="68" xfId="0" applyFont="1" applyFill="1" applyBorder="1" applyAlignment="1">
      <alignment horizontal="center"/>
    </xf>
    <xf numFmtId="0" fontId="59" fillId="4" borderId="69" xfId="0" applyFont="1" applyFill="1" applyBorder="1" applyAlignment="1">
      <alignment horizontal="center"/>
    </xf>
    <xf numFmtId="0" fontId="59" fillId="2" borderId="25" xfId="0" applyFont="1" applyFill="1" applyBorder="1" applyAlignment="1">
      <alignment horizontal="center"/>
    </xf>
    <xf numFmtId="0" fontId="59" fillId="2" borderId="68" xfId="0" applyFont="1" applyFill="1" applyBorder="1" applyAlignment="1">
      <alignment horizontal="center"/>
    </xf>
    <xf numFmtId="0" fontId="59" fillId="2" borderId="69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39" fillId="2" borderId="54" xfId="0" applyFont="1" applyFill="1" applyBorder="1" applyAlignment="1">
      <alignment vertical="center"/>
    </xf>
    <xf numFmtId="3" fontId="31" fillId="2" borderId="56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4" xfId="26" applyNumberFormat="1" applyFont="1" applyFill="1" applyBorder="1" applyAlignment="1">
      <alignment horizontal="center"/>
    </xf>
    <xf numFmtId="3" fontId="31" fillId="2" borderId="46" xfId="26" applyNumberFormat="1" applyFont="1" applyFill="1" applyBorder="1" applyAlignment="1">
      <alignment horizontal="center"/>
    </xf>
    <xf numFmtId="3" fontId="31" fillId="2" borderId="88" xfId="26" applyNumberFormat="1" applyFont="1" applyFill="1" applyBorder="1" applyAlignment="1">
      <alignment horizontal="center"/>
    </xf>
    <xf numFmtId="3" fontId="31" fillId="2" borderId="66" xfId="26" applyNumberFormat="1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 vertical="top" wrapText="1"/>
    </xf>
    <xf numFmtId="3" fontId="31" fillId="2" borderId="4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0" fontId="31" fillId="2" borderId="56" xfId="0" quotePrefix="1" applyFont="1" applyFill="1" applyBorder="1" applyAlignment="1">
      <alignment horizontal="center"/>
    </xf>
    <xf numFmtId="0" fontId="31" fillId="2" borderId="46" xfId="0" applyFont="1" applyFill="1" applyBorder="1" applyAlignment="1">
      <alignment horizontal="center"/>
    </xf>
    <xf numFmtId="9" fontId="44" fillId="2" borderId="46" xfId="0" applyNumberFormat="1" applyFont="1" applyFill="1" applyBorder="1" applyAlignment="1">
      <alignment horizontal="center" vertical="top"/>
    </xf>
    <xf numFmtId="0" fontId="31" fillId="2" borderId="65" xfId="0" applyNumberFormat="1" applyFont="1" applyFill="1" applyBorder="1" applyAlignment="1">
      <alignment horizontal="center" vertical="top"/>
    </xf>
    <xf numFmtId="0" fontId="31" fillId="2" borderId="65" xfId="0" applyFont="1" applyFill="1" applyBorder="1" applyAlignment="1">
      <alignment horizontal="center" vertical="top" wrapText="1"/>
    </xf>
    <xf numFmtId="0" fontId="60" fillId="0" borderId="0" xfId="0" applyFont="1"/>
    <xf numFmtId="3" fontId="33" fillId="10" borderId="107" xfId="83" applyNumberFormat="1" applyFont="1" applyFill="1" applyBorder="1" applyAlignment="1">
      <alignment horizontal="right" vertical="top"/>
    </xf>
    <xf numFmtId="3" fontId="33" fillId="10" borderId="108" xfId="83" applyNumberFormat="1" applyFont="1" applyFill="1" applyBorder="1" applyAlignment="1">
      <alignment horizontal="right" vertical="top"/>
    </xf>
    <xf numFmtId="9" fontId="33" fillId="10" borderId="109" xfId="83" applyFont="1" applyFill="1" applyBorder="1" applyAlignment="1">
      <alignment horizontal="right" vertical="top"/>
    </xf>
    <xf numFmtId="9" fontId="33" fillId="10" borderId="110" xfId="83" applyFont="1" applyFill="1" applyBorder="1" applyAlignment="1">
      <alignment horizontal="right" vertical="top"/>
    </xf>
    <xf numFmtId="3" fontId="33" fillId="11" borderId="106" xfId="24" applyNumberFormat="1" applyFont="1" applyFill="1" applyBorder="1" applyAlignment="1">
      <alignment horizontal="left" vertical="top"/>
    </xf>
    <xf numFmtId="0" fontId="29" fillId="0" borderId="0" xfId="0" applyFont="1" applyAlignment="1">
      <alignment horizontal="left"/>
    </xf>
    <xf numFmtId="3" fontId="29" fillId="0" borderId="0" xfId="0" applyNumberFormat="1" applyFont="1" applyAlignment="1">
      <alignment horizontal="left"/>
    </xf>
    <xf numFmtId="3" fontId="29" fillId="0" borderId="0" xfId="0" applyNumberFormat="1" applyFont="1" applyAlignment="1">
      <alignment horizontal="right"/>
    </xf>
    <xf numFmtId="9" fontId="29" fillId="0" borderId="0" xfId="0" applyNumberFormat="1" applyFont="1" applyAlignment="1">
      <alignment horizontal="right"/>
    </xf>
    <xf numFmtId="3" fontId="29" fillId="0" borderId="0" xfId="0" applyNumberFormat="1" applyFont="1"/>
    <xf numFmtId="164" fontId="31" fillId="2" borderId="96" xfId="53" applyNumberFormat="1" applyFont="1" applyFill="1" applyBorder="1" applyAlignment="1">
      <alignment horizontal="left"/>
    </xf>
    <xf numFmtId="164" fontId="31" fillId="2" borderId="111" xfId="53" applyNumberFormat="1" applyFont="1" applyFill="1" applyBorder="1" applyAlignment="1">
      <alignment horizontal="left"/>
    </xf>
    <xf numFmtId="0" fontId="31" fillId="2" borderId="111" xfId="53" applyNumberFormat="1" applyFont="1" applyFill="1" applyBorder="1" applyAlignment="1">
      <alignment horizontal="left"/>
    </xf>
    <xf numFmtId="164" fontId="31" fillId="2" borderId="94" xfId="53" applyNumberFormat="1" applyFont="1" applyFill="1" applyBorder="1" applyAlignment="1">
      <alignment horizontal="left"/>
    </xf>
    <xf numFmtId="3" fontId="31" fillId="2" borderId="94" xfId="53" applyNumberFormat="1" applyFont="1" applyFill="1" applyBorder="1" applyAlignment="1">
      <alignment horizontal="left"/>
    </xf>
    <xf numFmtId="3" fontId="31" fillId="2" borderId="57" xfId="53" applyNumberFormat="1" applyFont="1" applyFill="1" applyBorder="1" applyAlignment="1">
      <alignment horizontal="left"/>
    </xf>
    <xf numFmtId="3" fontId="32" fillId="0" borderId="111" xfId="0" applyNumberFormat="1" applyFont="1" applyFill="1" applyBorder="1"/>
    <xf numFmtId="3" fontId="32" fillId="0" borderId="95" xfId="0" applyNumberFormat="1" applyFont="1" applyFill="1" applyBorder="1"/>
    <xf numFmtId="0" fontId="32" fillId="0" borderId="67" xfId="0" applyFont="1" applyFill="1" applyBorder="1"/>
    <xf numFmtId="0" fontId="32" fillId="0" borderId="68" xfId="0" applyFont="1" applyFill="1" applyBorder="1"/>
    <xf numFmtId="164" fontId="32" fillId="0" borderId="68" xfId="0" applyNumberFormat="1" applyFont="1" applyFill="1" applyBorder="1"/>
    <xf numFmtId="164" fontId="32" fillId="0" borderId="68" xfId="0" applyNumberFormat="1" applyFont="1" applyFill="1" applyBorder="1" applyAlignment="1">
      <alignment horizontal="right"/>
    </xf>
    <xf numFmtId="0" fontId="32" fillId="0" borderId="68" xfId="0" applyNumberFormat="1" applyFont="1" applyFill="1" applyBorder="1"/>
    <xf numFmtId="3" fontId="32" fillId="0" borderId="68" xfId="0" applyNumberFormat="1" applyFont="1" applyFill="1" applyBorder="1"/>
    <xf numFmtId="3" fontId="32" fillId="0" borderId="69" xfId="0" applyNumberFormat="1" applyFont="1" applyFill="1" applyBorder="1"/>
    <xf numFmtId="0" fontId="32" fillId="0" borderId="75" xfId="0" applyFont="1" applyFill="1" applyBorder="1"/>
    <xf numFmtId="0" fontId="32" fillId="0" borderId="76" xfId="0" applyFont="1" applyFill="1" applyBorder="1"/>
    <xf numFmtId="164" fontId="32" fillId="0" borderId="76" xfId="0" applyNumberFormat="1" applyFont="1" applyFill="1" applyBorder="1"/>
    <xf numFmtId="164" fontId="32" fillId="0" borderId="76" xfId="0" applyNumberFormat="1" applyFont="1" applyFill="1" applyBorder="1" applyAlignment="1">
      <alignment horizontal="right"/>
    </xf>
    <xf numFmtId="0" fontId="32" fillId="0" borderId="76" xfId="0" applyNumberFormat="1" applyFont="1" applyFill="1" applyBorder="1"/>
    <xf numFmtId="3" fontId="32" fillId="0" borderId="76" xfId="0" applyNumberFormat="1" applyFont="1" applyFill="1" applyBorder="1"/>
    <xf numFmtId="3" fontId="32" fillId="0" borderId="77" xfId="0" applyNumberFormat="1" applyFont="1" applyFill="1" applyBorder="1"/>
    <xf numFmtId="0" fontId="32" fillId="0" borderId="70" xfId="0" applyFont="1" applyFill="1" applyBorder="1"/>
    <xf numFmtId="0" fontId="32" fillId="0" borderId="71" xfId="0" applyFont="1" applyFill="1" applyBorder="1"/>
    <xf numFmtId="164" fontId="32" fillId="0" borderId="71" xfId="0" applyNumberFormat="1" applyFont="1" applyFill="1" applyBorder="1"/>
    <xf numFmtId="164" fontId="32" fillId="0" borderId="71" xfId="0" applyNumberFormat="1" applyFont="1" applyFill="1" applyBorder="1" applyAlignment="1">
      <alignment horizontal="right"/>
    </xf>
    <xf numFmtId="0" fontId="32" fillId="0" borderId="71" xfId="0" applyNumberFormat="1" applyFont="1" applyFill="1" applyBorder="1"/>
    <xf numFmtId="3" fontId="32" fillId="0" borderId="71" xfId="0" applyNumberFormat="1" applyFont="1" applyFill="1" applyBorder="1"/>
    <xf numFmtId="3" fontId="32" fillId="0" borderId="72" xfId="0" applyNumberFormat="1" applyFont="1" applyFill="1" applyBorder="1"/>
    <xf numFmtId="0" fontId="39" fillId="2" borderId="96" xfId="0" applyFont="1" applyFill="1" applyBorder="1"/>
    <xf numFmtId="3" fontId="39" fillId="2" borderId="97" xfId="0" applyNumberFormat="1" applyFont="1" applyFill="1" applyBorder="1"/>
    <xf numFmtId="9" fontId="39" fillId="2" borderId="63" xfId="0" applyNumberFormat="1" applyFont="1" applyFill="1" applyBorder="1"/>
    <xf numFmtId="3" fontId="39" fillId="2" borderId="57" xfId="0" applyNumberFormat="1" applyFont="1" applyFill="1" applyBorder="1"/>
    <xf numFmtId="9" fontId="32" fillId="0" borderId="111" xfId="0" applyNumberFormat="1" applyFont="1" applyFill="1" applyBorder="1"/>
    <xf numFmtId="9" fontId="32" fillId="0" borderId="68" xfId="0" applyNumberFormat="1" applyFont="1" applyFill="1" applyBorder="1"/>
    <xf numFmtId="9" fontId="32" fillId="0" borderId="71" xfId="0" applyNumberFormat="1" applyFont="1" applyFill="1" applyBorder="1"/>
    <xf numFmtId="3" fontId="32" fillId="0" borderId="28" xfId="0" applyNumberFormat="1" applyFont="1" applyFill="1" applyBorder="1"/>
    <xf numFmtId="0" fontId="39" fillId="11" borderId="20" xfId="0" applyFont="1" applyFill="1" applyBorder="1"/>
    <xf numFmtId="3" fontId="39" fillId="11" borderId="28" xfId="0" applyNumberFormat="1" applyFont="1" applyFill="1" applyBorder="1"/>
    <xf numFmtId="9" fontId="39" fillId="11" borderId="28" xfId="0" applyNumberFormat="1" applyFont="1" applyFill="1" applyBorder="1"/>
    <xf numFmtId="3" fontId="39" fillId="11" borderId="21" xfId="0" applyNumberFormat="1" applyFont="1" applyFill="1" applyBorder="1"/>
    <xf numFmtId="0" fontId="39" fillId="0" borderId="96" xfId="0" applyFont="1" applyFill="1" applyBorder="1"/>
    <xf numFmtId="0" fontId="32" fillId="5" borderId="11" xfId="0" applyFont="1" applyFill="1" applyBorder="1" applyAlignment="1">
      <alignment wrapText="1"/>
    </xf>
    <xf numFmtId="9" fontId="32" fillId="0" borderId="76" xfId="0" applyNumberFormat="1" applyFont="1" applyFill="1" applyBorder="1"/>
    <xf numFmtId="3" fontId="32" fillId="0" borderId="79" xfId="0" applyNumberFormat="1" applyFont="1" applyFill="1" applyBorder="1"/>
    <xf numFmtId="9" fontId="32" fillId="0" borderId="79" xfId="0" applyNumberFormat="1" applyFont="1" applyFill="1" applyBorder="1"/>
    <xf numFmtId="3" fontId="32" fillId="0" borderId="80" xfId="0" applyNumberFormat="1" applyFont="1" applyFill="1" applyBorder="1"/>
    <xf numFmtId="0" fontId="39" fillId="0" borderId="67" xfId="0" applyFont="1" applyFill="1" applyBorder="1"/>
    <xf numFmtId="0" fontId="39" fillId="0" borderId="75" xfId="0" applyFont="1" applyFill="1" applyBorder="1"/>
    <xf numFmtId="0" fontId="39" fillId="0" borderId="91" xfId="0" applyFont="1" applyFill="1" applyBorder="1"/>
    <xf numFmtId="0" fontId="39" fillId="2" borderId="111" xfId="0" applyFont="1" applyFill="1" applyBorder="1"/>
    <xf numFmtId="3" fontId="39" fillId="2" borderId="0" xfId="0" applyNumberFormat="1" applyFont="1" applyFill="1" applyBorder="1"/>
    <xf numFmtId="3" fontId="39" fillId="2" borderId="17" xfId="0" applyNumberFormat="1" applyFont="1" applyFill="1" applyBorder="1"/>
    <xf numFmtId="0" fontId="3" fillId="2" borderId="96" xfId="79" applyFont="1" applyFill="1" applyBorder="1" applyAlignment="1">
      <alignment horizontal="left"/>
    </xf>
    <xf numFmtId="3" fontId="3" fillId="2" borderId="79" xfId="80" applyNumberFormat="1" applyFont="1" applyFill="1" applyBorder="1"/>
    <xf numFmtId="3" fontId="3" fillId="2" borderId="80" xfId="80" applyNumberFormat="1" applyFont="1" applyFill="1" applyBorder="1"/>
    <xf numFmtId="9" fontId="3" fillId="2" borderId="112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9" fontId="32" fillId="0" borderId="69" xfId="0" applyNumberFormat="1" applyFont="1" applyFill="1" applyBorder="1"/>
    <xf numFmtId="9" fontId="32" fillId="0" borderId="72" xfId="0" applyNumberFormat="1" applyFont="1" applyFill="1" applyBorder="1"/>
    <xf numFmtId="0" fontId="39" fillId="0" borderId="87" xfId="0" applyFont="1" applyFill="1" applyBorder="1"/>
    <xf numFmtId="0" fontId="39" fillId="0" borderId="86" xfId="0" applyFont="1" applyFill="1" applyBorder="1" applyAlignment="1">
      <alignment horizontal="left" indent="1"/>
    </xf>
    <xf numFmtId="9" fontId="32" fillId="0" borderId="113" xfId="0" applyNumberFormat="1" applyFont="1" applyFill="1" applyBorder="1"/>
    <xf numFmtId="9" fontId="32" fillId="0" borderId="82" xfId="0" applyNumberFormat="1" applyFont="1" applyFill="1" applyBorder="1"/>
    <xf numFmtId="3" fontId="32" fillId="0" borderId="67" xfId="0" applyNumberFormat="1" applyFont="1" applyFill="1" applyBorder="1"/>
    <xf numFmtId="3" fontId="32" fillId="0" borderId="70" xfId="0" applyNumberFormat="1" applyFont="1" applyFill="1" applyBorder="1"/>
    <xf numFmtId="9" fontId="32" fillId="0" borderId="114" xfId="0" applyNumberFormat="1" applyFont="1" applyFill="1" applyBorder="1"/>
    <xf numFmtId="9" fontId="32" fillId="0" borderId="98" xfId="0" applyNumberFormat="1" applyFont="1" applyFill="1" applyBorder="1"/>
    <xf numFmtId="0" fontId="32" fillId="2" borderId="57" xfId="0" applyFont="1" applyFill="1" applyBorder="1" applyAlignment="1">
      <alignment vertical="center"/>
    </xf>
    <xf numFmtId="0" fontId="31" fillId="2" borderId="16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7" xfId="26" applyNumberFormat="1" applyFont="1" applyFill="1" applyBorder="1" applyAlignment="1">
      <alignment horizontal="right"/>
    </xf>
    <xf numFmtId="0" fontId="59" fillId="4" borderId="67" xfId="0" applyFont="1" applyFill="1" applyBorder="1" applyAlignment="1">
      <alignment horizontal="left"/>
    </xf>
    <xf numFmtId="169" fontId="59" fillId="4" borderId="68" xfId="0" applyNumberFormat="1" applyFont="1" applyFill="1" applyBorder="1"/>
    <xf numFmtId="9" fontId="59" fillId="4" borderId="68" xfId="0" applyNumberFormat="1" applyFont="1" applyFill="1" applyBorder="1"/>
    <xf numFmtId="9" fontId="59" fillId="4" borderId="69" xfId="0" applyNumberFormat="1" applyFont="1" applyFill="1" applyBorder="1"/>
    <xf numFmtId="169" fontId="0" fillId="0" borderId="76" xfId="0" applyNumberFormat="1" applyBorder="1"/>
    <xf numFmtId="9" fontId="0" fillId="0" borderId="76" xfId="0" applyNumberFormat="1" applyBorder="1"/>
    <xf numFmtId="9" fontId="0" fillId="0" borderId="77" xfId="0" applyNumberFormat="1" applyBorder="1"/>
    <xf numFmtId="169" fontId="0" fillId="0" borderId="71" xfId="0" applyNumberFormat="1" applyBorder="1"/>
    <xf numFmtId="9" fontId="0" fillId="0" borderId="71" xfId="0" applyNumberFormat="1" applyBorder="1"/>
    <xf numFmtId="9" fontId="0" fillId="0" borderId="72" xfId="0" applyNumberFormat="1" applyBorder="1"/>
    <xf numFmtId="0" fontId="59" fillId="0" borderId="75" xfId="0" applyFont="1" applyBorder="1" applyAlignment="1">
      <alignment horizontal="left" indent="1"/>
    </xf>
    <xf numFmtId="0" fontId="59" fillId="0" borderId="70" xfId="0" applyFont="1" applyBorder="1" applyAlignment="1">
      <alignment horizontal="left" indent="1"/>
    </xf>
    <xf numFmtId="0" fontId="59" fillId="4" borderId="75" xfId="0" applyFont="1" applyFill="1" applyBorder="1" applyAlignment="1">
      <alignment horizontal="left"/>
    </xf>
    <xf numFmtId="169" fontId="59" fillId="4" borderId="76" xfId="0" applyNumberFormat="1" applyFont="1" applyFill="1" applyBorder="1"/>
    <xf numFmtId="9" fontId="59" fillId="4" borderId="76" xfId="0" applyNumberFormat="1" applyFont="1" applyFill="1" applyBorder="1"/>
    <xf numFmtId="9" fontId="59" fillId="4" borderId="77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31" fillId="2" borderId="17" xfId="26" applyNumberFormat="1" applyFont="1" applyFill="1" applyBorder="1"/>
    <xf numFmtId="169" fontId="32" fillId="0" borderId="28" xfId="0" applyNumberFormat="1" applyFont="1" applyFill="1" applyBorder="1"/>
    <xf numFmtId="169" fontId="32" fillId="0" borderId="21" xfId="0" applyNumberFormat="1" applyFont="1" applyFill="1" applyBorder="1"/>
    <xf numFmtId="0" fontId="39" fillId="0" borderId="20" xfId="0" applyFont="1" applyFill="1" applyBorder="1"/>
    <xf numFmtId="0" fontId="32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center"/>
    </xf>
    <xf numFmtId="3" fontId="31" fillId="2" borderId="16" xfId="0" applyNumberFormat="1" applyFont="1" applyFill="1" applyBorder="1" applyAlignment="1">
      <alignment horizontal="left"/>
    </xf>
    <xf numFmtId="3" fontId="31" fillId="2" borderId="17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7" xfId="0" applyNumberFormat="1" applyFont="1" applyFill="1" applyBorder="1" applyAlignment="1">
      <alignment horizontal="center" vertical="top"/>
    </xf>
    <xf numFmtId="3" fontId="31" fillId="2" borderId="17" xfId="0" applyNumberFormat="1" applyFont="1" applyFill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top" wrapText="1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94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93"/>
      <tableStyleElement type="headerRow" dxfId="92"/>
      <tableStyleElement type="totalRow" dxfId="91"/>
      <tableStyleElement type="firstColumn" dxfId="90"/>
      <tableStyleElement type="lastColumn" dxfId="89"/>
      <tableStyleElement type="firstRowStripe" dxfId="88"/>
      <tableStyleElement type="firstColumnStripe" dxfId="87"/>
    </tableStyle>
    <tableStyle name="TableStyleMedium2 2" pivot="0" count="7" xr9:uid="{00000000-0011-0000-FFFF-FFFF01000000}">
      <tableStyleElement type="wholeTable" dxfId="86"/>
      <tableStyleElement type="headerRow" dxfId="85"/>
      <tableStyleElement type="totalRow" dxfId="84"/>
      <tableStyleElement type="firstColumn" dxfId="83"/>
      <tableStyleElement type="lastColumn" dxfId="82"/>
      <tableStyleElement type="firstRowStripe" dxfId="81"/>
      <tableStyleElement type="firstColumnStripe" dxfId="80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Graf'!$B$4:$J$4</c:f>
              <c:numCache>
                <c:formatCode>General</c:formatCode>
                <c:ptCount val="9"/>
                <c:pt idx="0">
                  <c:v>0.60517631263241145</c:v>
                </c:pt>
                <c:pt idx="1">
                  <c:v>0.56215582785833973</c:v>
                </c:pt>
                <c:pt idx="2">
                  <c:v>0.47603818983008039</c:v>
                </c:pt>
                <c:pt idx="3">
                  <c:v>0.4061415386559617</c:v>
                </c:pt>
                <c:pt idx="4">
                  <c:v>0.40661195669566308</c:v>
                </c:pt>
                <c:pt idx="5">
                  <c:v>0.4214046432618882</c:v>
                </c:pt>
                <c:pt idx="6">
                  <c:v>0.4134951748944653</c:v>
                </c:pt>
                <c:pt idx="7">
                  <c:v>0.40670993539448208</c:v>
                </c:pt>
                <c:pt idx="8">
                  <c:v>0.41721363158776464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1" totalsRowShown="0" headerRowDxfId="79" tableBorderDxfId="78">
  <autoFilter ref="A7:S21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77"/>
    <tableColumn id="2" xr3:uid="{00000000-0010-0000-0000-000002000000}" name="popis" dataDxfId="76"/>
    <tableColumn id="3" xr3:uid="{00000000-0010-0000-0000-000003000000}" name="01 uv_sk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60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59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29" totalsRowShown="0">
  <autoFilter ref="C3:S129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4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14" bestFit="1" customWidth="1"/>
    <col min="2" max="2" width="102.28515625" style="114" bestFit="1" customWidth="1"/>
    <col min="3" max="3" width="16.140625" style="47" hidden="1" customWidth="1"/>
    <col min="4" max="16384" width="8.85546875" style="114"/>
  </cols>
  <sheetData>
    <row r="1" spans="1:3" ht="18.600000000000001" customHeight="1" thickBot="1" x14ac:dyDescent="0.35">
      <c r="A1" s="304" t="s">
        <v>92</v>
      </c>
      <c r="B1" s="304"/>
    </row>
    <row r="2" spans="1:3" ht="14.45" customHeight="1" thickBot="1" x14ac:dyDescent="0.25">
      <c r="A2" s="207" t="s">
        <v>242</v>
      </c>
      <c r="B2" s="46"/>
    </row>
    <row r="3" spans="1:3" ht="14.45" customHeight="1" thickBot="1" x14ac:dyDescent="0.25">
      <c r="A3" s="300" t="s">
        <v>119</v>
      </c>
      <c r="B3" s="301"/>
    </row>
    <row r="4" spans="1:3" ht="14.45" customHeight="1" x14ac:dyDescent="0.2">
      <c r="A4" s="127" t="str">
        <f t="shared" ref="A4:A8" si="0">HYPERLINK("#'"&amp;C4&amp;"'!A1",C4)</f>
        <v>Motivace</v>
      </c>
      <c r="B4" s="74" t="s">
        <v>103</v>
      </c>
      <c r="C4" s="47" t="s">
        <v>104</v>
      </c>
    </row>
    <row r="5" spans="1:3" ht="14.45" customHeight="1" x14ac:dyDescent="0.2">
      <c r="A5" s="128" t="str">
        <f t="shared" si="0"/>
        <v>HI</v>
      </c>
      <c r="B5" s="75" t="s">
        <v>116</v>
      </c>
      <c r="C5" s="47" t="s">
        <v>95</v>
      </c>
    </row>
    <row r="6" spans="1:3" ht="14.45" customHeight="1" x14ac:dyDescent="0.2">
      <c r="A6" s="129" t="str">
        <f t="shared" si="0"/>
        <v>HI Graf</v>
      </c>
      <c r="B6" s="76" t="s">
        <v>89</v>
      </c>
      <c r="C6" s="47" t="s">
        <v>96</v>
      </c>
    </row>
    <row r="7" spans="1:3" ht="14.45" customHeight="1" x14ac:dyDescent="0.2">
      <c r="A7" s="129" t="str">
        <f t="shared" si="0"/>
        <v>Man Tab</v>
      </c>
      <c r="B7" s="76" t="s">
        <v>244</v>
      </c>
      <c r="C7" s="47" t="s">
        <v>97</v>
      </c>
    </row>
    <row r="8" spans="1:3" ht="14.45" customHeight="1" thickBot="1" x14ac:dyDescent="0.25">
      <c r="A8" s="130" t="str">
        <f t="shared" si="0"/>
        <v>HV</v>
      </c>
      <c r="B8" s="77" t="s">
        <v>48</v>
      </c>
      <c r="C8" s="47" t="s">
        <v>53</v>
      </c>
    </row>
    <row r="9" spans="1:3" ht="14.45" customHeight="1" thickBot="1" x14ac:dyDescent="0.25">
      <c r="A9" s="78"/>
      <c r="B9" s="78"/>
    </row>
    <row r="10" spans="1:3" ht="14.45" customHeight="1" thickBot="1" x14ac:dyDescent="0.25">
      <c r="A10" s="302" t="s">
        <v>93</v>
      </c>
      <c r="B10" s="301"/>
    </row>
    <row r="11" spans="1:3" ht="14.45" customHeight="1" x14ac:dyDescent="0.2">
      <c r="A11" s="131" t="str">
        <f t="shared" ref="A11" si="1">HYPERLINK("#'"&amp;C11&amp;"'!A1",C11)</f>
        <v>Léky Žádanky</v>
      </c>
      <c r="B11" s="75" t="s">
        <v>117</v>
      </c>
      <c r="C11" s="47" t="s">
        <v>98</v>
      </c>
    </row>
    <row r="12" spans="1:3" ht="14.45" customHeight="1" x14ac:dyDescent="0.2">
      <c r="A12" s="129" t="str">
        <f t="shared" ref="A12:A18" si="2">HYPERLINK("#'"&amp;C12&amp;"'!A1",C12)</f>
        <v>LŽ Detail</v>
      </c>
      <c r="B12" s="76" t="s">
        <v>136</v>
      </c>
      <c r="C12" s="47" t="s">
        <v>99</v>
      </c>
    </row>
    <row r="13" spans="1:3" ht="28.9" customHeight="1" x14ac:dyDescent="0.2">
      <c r="A13" s="129" t="str">
        <f t="shared" si="2"/>
        <v>LŽ PL</v>
      </c>
      <c r="B13" s="468" t="s">
        <v>137</v>
      </c>
      <c r="C13" s="47" t="s">
        <v>123</v>
      </c>
    </row>
    <row r="14" spans="1:3" ht="14.45" customHeight="1" x14ac:dyDescent="0.2">
      <c r="A14" s="129" t="str">
        <f t="shared" si="2"/>
        <v>LŽ PL Detail</v>
      </c>
      <c r="B14" s="76" t="s">
        <v>581</v>
      </c>
      <c r="C14" s="47" t="s">
        <v>124</v>
      </c>
    </row>
    <row r="15" spans="1:3" ht="14.45" customHeight="1" x14ac:dyDescent="0.2">
      <c r="A15" s="129" t="str">
        <f t="shared" si="2"/>
        <v>LŽ Statim</v>
      </c>
      <c r="B15" s="229" t="s">
        <v>168</v>
      </c>
      <c r="C15" s="47" t="s">
        <v>178</v>
      </c>
    </row>
    <row r="16" spans="1:3" ht="14.45" customHeight="1" x14ac:dyDescent="0.2">
      <c r="A16" s="131" t="str">
        <f t="shared" ref="A16" si="3">HYPERLINK("#'"&amp;C16&amp;"'!A1",C16)</f>
        <v>Materiál Žádanky</v>
      </c>
      <c r="B16" s="76" t="s">
        <v>118</v>
      </c>
      <c r="C16" s="47" t="s">
        <v>100</v>
      </c>
    </row>
    <row r="17" spans="1:3" ht="14.45" customHeight="1" x14ac:dyDescent="0.2">
      <c r="A17" s="129" t="str">
        <f t="shared" si="2"/>
        <v>MŽ Detail</v>
      </c>
      <c r="B17" s="76" t="s">
        <v>1652</v>
      </c>
      <c r="C17" s="47" t="s">
        <v>101</v>
      </c>
    </row>
    <row r="18" spans="1:3" ht="14.45" customHeight="1" thickBot="1" x14ac:dyDescent="0.25">
      <c r="A18" s="131" t="str">
        <f t="shared" si="2"/>
        <v>Osobní náklady</v>
      </c>
      <c r="B18" s="76" t="s">
        <v>90</v>
      </c>
      <c r="C18" s="47" t="s">
        <v>102</v>
      </c>
    </row>
    <row r="19" spans="1:3" ht="14.45" customHeight="1" thickBot="1" x14ac:dyDescent="0.25">
      <c r="A19" s="79"/>
      <c r="B19" s="79"/>
    </row>
    <row r="20" spans="1:3" ht="14.45" customHeight="1" thickBot="1" x14ac:dyDescent="0.25">
      <c r="A20" s="303" t="s">
        <v>94</v>
      </c>
      <c r="B20" s="301"/>
    </row>
    <row r="21" spans="1:3" ht="14.45" customHeight="1" x14ac:dyDescent="0.2">
      <c r="A21" s="132" t="str">
        <f t="shared" ref="A21:A23" si="4">HYPERLINK("#'"&amp;C21&amp;"'!A1",C21)</f>
        <v>ZV Vykáz.-A</v>
      </c>
      <c r="B21" s="75" t="s">
        <v>1678</v>
      </c>
      <c r="C21" s="47" t="s">
        <v>105</v>
      </c>
    </row>
    <row r="22" spans="1:3" ht="14.45" customHeight="1" x14ac:dyDescent="0.2">
      <c r="A22" s="129" t="str">
        <f t="shared" ref="A22" si="5">HYPERLINK("#'"&amp;C22&amp;"'!A1",C22)</f>
        <v>ZV Vykáz.-A Lékaři</v>
      </c>
      <c r="B22" s="76" t="s">
        <v>1687</v>
      </c>
      <c r="C22" s="47" t="s">
        <v>181</v>
      </c>
    </row>
    <row r="23" spans="1:3" ht="14.45" customHeight="1" x14ac:dyDescent="0.2">
      <c r="A23" s="129" t="str">
        <f t="shared" si="4"/>
        <v>ZV Vykáz.-A Detail</v>
      </c>
      <c r="B23" s="76" t="s">
        <v>1956</v>
      </c>
      <c r="C23" s="47" t="s">
        <v>106</v>
      </c>
    </row>
    <row r="24" spans="1:3" ht="14.45" customHeight="1" x14ac:dyDescent="0.25">
      <c r="A24" s="242" t="str">
        <f>HYPERLINK("#'"&amp;C24&amp;"'!A1",C24)</f>
        <v>ZV Vykáz.-A Det.Lék.</v>
      </c>
      <c r="B24" s="76" t="s">
        <v>1957</v>
      </c>
      <c r="C24" s="47" t="s">
        <v>184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 xr:uid="{7772D8B3-5839-4B47-8FCC-7573F3271E81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14" bestFit="1" customWidth="1"/>
    <col min="2" max="2" width="8.85546875" style="114" bestFit="1" customWidth="1"/>
    <col min="3" max="3" width="7" style="114" bestFit="1" customWidth="1"/>
    <col min="4" max="4" width="53.42578125" style="114" bestFit="1" customWidth="1"/>
    <col min="5" max="5" width="28.42578125" style="114" bestFit="1" customWidth="1"/>
    <col min="6" max="6" width="6.7109375" style="189" customWidth="1"/>
    <col min="7" max="7" width="10" style="189" customWidth="1"/>
    <col min="8" max="8" width="6.7109375" style="192" bestFit="1" customWidth="1"/>
    <col min="9" max="9" width="6.7109375" style="189" customWidth="1"/>
    <col min="10" max="10" width="10.85546875" style="189" customWidth="1"/>
    <col min="11" max="11" width="6.7109375" style="192" bestFit="1" customWidth="1"/>
    <col min="12" max="12" width="6.7109375" style="189" customWidth="1"/>
    <col min="13" max="13" width="10.85546875" style="189" customWidth="1"/>
    <col min="14" max="16384" width="8.85546875" style="114"/>
  </cols>
  <sheetData>
    <row r="1" spans="1:13" ht="18.600000000000001" customHeight="1" thickBot="1" x14ac:dyDescent="0.35">
      <c r="A1" s="343" t="s">
        <v>581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04"/>
      <c r="M1" s="304"/>
    </row>
    <row r="2" spans="1:13" ht="14.45" customHeight="1" thickBot="1" x14ac:dyDescent="0.25">
      <c r="A2" s="207" t="s">
        <v>242</v>
      </c>
      <c r="B2" s="188"/>
      <c r="C2" s="188"/>
      <c r="D2" s="188"/>
      <c r="E2" s="188"/>
      <c r="F2" s="196"/>
      <c r="G2" s="196"/>
      <c r="H2" s="197"/>
      <c r="I2" s="196"/>
      <c r="J2" s="196"/>
      <c r="K2" s="197"/>
      <c r="L2" s="196"/>
    </row>
    <row r="3" spans="1:13" ht="14.45" customHeight="1" thickBot="1" x14ac:dyDescent="0.25">
      <c r="E3" s="71" t="s">
        <v>107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5</v>
      </c>
      <c r="J3" s="43">
        <f>SUBTOTAL(9,J6:J1048576)</f>
        <v>293.02</v>
      </c>
      <c r="K3" s="44">
        <f>IF(M3=0,0,J3/M3)</f>
        <v>1</v>
      </c>
      <c r="L3" s="43">
        <f>SUBTOTAL(9,L6:L1048576)</f>
        <v>5</v>
      </c>
      <c r="M3" s="45">
        <f>SUBTOTAL(9,M6:M1048576)</f>
        <v>293.02</v>
      </c>
    </row>
    <row r="4" spans="1:13" ht="14.45" customHeight="1" thickBot="1" x14ac:dyDescent="0.25">
      <c r="A4" s="41"/>
      <c r="B4" s="41"/>
      <c r="C4" s="41"/>
      <c r="D4" s="41"/>
      <c r="E4" s="42"/>
      <c r="F4" s="347" t="s">
        <v>109</v>
      </c>
      <c r="G4" s="348"/>
      <c r="H4" s="349"/>
      <c r="I4" s="350" t="s">
        <v>108</v>
      </c>
      <c r="J4" s="348"/>
      <c r="K4" s="349"/>
      <c r="L4" s="351" t="s">
        <v>3</v>
      </c>
      <c r="M4" s="352"/>
    </row>
    <row r="5" spans="1:13" ht="14.45" customHeight="1" thickBot="1" x14ac:dyDescent="0.25">
      <c r="A5" s="455" t="s">
        <v>110</v>
      </c>
      <c r="B5" s="476" t="s">
        <v>111</v>
      </c>
      <c r="C5" s="476" t="s">
        <v>57</v>
      </c>
      <c r="D5" s="476" t="s">
        <v>112</v>
      </c>
      <c r="E5" s="476" t="s">
        <v>113</v>
      </c>
      <c r="F5" s="477" t="s">
        <v>15</v>
      </c>
      <c r="G5" s="477" t="s">
        <v>14</v>
      </c>
      <c r="H5" s="457" t="s">
        <v>114</v>
      </c>
      <c r="I5" s="456" t="s">
        <v>15</v>
      </c>
      <c r="J5" s="477" t="s">
        <v>14</v>
      </c>
      <c r="K5" s="457" t="s">
        <v>114</v>
      </c>
      <c r="L5" s="456" t="s">
        <v>15</v>
      </c>
      <c r="M5" s="478" t="s">
        <v>14</v>
      </c>
    </row>
    <row r="6" spans="1:13" ht="14.45" customHeight="1" x14ac:dyDescent="0.2">
      <c r="A6" s="434" t="s">
        <v>444</v>
      </c>
      <c r="B6" s="435" t="s">
        <v>573</v>
      </c>
      <c r="C6" s="435" t="s">
        <v>574</v>
      </c>
      <c r="D6" s="435" t="s">
        <v>563</v>
      </c>
      <c r="E6" s="435" t="s">
        <v>575</v>
      </c>
      <c r="F6" s="439"/>
      <c r="G6" s="439"/>
      <c r="H6" s="460">
        <v>0</v>
      </c>
      <c r="I6" s="439">
        <v>1</v>
      </c>
      <c r="J6" s="439">
        <v>113.75</v>
      </c>
      <c r="K6" s="460">
        <v>1</v>
      </c>
      <c r="L6" s="439">
        <v>1</v>
      </c>
      <c r="M6" s="440">
        <v>113.75</v>
      </c>
    </row>
    <row r="7" spans="1:13" ht="14.45" customHeight="1" x14ac:dyDescent="0.2">
      <c r="A7" s="441" t="s">
        <v>444</v>
      </c>
      <c r="B7" s="442" t="s">
        <v>576</v>
      </c>
      <c r="C7" s="442" t="s">
        <v>577</v>
      </c>
      <c r="D7" s="442" t="s">
        <v>556</v>
      </c>
      <c r="E7" s="442" t="s">
        <v>557</v>
      </c>
      <c r="F7" s="446"/>
      <c r="G7" s="446"/>
      <c r="H7" s="469">
        <v>0</v>
      </c>
      <c r="I7" s="446">
        <v>3</v>
      </c>
      <c r="J7" s="446">
        <v>149.28</v>
      </c>
      <c r="K7" s="469">
        <v>1</v>
      </c>
      <c r="L7" s="446">
        <v>3</v>
      </c>
      <c r="M7" s="447">
        <v>149.28</v>
      </c>
    </row>
    <row r="8" spans="1:13" ht="14.45" customHeight="1" thickBot="1" x14ac:dyDescent="0.25">
      <c r="A8" s="448" t="s">
        <v>444</v>
      </c>
      <c r="B8" s="449" t="s">
        <v>578</v>
      </c>
      <c r="C8" s="449" t="s">
        <v>579</v>
      </c>
      <c r="D8" s="449" t="s">
        <v>560</v>
      </c>
      <c r="E8" s="449" t="s">
        <v>580</v>
      </c>
      <c r="F8" s="453"/>
      <c r="G8" s="453"/>
      <c r="H8" s="461">
        <v>0</v>
      </c>
      <c r="I8" s="453">
        <v>1</v>
      </c>
      <c r="J8" s="453">
        <v>29.99</v>
      </c>
      <c r="K8" s="461">
        <v>1</v>
      </c>
      <c r="L8" s="453">
        <v>1</v>
      </c>
      <c r="M8" s="454">
        <v>29.99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22" priority="4" operator="greaterThan">
      <formula>0.1</formula>
    </cfRule>
  </conditionalFormatting>
  <hyperlinks>
    <hyperlink ref="A2" location="Obsah!A1" display="Zpět na Obsah  KL 01  1.-4.měsíc" xr:uid="{1D667146-7D93-4673-9C04-CDF9D9D54777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33" customWidth="1"/>
    <col min="2" max="2" width="5.42578125" style="189" bestFit="1" customWidth="1"/>
    <col min="3" max="3" width="6.140625" style="189" bestFit="1" customWidth="1"/>
    <col min="4" max="4" width="7.42578125" style="189" bestFit="1" customWidth="1"/>
    <col min="5" max="5" width="6.28515625" style="189" bestFit="1" customWidth="1"/>
    <col min="6" max="6" width="6.28515625" style="192" bestFit="1" customWidth="1"/>
    <col min="7" max="7" width="6.140625" style="192" bestFit="1" customWidth="1"/>
    <col min="8" max="8" width="7.42578125" style="192" bestFit="1" customWidth="1"/>
    <col min="9" max="9" width="6.28515625" style="192" bestFit="1" customWidth="1"/>
    <col min="10" max="10" width="5.42578125" style="189" bestFit="1" customWidth="1"/>
    <col min="11" max="11" width="6.140625" style="189" bestFit="1" customWidth="1"/>
    <col min="12" max="12" width="7.42578125" style="189" bestFit="1" customWidth="1"/>
    <col min="13" max="13" width="6.28515625" style="189" bestFit="1" customWidth="1"/>
    <col min="14" max="14" width="5.28515625" style="192" bestFit="1" customWidth="1"/>
    <col min="15" max="15" width="6.140625" style="192" bestFit="1" customWidth="1"/>
    <col min="16" max="16" width="7.42578125" style="192" bestFit="1" customWidth="1"/>
    <col min="17" max="17" width="6.28515625" style="192" bestFit="1" customWidth="1"/>
    <col min="18" max="16384" width="8.85546875" style="114"/>
  </cols>
  <sheetData>
    <row r="1" spans="1:17" ht="18.600000000000001" customHeight="1" thickBot="1" x14ac:dyDescent="0.35">
      <c r="A1" s="343" t="s">
        <v>168</v>
      </c>
      <c r="B1" s="343"/>
      <c r="C1" s="343"/>
      <c r="D1" s="343"/>
      <c r="E1" s="343"/>
      <c r="F1" s="305"/>
      <c r="G1" s="305"/>
      <c r="H1" s="305"/>
      <c r="I1" s="305"/>
      <c r="J1" s="336"/>
      <c r="K1" s="336"/>
      <c r="L1" s="336"/>
      <c r="M1" s="336"/>
      <c r="N1" s="336"/>
      <c r="O1" s="336"/>
      <c r="P1" s="336"/>
      <c r="Q1" s="336"/>
    </row>
    <row r="2" spans="1:17" ht="14.45" customHeight="1" thickBot="1" x14ac:dyDescent="0.25">
      <c r="A2" s="207" t="s">
        <v>242</v>
      </c>
      <c r="B2" s="196"/>
      <c r="C2" s="196"/>
      <c r="D2" s="196"/>
      <c r="E2" s="196"/>
    </row>
    <row r="3" spans="1:17" ht="14.45" customHeight="1" thickBot="1" x14ac:dyDescent="0.25">
      <c r="A3" s="222" t="s">
        <v>3</v>
      </c>
      <c r="B3" s="226">
        <f>SUM(B6:B1048576)</f>
        <v>637</v>
      </c>
      <c r="C3" s="227">
        <f>SUM(C6:C1048576)</f>
        <v>3</v>
      </c>
      <c r="D3" s="227">
        <f>SUM(D6:D1048576)</f>
        <v>0</v>
      </c>
      <c r="E3" s="228">
        <f>SUM(E6:E1048576)</f>
        <v>0</v>
      </c>
      <c r="F3" s="225">
        <f>IF(SUM($B3:$E3)=0,"",B3/SUM($B3:$E3))</f>
        <v>0.99531250000000004</v>
      </c>
      <c r="G3" s="223">
        <f t="shared" ref="G3:I3" si="0">IF(SUM($B3:$E3)=0,"",C3/SUM($B3:$E3))</f>
        <v>4.6874999999999998E-3</v>
      </c>
      <c r="H3" s="223">
        <f t="shared" si="0"/>
        <v>0</v>
      </c>
      <c r="I3" s="224">
        <f t="shared" si="0"/>
        <v>0</v>
      </c>
      <c r="J3" s="227">
        <f>SUM(J6:J1048576)</f>
        <v>114</v>
      </c>
      <c r="K3" s="227">
        <f>SUM(K6:K1048576)</f>
        <v>2</v>
      </c>
      <c r="L3" s="227">
        <f>SUM(L6:L1048576)</f>
        <v>0</v>
      </c>
      <c r="M3" s="228">
        <f>SUM(M6:M1048576)</f>
        <v>0</v>
      </c>
      <c r="N3" s="225">
        <f>IF(SUM($J3:$M3)=0,"",J3/SUM($J3:$M3))</f>
        <v>0.98275862068965514</v>
      </c>
      <c r="O3" s="223">
        <f t="shared" ref="O3:Q3" si="1">IF(SUM($J3:$M3)=0,"",K3/SUM($J3:$M3))</f>
        <v>1.7241379310344827E-2</v>
      </c>
      <c r="P3" s="223">
        <f t="shared" si="1"/>
        <v>0</v>
      </c>
      <c r="Q3" s="224">
        <f t="shared" si="1"/>
        <v>0</v>
      </c>
    </row>
    <row r="4" spans="1:17" ht="14.45" customHeight="1" thickBot="1" x14ac:dyDescent="0.25">
      <c r="A4" s="221"/>
      <c r="B4" s="356" t="s">
        <v>170</v>
      </c>
      <c r="C4" s="357"/>
      <c r="D4" s="357"/>
      <c r="E4" s="358"/>
      <c r="F4" s="353" t="s">
        <v>175</v>
      </c>
      <c r="G4" s="354"/>
      <c r="H4" s="354"/>
      <c r="I4" s="355"/>
      <c r="J4" s="356" t="s">
        <v>176</v>
      </c>
      <c r="K4" s="357"/>
      <c r="L4" s="357"/>
      <c r="M4" s="358"/>
      <c r="N4" s="353" t="s">
        <v>177</v>
      </c>
      <c r="O4" s="354"/>
      <c r="P4" s="354"/>
      <c r="Q4" s="355"/>
    </row>
    <row r="5" spans="1:17" ht="14.45" customHeight="1" thickBot="1" x14ac:dyDescent="0.25">
      <c r="A5" s="479" t="s">
        <v>169</v>
      </c>
      <c r="B5" s="480" t="s">
        <v>171</v>
      </c>
      <c r="C5" s="480" t="s">
        <v>172</v>
      </c>
      <c r="D5" s="480" t="s">
        <v>173</v>
      </c>
      <c r="E5" s="481" t="s">
        <v>174</v>
      </c>
      <c r="F5" s="482" t="s">
        <v>171</v>
      </c>
      <c r="G5" s="483" t="s">
        <v>172</v>
      </c>
      <c r="H5" s="483" t="s">
        <v>173</v>
      </c>
      <c r="I5" s="484" t="s">
        <v>174</v>
      </c>
      <c r="J5" s="480" t="s">
        <v>171</v>
      </c>
      <c r="K5" s="480" t="s">
        <v>172</v>
      </c>
      <c r="L5" s="480" t="s">
        <v>173</v>
      </c>
      <c r="M5" s="481" t="s">
        <v>174</v>
      </c>
      <c r="N5" s="482" t="s">
        <v>171</v>
      </c>
      <c r="O5" s="483" t="s">
        <v>172</v>
      </c>
      <c r="P5" s="483" t="s">
        <v>173</v>
      </c>
      <c r="Q5" s="484" t="s">
        <v>174</v>
      </c>
    </row>
    <row r="6" spans="1:17" ht="14.45" customHeight="1" x14ac:dyDescent="0.2">
      <c r="A6" s="487" t="s">
        <v>582</v>
      </c>
      <c r="B6" s="491"/>
      <c r="C6" s="439"/>
      <c r="D6" s="439"/>
      <c r="E6" s="440"/>
      <c r="F6" s="489"/>
      <c r="G6" s="460"/>
      <c r="H6" s="460"/>
      <c r="I6" s="493"/>
      <c r="J6" s="491"/>
      <c r="K6" s="439"/>
      <c r="L6" s="439"/>
      <c r="M6" s="440"/>
      <c r="N6" s="489"/>
      <c r="O6" s="460"/>
      <c r="P6" s="460"/>
      <c r="Q6" s="485"/>
    </row>
    <row r="7" spans="1:17" ht="14.45" customHeight="1" thickBot="1" x14ac:dyDescent="0.25">
      <c r="A7" s="488" t="s">
        <v>583</v>
      </c>
      <c r="B7" s="492">
        <v>637</v>
      </c>
      <c r="C7" s="453">
        <v>3</v>
      </c>
      <c r="D7" s="453"/>
      <c r="E7" s="454"/>
      <c r="F7" s="490">
        <v>0.99531250000000004</v>
      </c>
      <c r="G7" s="461">
        <v>4.6874999999999998E-3</v>
      </c>
      <c r="H7" s="461">
        <v>0</v>
      </c>
      <c r="I7" s="494">
        <v>0</v>
      </c>
      <c r="J7" s="492">
        <v>114</v>
      </c>
      <c r="K7" s="453">
        <v>2</v>
      </c>
      <c r="L7" s="453"/>
      <c r="M7" s="454"/>
      <c r="N7" s="490">
        <v>0.98275862068965514</v>
      </c>
      <c r="O7" s="461">
        <v>1.7241379310344827E-2</v>
      </c>
      <c r="P7" s="461">
        <v>0</v>
      </c>
      <c r="Q7" s="486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 xr:uid="{E4F63BCA-4956-4D58-B710-DFDB2AA802A7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3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90" customWidth="1"/>
    <col min="2" max="2" width="61.140625" style="190" customWidth="1"/>
    <col min="3" max="3" width="9.5703125" style="114" hidden="1" customWidth="1" outlineLevel="1"/>
    <col min="4" max="4" width="9.5703125" style="191" customWidth="1" collapsed="1"/>
    <col min="5" max="5" width="2.28515625" style="191" customWidth="1"/>
    <col min="6" max="6" width="9.5703125" style="192" customWidth="1"/>
    <col min="7" max="7" width="9.5703125" style="189" customWidth="1"/>
    <col min="8" max="9" width="9.5703125" style="114" customWidth="1"/>
    <col min="10" max="10" width="0" style="114" hidden="1" customWidth="1"/>
    <col min="11" max="16384" width="8.85546875" style="114"/>
  </cols>
  <sheetData>
    <row r="1" spans="1:10" ht="18.600000000000001" customHeight="1" thickBot="1" x14ac:dyDescent="0.35">
      <c r="A1" s="334" t="s">
        <v>118</v>
      </c>
      <c r="B1" s="335"/>
      <c r="C1" s="335"/>
      <c r="D1" s="335"/>
      <c r="E1" s="335"/>
      <c r="F1" s="335"/>
      <c r="G1" s="305"/>
      <c r="H1" s="336"/>
      <c r="I1" s="336"/>
    </row>
    <row r="2" spans="1:10" ht="14.45" customHeight="1" thickBot="1" x14ac:dyDescent="0.25">
      <c r="A2" s="207" t="s">
        <v>242</v>
      </c>
      <c r="B2" s="188"/>
      <c r="C2" s="188"/>
      <c r="D2" s="188"/>
      <c r="E2" s="188"/>
      <c r="F2" s="188"/>
    </row>
    <row r="3" spans="1:10" ht="14.45" customHeight="1" thickBot="1" x14ac:dyDescent="0.25">
      <c r="A3" s="207"/>
      <c r="B3" s="246"/>
      <c r="C3" s="213">
        <v>2018</v>
      </c>
      <c r="D3" s="214">
        <v>2019</v>
      </c>
      <c r="E3" s="7"/>
      <c r="F3" s="313">
        <v>2020</v>
      </c>
      <c r="G3" s="331"/>
      <c r="H3" s="331"/>
      <c r="I3" s="314"/>
    </row>
    <row r="4" spans="1:10" ht="14.45" customHeight="1" thickBot="1" x14ac:dyDescent="0.25">
      <c r="A4" s="218" t="s">
        <v>0</v>
      </c>
      <c r="B4" s="219" t="s">
        <v>167</v>
      </c>
      <c r="C4" s="332" t="s">
        <v>59</v>
      </c>
      <c r="D4" s="333"/>
      <c r="E4" s="220"/>
      <c r="F4" s="215" t="s">
        <v>59</v>
      </c>
      <c r="G4" s="216" t="s">
        <v>60</v>
      </c>
      <c r="H4" s="216" t="s">
        <v>54</v>
      </c>
      <c r="I4" s="217" t="s">
        <v>61</v>
      </c>
    </row>
    <row r="5" spans="1:10" ht="14.45" customHeight="1" x14ac:dyDescent="0.2">
      <c r="A5" s="421" t="s">
        <v>437</v>
      </c>
      <c r="B5" s="422" t="s">
        <v>438</v>
      </c>
      <c r="C5" s="423" t="s">
        <v>243</v>
      </c>
      <c r="D5" s="423" t="s">
        <v>243</v>
      </c>
      <c r="E5" s="423"/>
      <c r="F5" s="423" t="s">
        <v>243</v>
      </c>
      <c r="G5" s="423" t="s">
        <v>243</v>
      </c>
      <c r="H5" s="423" t="s">
        <v>243</v>
      </c>
      <c r="I5" s="424" t="s">
        <v>243</v>
      </c>
      <c r="J5" s="425" t="s">
        <v>55</v>
      </c>
    </row>
    <row r="6" spans="1:10" ht="14.45" customHeight="1" x14ac:dyDescent="0.2">
      <c r="A6" s="421" t="s">
        <v>437</v>
      </c>
      <c r="B6" s="422" t="s">
        <v>584</v>
      </c>
      <c r="C6" s="423">
        <v>0</v>
      </c>
      <c r="D6" s="423">
        <v>0.24137</v>
      </c>
      <c r="E6" s="423"/>
      <c r="F6" s="423">
        <v>0</v>
      </c>
      <c r="G6" s="423">
        <v>0</v>
      </c>
      <c r="H6" s="423">
        <v>0</v>
      </c>
      <c r="I6" s="424" t="s">
        <v>243</v>
      </c>
      <c r="J6" s="425" t="s">
        <v>1</v>
      </c>
    </row>
    <row r="7" spans="1:10" ht="14.45" customHeight="1" x14ac:dyDescent="0.2">
      <c r="A7" s="421" t="s">
        <v>437</v>
      </c>
      <c r="B7" s="422" t="s">
        <v>585</v>
      </c>
      <c r="C7" s="423">
        <v>0.74912000000000001</v>
      </c>
      <c r="D7" s="423">
        <v>1.0384599999999999</v>
      </c>
      <c r="E7" s="423"/>
      <c r="F7" s="423">
        <v>0</v>
      </c>
      <c r="G7" s="423">
        <v>0</v>
      </c>
      <c r="H7" s="423">
        <v>0</v>
      </c>
      <c r="I7" s="424" t="s">
        <v>243</v>
      </c>
      <c r="J7" s="425" t="s">
        <v>1</v>
      </c>
    </row>
    <row r="8" spans="1:10" ht="14.45" customHeight="1" x14ac:dyDescent="0.2">
      <c r="A8" s="421" t="s">
        <v>437</v>
      </c>
      <c r="B8" s="422" t="s">
        <v>586</v>
      </c>
      <c r="C8" s="423">
        <v>24.281210000000002</v>
      </c>
      <c r="D8" s="423">
        <v>17.021609999999999</v>
      </c>
      <c r="E8" s="423"/>
      <c r="F8" s="423">
        <v>25.750169999999997</v>
      </c>
      <c r="G8" s="423">
        <v>0</v>
      </c>
      <c r="H8" s="423">
        <v>25.750169999999997</v>
      </c>
      <c r="I8" s="424" t="s">
        <v>243</v>
      </c>
      <c r="J8" s="425" t="s">
        <v>1</v>
      </c>
    </row>
    <row r="9" spans="1:10" ht="14.45" customHeight="1" x14ac:dyDescent="0.2">
      <c r="A9" s="421" t="s">
        <v>437</v>
      </c>
      <c r="B9" s="422" t="s">
        <v>587</v>
      </c>
      <c r="C9" s="423">
        <v>60.799789999999987</v>
      </c>
      <c r="D9" s="423">
        <v>44.55801000000001</v>
      </c>
      <c r="E9" s="423"/>
      <c r="F9" s="423">
        <v>38.449079999999995</v>
      </c>
      <c r="G9" s="423">
        <v>0</v>
      </c>
      <c r="H9" s="423">
        <v>38.449079999999995</v>
      </c>
      <c r="I9" s="424" t="s">
        <v>243</v>
      </c>
      <c r="J9" s="425" t="s">
        <v>1</v>
      </c>
    </row>
    <row r="10" spans="1:10" ht="14.45" customHeight="1" x14ac:dyDescent="0.2">
      <c r="A10" s="421" t="s">
        <v>437</v>
      </c>
      <c r="B10" s="422" t="s">
        <v>588</v>
      </c>
      <c r="C10" s="423">
        <v>27.531710000000004</v>
      </c>
      <c r="D10" s="423">
        <v>43.386530000000008</v>
      </c>
      <c r="E10" s="423"/>
      <c r="F10" s="423">
        <v>36.678909999999995</v>
      </c>
      <c r="G10" s="423">
        <v>0</v>
      </c>
      <c r="H10" s="423">
        <v>36.678909999999995</v>
      </c>
      <c r="I10" s="424" t="s">
        <v>243</v>
      </c>
      <c r="J10" s="425" t="s">
        <v>1</v>
      </c>
    </row>
    <row r="11" spans="1:10" ht="14.45" customHeight="1" x14ac:dyDescent="0.2">
      <c r="A11" s="421" t="s">
        <v>437</v>
      </c>
      <c r="B11" s="422" t="s">
        <v>589</v>
      </c>
      <c r="C11" s="423">
        <v>9.3148099999999996</v>
      </c>
      <c r="D11" s="423">
        <v>8.724260000000001</v>
      </c>
      <c r="E11" s="423"/>
      <c r="F11" s="423">
        <v>7.6303899999999993</v>
      </c>
      <c r="G11" s="423">
        <v>0</v>
      </c>
      <c r="H11" s="423">
        <v>7.6303899999999993</v>
      </c>
      <c r="I11" s="424" t="s">
        <v>243</v>
      </c>
      <c r="J11" s="425" t="s">
        <v>1</v>
      </c>
    </row>
    <row r="12" spans="1:10" ht="14.45" customHeight="1" x14ac:dyDescent="0.2">
      <c r="A12" s="421" t="s">
        <v>437</v>
      </c>
      <c r="B12" s="422" t="s">
        <v>590</v>
      </c>
      <c r="C12" s="423">
        <v>113.52327000000002</v>
      </c>
      <c r="D12" s="423">
        <v>99.114329999999981</v>
      </c>
      <c r="E12" s="423"/>
      <c r="F12" s="423">
        <v>103.70437000000003</v>
      </c>
      <c r="G12" s="423">
        <v>0</v>
      </c>
      <c r="H12" s="423">
        <v>103.70437000000003</v>
      </c>
      <c r="I12" s="424" t="s">
        <v>243</v>
      </c>
      <c r="J12" s="425" t="s">
        <v>1</v>
      </c>
    </row>
    <row r="13" spans="1:10" ht="14.45" customHeight="1" x14ac:dyDescent="0.2">
      <c r="A13" s="421" t="s">
        <v>437</v>
      </c>
      <c r="B13" s="422" t="s">
        <v>591</v>
      </c>
      <c r="C13" s="423">
        <v>0.90836000000000006</v>
      </c>
      <c r="D13" s="423">
        <v>0</v>
      </c>
      <c r="E13" s="423"/>
      <c r="F13" s="423">
        <v>0</v>
      </c>
      <c r="G13" s="423">
        <v>0</v>
      </c>
      <c r="H13" s="423">
        <v>0</v>
      </c>
      <c r="I13" s="424" t="s">
        <v>243</v>
      </c>
      <c r="J13" s="425" t="s">
        <v>1</v>
      </c>
    </row>
    <row r="14" spans="1:10" ht="14.45" customHeight="1" x14ac:dyDescent="0.2">
      <c r="A14" s="421" t="s">
        <v>437</v>
      </c>
      <c r="B14" s="422" t="s">
        <v>592</v>
      </c>
      <c r="C14" s="423">
        <v>2076.4923000000008</v>
      </c>
      <c r="D14" s="423">
        <v>1891.4927700000001</v>
      </c>
      <c r="E14" s="423"/>
      <c r="F14" s="423">
        <v>1667.8993699999987</v>
      </c>
      <c r="G14" s="423">
        <v>0</v>
      </c>
      <c r="H14" s="423">
        <v>1667.8993699999987</v>
      </c>
      <c r="I14" s="424" t="s">
        <v>243</v>
      </c>
      <c r="J14" s="425" t="s">
        <v>1</v>
      </c>
    </row>
    <row r="15" spans="1:10" ht="14.45" customHeight="1" x14ac:dyDescent="0.2">
      <c r="A15" s="421" t="s">
        <v>437</v>
      </c>
      <c r="B15" s="422" t="s">
        <v>442</v>
      </c>
      <c r="C15" s="423">
        <v>2313.600570000001</v>
      </c>
      <c r="D15" s="423">
        <v>2105.5773399999998</v>
      </c>
      <c r="E15" s="423"/>
      <c r="F15" s="423">
        <v>1880.1122899999987</v>
      </c>
      <c r="G15" s="423">
        <v>0</v>
      </c>
      <c r="H15" s="423">
        <v>1880.1122899999987</v>
      </c>
      <c r="I15" s="424" t="s">
        <v>243</v>
      </c>
      <c r="J15" s="425" t="s">
        <v>443</v>
      </c>
    </row>
    <row r="17" spans="1:10" ht="14.45" customHeight="1" x14ac:dyDescent="0.2">
      <c r="A17" s="421" t="s">
        <v>437</v>
      </c>
      <c r="B17" s="422" t="s">
        <v>438</v>
      </c>
      <c r="C17" s="423" t="s">
        <v>243</v>
      </c>
      <c r="D17" s="423" t="s">
        <v>243</v>
      </c>
      <c r="E17" s="423"/>
      <c r="F17" s="423" t="s">
        <v>243</v>
      </c>
      <c r="G17" s="423" t="s">
        <v>243</v>
      </c>
      <c r="H17" s="423" t="s">
        <v>243</v>
      </c>
      <c r="I17" s="424" t="s">
        <v>243</v>
      </c>
      <c r="J17" s="425" t="s">
        <v>55</v>
      </c>
    </row>
    <row r="18" spans="1:10" ht="14.45" customHeight="1" x14ac:dyDescent="0.2">
      <c r="A18" s="421" t="s">
        <v>444</v>
      </c>
      <c r="B18" s="422" t="s">
        <v>445</v>
      </c>
      <c r="C18" s="423" t="s">
        <v>243</v>
      </c>
      <c r="D18" s="423" t="s">
        <v>243</v>
      </c>
      <c r="E18" s="423"/>
      <c r="F18" s="423" t="s">
        <v>243</v>
      </c>
      <c r="G18" s="423" t="s">
        <v>243</v>
      </c>
      <c r="H18" s="423" t="s">
        <v>243</v>
      </c>
      <c r="I18" s="424" t="s">
        <v>243</v>
      </c>
      <c r="J18" s="425" t="s">
        <v>0</v>
      </c>
    </row>
    <row r="19" spans="1:10" ht="14.45" customHeight="1" x14ac:dyDescent="0.2">
      <c r="A19" s="421" t="s">
        <v>444</v>
      </c>
      <c r="B19" s="422" t="s">
        <v>584</v>
      </c>
      <c r="C19" s="423">
        <v>0</v>
      </c>
      <c r="D19" s="423">
        <v>0.24137</v>
      </c>
      <c r="E19" s="423"/>
      <c r="F19" s="423">
        <v>0</v>
      </c>
      <c r="G19" s="423">
        <v>0</v>
      </c>
      <c r="H19" s="423">
        <v>0</v>
      </c>
      <c r="I19" s="424" t="s">
        <v>243</v>
      </c>
      <c r="J19" s="425" t="s">
        <v>1</v>
      </c>
    </row>
    <row r="20" spans="1:10" ht="14.45" customHeight="1" x14ac:dyDescent="0.2">
      <c r="A20" s="421" t="s">
        <v>444</v>
      </c>
      <c r="B20" s="422" t="s">
        <v>585</v>
      </c>
      <c r="C20" s="423">
        <v>0.74912000000000001</v>
      </c>
      <c r="D20" s="423">
        <v>1.0384599999999999</v>
      </c>
      <c r="E20" s="423"/>
      <c r="F20" s="423">
        <v>0</v>
      </c>
      <c r="G20" s="423">
        <v>0</v>
      </c>
      <c r="H20" s="423">
        <v>0</v>
      </c>
      <c r="I20" s="424" t="s">
        <v>243</v>
      </c>
      <c r="J20" s="425" t="s">
        <v>1</v>
      </c>
    </row>
    <row r="21" spans="1:10" ht="14.45" customHeight="1" x14ac:dyDescent="0.2">
      <c r="A21" s="421" t="s">
        <v>444</v>
      </c>
      <c r="B21" s="422" t="s">
        <v>586</v>
      </c>
      <c r="C21" s="423">
        <v>24.281210000000002</v>
      </c>
      <c r="D21" s="423">
        <v>17.021609999999999</v>
      </c>
      <c r="E21" s="423"/>
      <c r="F21" s="423">
        <v>25.750169999999997</v>
      </c>
      <c r="G21" s="423">
        <v>0</v>
      </c>
      <c r="H21" s="423">
        <v>25.750169999999997</v>
      </c>
      <c r="I21" s="424" t="s">
        <v>243</v>
      </c>
      <c r="J21" s="425" t="s">
        <v>1</v>
      </c>
    </row>
    <row r="22" spans="1:10" ht="14.45" customHeight="1" x14ac:dyDescent="0.2">
      <c r="A22" s="421" t="s">
        <v>444</v>
      </c>
      <c r="B22" s="422" t="s">
        <v>587</v>
      </c>
      <c r="C22" s="423">
        <v>60.799789999999987</v>
      </c>
      <c r="D22" s="423">
        <v>44.55801000000001</v>
      </c>
      <c r="E22" s="423"/>
      <c r="F22" s="423">
        <v>38.449079999999995</v>
      </c>
      <c r="G22" s="423">
        <v>0</v>
      </c>
      <c r="H22" s="423">
        <v>38.449079999999995</v>
      </c>
      <c r="I22" s="424" t="s">
        <v>243</v>
      </c>
      <c r="J22" s="425" t="s">
        <v>1</v>
      </c>
    </row>
    <row r="23" spans="1:10" ht="14.45" customHeight="1" x14ac:dyDescent="0.2">
      <c r="A23" s="421" t="s">
        <v>444</v>
      </c>
      <c r="B23" s="422" t="s">
        <v>588</v>
      </c>
      <c r="C23" s="423">
        <v>27.531710000000004</v>
      </c>
      <c r="D23" s="423">
        <v>43.386530000000008</v>
      </c>
      <c r="E23" s="423"/>
      <c r="F23" s="423">
        <v>36.678909999999995</v>
      </c>
      <c r="G23" s="423">
        <v>0</v>
      </c>
      <c r="H23" s="423">
        <v>36.678909999999995</v>
      </c>
      <c r="I23" s="424" t="s">
        <v>243</v>
      </c>
      <c r="J23" s="425" t="s">
        <v>1</v>
      </c>
    </row>
    <row r="24" spans="1:10" ht="14.45" customHeight="1" x14ac:dyDescent="0.2">
      <c r="A24" s="421" t="s">
        <v>444</v>
      </c>
      <c r="B24" s="422" t="s">
        <v>589</v>
      </c>
      <c r="C24" s="423">
        <v>9.3148099999999996</v>
      </c>
      <c r="D24" s="423">
        <v>8.724260000000001</v>
      </c>
      <c r="E24" s="423"/>
      <c r="F24" s="423">
        <v>7.6303899999999993</v>
      </c>
      <c r="G24" s="423">
        <v>0</v>
      </c>
      <c r="H24" s="423">
        <v>7.6303899999999993</v>
      </c>
      <c r="I24" s="424" t="s">
        <v>243</v>
      </c>
      <c r="J24" s="425" t="s">
        <v>1</v>
      </c>
    </row>
    <row r="25" spans="1:10" ht="14.45" customHeight="1" x14ac:dyDescent="0.2">
      <c r="A25" s="421" t="s">
        <v>444</v>
      </c>
      <c r="B25" s="422" t="s">
        <v>590</v>
      </c>
      <c r="C25" s="423">
        <v>113.52327000000002</v>
      </c>
      <c r="D25" s="423">
        <v>99.114329999999981</v>
      </c>
      <c r="E25" s="423"/>
      <c r="F25" s="423">
        <v>103.70437000000003</v>
      </c>
      <c r="G25" s="423">
        <v>0</v>
      </c>
      <c r="H25" s="423">
        <v>103.70437000000003</v>
      </c>
      <c r="I25" s="424" t="s">
        <v>243</v>
      </c>
      <c r="J25" s="425" t="s">
        <v>1</v>
      </c>
    </row>
    <row r="26" spans="1:10" ht="14.45" customHeight="1" x14ac:dyDescent="0.2">
      <c r="A26" s="421" t="s">
        <v>444</v>
      </c>
      <c r="B26" s="422" t="s">
        <v>591</v>
      </c>
      <c r="C26" s="423">
        <v>0.90836000000000006</v>
      </c>
      <c r="D26" s="423">
        <v>0</v>
      </c>
      <c r="E26" s="423"/>
      <c r="F26" s="423">
        <v>0</v>
      </c>
      <c r="G26" s="423">
        <v>0</v>
      </c>
      <c r="H26" s="423">
        <v>0</v>
      </c>
      <c r="I26" s="424" t="s">
        <v>243</v>
      </c>
      <c r="J26" s="425" t="s">
        <v>1</v>
      </c>
    </row>
    <row r="27" spans="1:10" ht="14.45" customHeight="1" x14ac:dyDescent="0.2">
      <c r="A27" s="421" t="s">
        <v>444</v>
      </c>
      <c r="B27" s="422" t="s">
        <v>592</v>
      </c>
      <c r="C27" s="423">
        <v>2076.4923000000008</v>
      </c>
      <c r="D27" s="423">
        <v>1891.4927700000001</v>
      </c>
      <c r="E27" s="423"/>
      <c r="F27" s="423">
        <v>1667.8993699999987</v>
      </c>
      <c r="G27" s="423">
        <v>0</v>
      </c>
      <c r="H27" s="423">
        <v>1667.8993699999987</v>
      </c>
      <c r="I27" s="424" t="s">
        <v>243</v>
      </c>
      <c r="J27" s="425" t="s">
        <v>1</v>
      </c>
    </row>
    <row r="28" spans="1:10" ht="14.45" customHeight="1" x14ac:dyDescent="0.2">
      <c r="A28" s="421" t="s">
        <v>444</v>
      </c>
      <c r="B28" s="422" t="s">
        <v>446</v>
      </c>
      <c r="C28" s="423">
        <v>2313.600570000001</v>
      </c>
      <c r="D28" s="423">
        <v>2105.5773399999998</v>
      </c>
      <c r="E28" s="423"/>
      <c r="F28" s="423">
        <v>1880.1122899999987</v>
      </c>
      <c r="G28" s="423">
        <v>0</v>
      </c>
      <c r="H28" s="423">
        <v>1880.1122899999987</v>
      </c>
      <c r="I28" s="424" t="s">
        <v>243</v>
      </c>
      <c r="J28" s="425" t="s">
        <v>447</v>
      </c>
    </row>
    <row r="29" spans="1:10" ht="14.45" customHeight="1" x14ac:dyDescent="0.2">
      <c r="A29" s="421" t="s">
        <v>243</v>
      </c>
      <c r="B29" s="422" t="s">
        <v>243</v>
      </c>
      <c r="C29" s="423" t="s">
        <v>243</v>
      </c>
      <c r="D29" s="423" t="s">
        <v>243</v>
      </c>
      <c r="E29" s="423"/>
      <c r="F29" s="423" t="s">
        <v>243</v>
      </c>
      <c r="G29" s="423" t="s">
        <v>243</v>
      </c>
      <c r="H29" s="423" t="s">
        <v>243</v>
      </c>
      <c r="I29" s="424" t="s">
        <v>243</v>
      </c>
      <c r="J29" s="425" t="s">
        <v>448</v>
      </c>
    </row>
    <row r="30" spans="1:10" ht="14.45" customHeight="1" x14ac:dyDescent="0.2">
      <c r="A30" s="421" t="s">
        <v>437</v>
      </c>
      <c r="B30" s="422" t="s">
        <v>442</v>
      </c>
      <c r="C30" s="423">
        <v>2313.600570000001</v>
      </c>
      <c r="D30" s="423">
        <v>2105.5773399999998</v>
      </c>
      <c r="E30" s="423"/>
      <c r="F30" s="423">
        <v>1880.1122899999987</v>
      </c>
      <c r="G30" s="423">
        <v>0</v>
      </c>
      <c r="H30" s="423">
        <v>1880.1122899999987</v>
      </c>
      <c r="I30" s="424" t="s">
        <v>243</v>
      </c>
      <c r="J30" s="425" t="s">
        <v>443</v>
      </c>
    </row>
  </sheetData>
  <mergeCells count="3">
    <mergeCell ref="A1:I1"/>
    <mergeCell ref="F3:I3"/>
    <mergeCell ref="C4:D4"/>
  </mergeCells>
  <conditionalFormatting sqref="F16 F31:F65537">
    <cfRule type="cellIs" dxfId="20" priority="18" stopIfTrue="1" operator="greaterThan">
      <formula>1</formula>
    </cfRule>
  </conditionalFormatting>
  <conditionalFormatting sqref="H5:H15">
    <cfRule type="expression" dxfId="19" priority="14">
      <formula>$H5&gt;0</formula>
    </cfRule>
  </conditionalFormatting>
  <conditionalFormatting sqref="I5:I15">
    <cfRule type="expression" dxfId="18" priority="15">
      <formula>$I5&gt;1</formula>
    </cfRule>
  </conditionalFormatting>
  <conditionalFormatting sqref="B5:B15">
    <cfRule type="expression" dxfId="17" priority="11">
      <formula>OR($J5="NS",$J5="SumaNS",$J5="Účet")</formula>
    </cfRule>
  </conditionalFormatting>
  <conditionalFormatting sqref="F5:I15 B5:D15">
    <cfRule type="expression" dxfId="16" priority="17">
      <formula>AND($J5&lt;&gt;"",$J5&lt;&gt;"mezeraKL")</formula>
    </cfRule>
  </conditionalFormatting>
  <conditionalFormatting sqref="B5:D15 F5:I15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5 F5:I15">
    <cfRule type="expression" dxfId="14" priority="13">
      <formula>OR($J5="SumaNS",$J5="NS")</formula>
    </cfRule>
  </conditionalFormatting>
  <conditionalFormatting sqref="A5:A15">
    <cfRule type="expression" dxfId="13" priority="9">
      <formula>AND($J5&lt;&gt;"mezeraKL",$J5&lt;&gt;"")</formula>
    </cfRule>
  </conditionalFormatting>
  <conditionalFormatting sqref="A5:A15">
    <cfRule type="expression" dxfId="12" priority="10">
      <formula>AND($J5&lt;&gt;"",$J5&lt;&gt;"mezeraKL")</formula>
    </cfRule>
  </conditionalFormatting>
  <conditionalFormatting sqref="H17:H30">
    <cfRule type="expression" dxfId="11" priority="6">
      <formula>$H17&gt;0</formula>
    </cfRule>
  </conditionalFormatting>
  <conditionalFormatting sqref="A17:A30">
    <cfRule type="expression" dxfId="10" priority="5">
      <formula>AND($J17&lt;&gt;"mezeraKL",$J17&lt;&gt;"")</formula>
    </cfRule>
  </conditionalFormatting>
  <conditionalFormatting sqref="I17:I30">
    <cfRule type="expression" dxfId="9" priority="7">
      <formula>$I17&gt;1</formula>
    </cfRule>
  </conditionalFormatting>
  <conditionalFormatting sqref="B17:B30">
    <cfRule type="expression" dxfId="8" priority="4">
      <formula>OR($J17="NS",$J17="SumaNS",$J17="Účet")</formula>
    </cfRule>
  </conditionalFormatting>
  <conditionalFormatting sqref="A17:D30 F17:I30">
    <cfRule type="expression" dxfId="7" priority="8">
      <formula>AND($J17&lt;&gt;"",$J17&lt;&gt;"mezeraKL")</formula>
    </cfRule>
  </conditionalFormatting>
  <conditionalFormatting sqref="B17:D30 F17:I30">
    <cfRule type="expression" dxfId="6" priority="1">
      <formula>OR($J17="KL",$J17="SumaKL")</formula>
    </cfRule>
    <cfRule type="expression" priority="3" stopIfTrue="1">
      <formula>OR($J17="mezeraNS",$J17="mezeraKL")</formula>
    </cfRule>
  </conditionalFormatting>
  <conditionalFormatting sqref="B17:D30 F17:I30">
    <cfRule type="expression" dxfId="5" priority="2">
      <formula>OR($J17="SumaNS",$J17="NS")</formula>
    </cfRule>
  </conditionalFormatting>
  <hyperlinks>
    <hyperlink ref="A2" location="Obsah!A1" display="Zpět na Obsah  KL 01  1.-4.měsíc" xr:uid="{3B27FB0E-8EED-49DB-A30F-4D6D198CDE39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53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14" hidden="1" customWidth="1" outlineLevel="1"/>
    <col min="2" max="2" width="28.28515625" style="114" hidden="1" customWidth="1" outlineLevel="1"/>
    <col min="3" max="3" width="5.28515625" style="191" bestFit="1" customWidth="1" collapsed="1"/>
    <col min="4" max="4" width="18.7109375" style="195" customWidth="1"/>
    <col min="5" max="5" width="9" style="191" bestFit="1" customWidth="1"/>
    <col min="6" max="6" width="18.7109375" style="195" customWidth="1"/>
    <col min="7" max="7" width="12.42578125" style="191" hidden="1" customWidth="1" outlineLevel="1"/>
    <col min="8" max="8" width="25.7109375" style="191" customWidth="1" collapsed="1"/>
    <col min="9" max="9" width="7.7109375" style="189" customWidth="1"/>
    <col min="10" max="10" width="10" style="189" customWidth="1"/>
    <col min="11" max="11" width="11.140625" style="189" customWidth="1"/>
    <col min="12" max="16384" width="8.85546875" style="114"/>
  </cols>
  <sheetData>
    <row r="1" spans="1:11" ht="18.600000000000001" customHeight="1" thickBot="1" x14ac:dyDescent="0.35">
      <c r="A1" s="341" t="s">
        <v>1652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</row>
    <row r="2" spans="1:11" ht="14.45" customHeight="1" thickBot="1" x14ac:dyDescent="0.25">
      <c r="A2" s="207" t="s">
        <v>242</v>
      </c>
      <c r="B2" s="62"/>
      <c r="C2" s="193"/>
      <c r="D2" s="193"/>
      <c r="E2" s="193"/>
      <c r="F2" s="193"/>
      <c r="G2" s="193"/>
      <c r="H2" s="193"/>
      <c r="I2" s="194"/>
      <c r="J2" s="194"/>
      <c r="K2" s="194"/>
    </row>
    <row r="3" spans="1:11" ht="14.45" customHeight="1" thickBot="1" x14ac:dyDescent="0.25">
      <c r="A3" s="62"/>
      <c r="B3" s="62"/>
      <c r="C3" s="337"/>
      <c r="D3" s="338"/>
      <c r="E3" s="338"/>
      <c r="F3" s="338"/>
      <c r="G3" s="338"/>
      <c r="H3" s="126" t="s">
        <v>107</v>
      </c>
      <c r="I3" s="84">
        <f>IF(J3&lt;&gt;0,K3/J3,0)</f>
        <v>7.908437096801574</v>
      </c>
      <c r="J3" s="84">
        <f>SUBTOTAL(9,J5:J1048576)</f>
        <v>237735</v>
      </c>
      <c r="K3" s="85">
        <f>SUBTOTAL(9,K5:K1048576)</f>
        <v>1880112.2932081223</v>
      </c>
    </row>
    <row r="4" spans="1:11" s="190" customFormat="1" ht="14.45" customHeight="1" thickBot="1" x14ac:dyDescent="0.25">
      <c r="A4" s="426" t="s">
        <v>4</v>
      </c>
      <c r="B4" s="427" t="s">
        <v>5</v>
      </c>
      <c r="C4" s="427" t="s">
        <v>0</v>
      </c>
      <c r="D4" s="427" t="s">
        <v>6</v>
      </c>
      <c r="E4" s="427" t="s">
        <v>7</v>
      </c>
      <c r="F4" s="427" t="s">
        <v>1</v>
      </c>
      <c r="G4" s="427" t="s">
        <v>57</v>
      </c>
      <c r="H4" s="429" t="s">
        <v>11</v>
      </c>
      <c r="I4" s="430" t="s">
        <v>121</v>
      </c>
      <c r="J4" s="430" t="s">
        <v>13</v>
      </c>
      <c r="K4" s="431" t="s">
        <v>132</v>
      </c>
    </row>
    <row r="5" spans="1:11" ht="14.45" customHeight="1" x14ac:dyDescent="0.2">
      <c r="A5" s="434" t="s">
        <v>437</v>
      </c>
      <c r="B5" s="435" t="s">
        <v>438</v>
      </c>
      <c r="C5" s="436" t="s">
        <v>444</v>
      </c>
      <c r="D5" s="437" t="s">
        <v>445</v>
      </c>
      <c r="E5" s="436" t="s">
        <v>593</v>
      </c>
      <c r="F5" s="437" t="s">
        <v>594</v>
      </c>
      <c r="G5" s="436" t="s">
        <v>595</v>
      </c>
      <c r="H5" s="436" t="s">
        <v>596</v>
      </c>
      <c r="I5" s="439">
        <v>7.9240000724792479</v>
      </c>
      <c r="J5" s="439">
        <v>250</v>
      </c>
      <c r="K5" s="440">
        <v>1981.4199829101563</v>
      </c>
    </row>
    <row r="6" spans="1:11" ht="14.45" customHeight="1" x14ac:dyDescent="0.2">
      <c r="A6" s="441" t="s">
        <v>437</v>
      </c>
      <c r="B6" s="442" t="s">
        <v>438</v>
      </c>
      <c r="C6" s="443" t="s">
        <v>444</v>
      </c>
      <c r="D6" s="444" t="s">
        <v>445</v>
      </c>
      <c r="E6" s="443" t="s">
        <v>593</v>
      </c>
      <c r="F6" s="444" t="s">
        <v>594</v>
      </c>
      <c r="G6" s="443" t="s">
        <v>597</v>
      </c>
      <c r="H6" s="443" t="s">
        <v>598</v>
      </c>
      <c r="I6" s="446">
        <v>0.74000000953674316</v>
      </c>
      <c r="J6" s="446">
        <v>2000</v>
      </c>
      <c r="K6" s="447">
        <v>1472</v>
      </c>
    </row>
    <row r="7" spans="1:11" ht="14.45" customHeight="1" x14ac:dyDescent="0.2">
      <c r="A7" s="441" t="s">
        <v>437</v>
      </c>
      <c r="B7" s="442" t="s">
        <v>438</v>
      </c>
      <c r="C7" s="443" t="s">
        <v>444</v>
      </c>
      <c r="D7" s="444" t="s">
        <v>445</v>
      </c>
      <c r="E7" s="443" t="s">
        <v>593</v>
      </c>
      <c r="F7" s="444" t="s">
        <v>594</v>
      </c>
      <c r="G7" s="443" t="s">
        <v>599</v>
      </c>
      <c r="H7" s="443" t="s">
        <v>600</v>
      </c>
      <c r="I7" s="446">
        <v>0.59800000190734859</v>
      </c>
      <c r="J7" s="446">
        <v>12500</v>
      </c>
      <c r="K7" s="447">
        <v>7475</v>
      </c>
    </row>
    <row r="8" spans="1:11" ht="14.45" customHeight="1" x14ac:dyDescent="0.2">
      <c r="A8" s="441" t="s">
        <v>437</v>
      </c>
      <c r="B8" s="442" t="s">
        <v>438</v>
      </c>
      <c r="C8" s="443" t="s">
        <v>444</v>
      </c>
      <c r="D8" s="444" t="s">
        <v>445</v>
      </c>
      <c r="E8" s="443" t="s">
        <v>593</v>
      </c>
      <c r="F8" s="444" t="s">
        <v>594</v>
      </c>
      <c r="G8" s="443" t="s">
        <v>601</v>
      </c>
      <c r="H8" s="443" t="s">
        <v>602</v>
      </c>
      <c r="I8" s="446">
        <v>0.64999997615814209</v>
      </c>
      <c r="J8" s="446">
        <v>2500</v>
      </c>
      <c r="K8" s="447">
        <v>1625</v>
      </c>
    </row>
    <row r="9" spans="1:11" ht="14.45" customHeight="1" x14ac:dyDescent="0.2">
      <c r="A9" s="441" t="s">
        <v>437</v>
      </c>
      <c r="B9" s="442" t="s">
        <v>438</v>
      </c>
      <c r="C9" s="443" t="s">
        <v>444</v>
      </c>
      <c r="D9" s="444" t="s">
        <v>445</v>
      </c>
      <c r="E9" s="443" t="s">
        <v>593</v>
      </c>
      <c r="F9" s="444" t="s">
        <v>594</v>
      </c>
      <c r="G9" s="443" t="s">
        <v>603</v>
      </c>
      <c r="H9" s="443" t="s">
        <v>604</v>
      </c>
      <c r="I9" s="446">
        <v>18.399999618530273</v>
      </c>
      <c r="J9" s="446">
        <v>300</v>
      </c>
      <c r="K9" s="447">
        <v>5520</v>
      </c>
    </row>
    <row r="10" spans="1:11" ht="14.45" customHeight="1" x14ac:dyDescent="0.2">
      <c r="A10" s="441" t="s">
        <v>437</v>
      </c>
      <c r="B10" s="442" t="s">
        <v>438</v>
      </c>
      <c r="C10" s="443" t="s">
        <v>444</v>
      </c>
      <c r="D10" s="444" t="s">
        <v>445</v>
      </c>
      <c r="E10" s="443" t="s">
        <v>593</v>
      </c>
      <c r="F10" s="444" t="s">
        <v>594</v>
      </c>
      <c r="G10" s="443" t="s">
        <v>605</v>
      </c>
      <c r="H10" s="443" t="s">
        <v>606</v>
      </c>
      <c r="I10" s="446">
        <v>1.3799999952316284</v>
      </c>
      <c r="J10" s="446">
        <v>120</v>
      </c>
      <c r="K10" s="447">
        <v>165.60000038146973</v>
      </c>
    </row>
    <row r="11" spans="1:11" ht="14.45" customHeight="1" x14ac:dyDescent="0.2">
      <c r="A11" s="441" t="s">
        <v>437</v>
      </c>
      <c r="B11" s="442" t="s">
        <v>438</v>
      </c>
      <c r="C11" s="443" t="s">
        <v>444</v>
      </c>
      <c r="D11" s="444" t="s">
        <v>445</v>
      </c>
      <c r="E11" s="443" t="s">
        <v>593</v>
      </c>
      <c r="F11" s="444" t="s">
        <v>594</v>
      </c>
      <c r="G11" s="443" t="s">
        <v>607</v>
      </c>
      <c r="H11" s="443" t="s">
        <v>608</v>
      </c>
      <c r="I11" s="446">
        <v>13.016667048136393</v>
      </c>
      <c r="J11" s="446">
        <v>14</v>
      </c>
      <c r="K11" s="447">
        <v>182.23000335693359</v>
      </c>
    </row>
    <row r="12" spans="1:11" ht="14.45" customHeight="1" x14ac:dyDescent="0.2">
      <c r="A12" s="441" t="s">
        <v>437</v>
      </c>
      <c r="B12" s="442" t="s">
        <v>438</v>
      </c>
      <c r="C12" s="443" t="s">
        <v>444</v>
      </c>
      <c r="D12" s="444" t="s">
        <v>445</v>
      </c>
      <c r="E12" s="443" t="s">
        <v>593</v>
      </c>
      <c r="F12" s="444" t="s">
        <v>594</v>
      </c>
      <c r="G12" s="443" t="s">
        <v>609</v>
      </c>
      <c r="H12" s="443" t="s">
        <v>610</v>
      </c>
      <c r="I12" s="446">
        <v>1.5199999809265137</v>
      </c>
      <c r="J12" s="446">
        <v>6</v>
      </c>
      <c r="K12" s="447">
        <v>9.119999885559082</v>
      </c>
    </row>
    <row r="13" spans="1:11" ht="14.45" customHeight="1" x14ac:dyDescent="0.2">
      <c r="A13" s="441" t="s">
        <v>437</v>
      </c>
      <c r="B13" s="442" t="s">
        <v>438</v>
      </c>
      <c r="C13" s="443" t="s">
        <v>444</v>
      </c>
      <c r="D13" s="444" t="s">
        <v>445</v>
      </c>
      <c r="E13" s="443" t="s">
        <v>593</v>
      </c>
      <c r="F13" s="444" t="s">
        <v>594</v>
      </c>
      <c r="G13" s="443" t="s">
        <v>611</v>
      </c>
      <c r="H13" s="443" t="s">
        <v>612</v>
      </c>
      <c r="I13" s="446">
        <v>26.170000076293945</v>
      </c>
      <c r="J13" s="446">
        <v>2</v>
      </c>
      <c r="K13" s="447">
        <v>52.340000152587891</v>
      </c>
    </row>
    <row r="14" spans="1:11" ht="14.45" customHeight="1" x14ac:dyDescent="0.2">
      <c r="A14" s="441" t="s">
        <v>437</v>
      </c>
      <c r="B14" s="442" t="s">
        <v>438</v>
      </c>
      <c r="C14" s="443" t="s">
        <v>444</v>
      </c>
      <c r="D14" s="444" t="s">
        <v>445</v>
      </c>
      <c r="E14" s="443" t="s">
        <v>593</v>
      </c>
      <c r="F14" s="444" t="s">
        <v>594</v>
      </c>
      <c r="G14" s="443" t="s">
        <v>613</v>
      </c>
      <c r="H14" s="443" t="s">
        <v>614</v>
      </c>
      <c r="I14" s="446">
        <v>46.319999694824219</v>
      </c>
      <c r="J14" s="446">
        <v>12</v>
      </c>
      <c r="K14" s="447">
        <v>555.84002685546875</v>
      </c>
    </row>
    <row r="15" spans="1:11" ht="14.45" customHeight="1" x14ac:dyDescent="0.2">
      <c r="A15" s="441" t="s">
        <v>437</v>
      </c>
      <c r="B15" s="442" t="s">
        <v>438</v>
      </c>
      <c r="C15" s="443" t="s">
        <v>444</v>
      </c>
      <c r="D15" s="444" t="s">
        <v>445</v>
      </c>
      <c r="E15" s="443" t="s">
        <v>593</v>
      </c>
      <c r="F15" s="444" t="s">
        <v>594</v>
      </c>
      <c r="G15" s="443" t="s">
        <v>615</v>
      </c>
      <c r="H15" s="443" t="s">
        <v>616</v>
      </c>
      <c r="I15" s="446">
        <v>0.37999999523162842</v>
      </c>
      <c r="J15" s="446">
        <v>100</v>
      </c>
      <c r="K15" s="447">
        <v>38</v>
      </c>
    </row>
    <row r="16" spans="1:11" ht="14.45" customHeight="1" x14ac:dyDescent="0.2">
      <c r="A16" s="441" t="s">
        <v>437</v>
      </c>
      <c r="B16" s="442" t="s">
        <v>438</v>
      </c>
      <c r="C16" s="443" t="s">
        <v>444</v>
      </c>
      <c r="D16" s="444" t="s">
        <v>445</v>
      </c>
      <c r="E16" s="443" t="s">
        <v>593</v>
      </c>
      <c r="F16" s="444" t="s">
        <v>594</v>
      </c>
      <c r="G16" s="443" t="s">
        <v>617</v>
      </c>
      <c r="H16" s="443" t="s">
        <v>618</v>
      </c>
      <c r="I16" s="446">
        <v>7.5900001525878906</v>
      </c>
      <c r="J16" s="446">
        <v>3</v>
      </c>
      <c r="K16" s="447">
        <v>22.770000457763672</v>
      </c>
    </row>
    <row r="17" spans="1:11" ht="14.45" customHeight="1" x14ac:dyDescent="0.2">
      <c r="A17" s="441" t="s">
        <v>437</v>
      </c>
      <c r="B17" s="442" t="s">
        <v>438</v>
      </c>
      <c r="C17" s="443" t="s">
        <v>444</v>
      </c>
      <c r="D17" s="444" t="s">
        <v>445</v>
      </c>
      <c r="E17" s="443" t="s">
        <v>593</v>
      </c>
      <c r="F17" s="444" t="s">
        <v>594</v>
      </c>
      <c r="G17" s="443" t="s">
        <v>619</v>
      </c>
      <c r="H17" s="443" t="s">
        <v>620</v>
      </c>
      <c r="I17" s="446">
        <v>7.0900001525878906</v>
      </c>
      <c r="J17" s="446">
        <v>4</v>
      </c>
      <c r="K17" s="447">
        <v>28.340000152587891</v>
      </c>
    </row>
    <row r="18" spans="1:11" ht="14.45" customHeight="1" x14ac:dyDescent="0.2">
      <c r="A18" s="441" t="s">
        <v>437</v>
      </c>
      <c r="B18" s="442" t="s">
        <v>438</v>
      </c>
      <c r="C18" s="443" t="s">
        <v>444</v>
      </c>
      <c r="D18" s="444" t="s">
        <v>445</v>
      </c>
      <c r="E18" s="443" t="s">
        <v>593</v>
      </c>
      <c r="F18" s="444" t="s">
        <v>594</v>
      </c>
      <c r="G18" s="443" t="s">
        <v>621</v>
      </c>
      <c r="H18" s="443" t="s">
        <v>622</v>
      </c>
      <c r="I18" s="446">
        <v>9.5900001525878906</v>
      </c>
      <c r="J18" s="446">
        <v>2</v>
      </c>
      <c r="K18" s="447">
        <v>19.180000305175781</v>
      </c>
    </row>
    <row r="19" spans="1:11" ht="14.45" customHeight="1" x14ac:dyDescent="0.2">
      <c r="A19" s="441" t="s">
        <v>437</v>
      </c>
      <c r="B19" s="442" t="s">
        <v>438</v>
      </c>
      <c r="C19" s="443" t="s">
        <v>444</v>
      </c>
      <c r="D19" s="444" t="s">
        <v>445</v>
      </c>
      <c r="E19" s="443" t="s">
        <v>593</v>
      </c>
      <c r="F19" s="444" t="s">
        <v>594</v>
      </c>
      <c r="G19" s="443" t="s">
        <v>623</v>
      </c>
      <c r="H19" s="443" t="s">
        <v>624</v>
      </c>
      <c r="I19" s="446">
        <v>1593.5999755859375</v>
      </c>
      <c r="J19" s="446">
        <v>2</v>
      </c>
      <c r="K19" s="447">
        <v>3187.199951171875</v>
      </c>
    </row>
    <row r="20" spans="1:11" ht="14.45" customHeight="1" x14ac:dyDescent="0.2">
      <c r="A20" s="441" t="s">
        <v>437</v>
      </c>
      <c r="B20" s="442" t="s">
        <v>438</v>
      </c>
      <c r="C20" s="443" t="s">
        <v>444</v>
      </c>
      <c r="D20" s="444" t="s">
        <v>445</v>
      </c>
      <c r="E20" s="443" t="s">
        <v>593</v>
      </c>
      <c r="F20" s="444" t="s">
        <v>594</v>
      </c>
      <c r="G20" s="443" t="s">
        <v>625</v>
      </c>
      <c r="H20" s="443" t="s">
        <v>626</v>
      </c>
      <c r="I20" s="446">
        <v>19.969999313354492</v>
      </c>
      <c r="J20" s="446">
        <v>2</v>
      </c>
      <c r="K20" s="447">
        <v>39.939998626708984</v>
      </c>
    </row>
    <row r="21" spans="1:11" ht="14.45" customHeight="1" x14ac:dyDescent="0.2">
      <c r="A21" s="441" t="s">
        <v>437</v>
      </c>
      <c r="B21" s="442" t="s">
        <v>438</v>
      </c>
      <c r="C21" s="443" t="s">
        <v>444</v>
      </c>
      <c r="D21" s="444" t="s">
        <v>445</v>
      </c>
      <c r="E21" s="443" t="s">
        <v>593</v>
      </c>
      <c r="F21" s="444" t="s">
        <v>594</v>
      </c>
      <c r="G21" s="443" t="s">
        <v>627</v>
      </c>
      <c r="H21" s="443" t="s">
        <v>628</v>
      </c>
      <c r="I21" s="446">
        <v>1.2100000381469727</v>
      </c>
      <c r="J21" s="446">
        <v>2000</v>
      </c>
      <c r="K21" s="447">
        <v>2420</v>
      </c>
    </row>
    <row r="22" spans="1:11" ht="14.45" customHeight="1" x14ac:dyDescent="0.2">
      <c r="A22" s="441" t="s">
        <v>437</v>
      </c>
      <c r="B22" s="442" t="s">
        <v>438</v>
      </c>
      <c r="C22" s="443" t="s">
        <v>444</v>
      </c>
      <c r="D22" s="444" t="s">
        <v>445</v>
      </c>
      <c r="E22" s="443" t="s">
        <v>593</v>
      </c>
      <c r="F22" s="444" t="s">
        <v>594</v>
      </c>
      <c r="G22" s="443" t="s">
        <v>629</v>
      </c>
      <c r="H22" s="443" t="s">
        <v>630</v>
      </c>
      <c r="I22" s="446">
        <v>30.965000152587891</v>
      </c>
      <c r="J22" s="446">
        <v>24</v>
      </c>
      <c r="K22" s="447">
        <v>743.16000366210938</v>
      </c>
    </row>
    <row r="23" spans="1:11" ht="14.45" customHeight="1" x14ac:dyDescent="0.2">
      <c r="A23" s="441" t="s">
        <v>437</v>
      </c>
      <c r="B23" s="442" t="s">
        <v>438</v>
      </c>
      <c r="C23" s="443" t="s">
        <v>444</v>
      </c>
      <c r="D23" s="444" t="s">
        <v>445</v>
      </c>
      <c r="E23" s="443" t="s">
        <v>593</v>
      </c>
      <c r="F23" s="444" t="s">
        <v>594</v>
      </c>
      <c r="G23" s="443" t="s">
        <v>631</v>
      </c>
      <c r="H23" s="443" t="s">
        <v>632</v>
      </c>
      <c r="I23" s="446">
        <v>30.329999923706055</v>
      </c>
      <c r="J23" s="446">
        <v>6</v>
      </c>
      <c r="K23" s="447">
        <v>181.97999572753906</v>
      </c>
    </row>
    <row r="24" spans="1:11" ht="14.45" customHeight="1" x14ac:dyDescent="0.2">
      <c r="A24" s="441" t="s">
        <v>437</v>
      </c>
      <c r="B24" s="442" t="s">
        <v>438</v>
      </c>
      <c r="C24" s="443" t="s">
        <v>444</v>
      </c>
      <c r="D24" s="444" t="s">
        <v>445</v>
      </c>
      <c r="E24" s="443" t="s">
        <v>593</v>
      </c>
      <c r="F24" s="444" t="s">
        <v>594</v>
      </c>
      <c r="G24" s="443" t="s">
        <v>633</v>
      </c>
      <c r="H24" s="443" t="s">
        <v>634</v>
      </c>
      <c r="I24" s="446">
        <v>10.350000381469727</v>
      </c>
      <c r="J24" s="446">
        <v>3</v>
      </c>
      <c r="K24" s="447">
        <v>31.049999237060547</v>
      </c>
    </row>
    <row r="25" spans="1:11" ht="14.45" customHeight="1" x14ac:dyDescent="0.2">
      <c r="A25" s="441" t="s">
        <v>437</v>
      </c>
      <c r="B25" s="442" t="s">
        <v>438</v>
      </c>
      <c r="C25" s="443" t="s">
        <v>444</v>
      </c>
      <c r="D25" s="444" t="s">
        <v>445</v>
      </c>
      <c r="E25" s="443" t="s">
        <v>635</v>
      </c>
      <c r="F25" s="444" t="s">
        <v>636</v>
      </c>
      <c r="G25" s="443" t="s">
        <v>637</v>
      </c>
      <c r="H25" s="443" t="s">
        <v>638</v>
      </c>
      <c r="I25" s="446">
        <v>2.9000000953674316</v>
      </c>
      <c r="J25" s="446">
        <v>100</v>
      </c>
      <c r="K25" s="447">
        <v>290.39999389648438</v>
      </c>
    </row>
    <row r="26" spans="1:11" ht="14.45" customHeight="1" x14ac:dyDescent="0.2">
      <c r="A26" s="441" t="s">
        <v>437</v>
      </c>
      <c r="B26" s="442" t="s">
        <v>438</v>
      </c>
      <c r="C26" s="443" t="s">
        <v>444</v>
      </c>
      <c r="D26" s="444" t="s">
        <v>445</v>
      </c>
      <c r="E26" s="443" t="s">
        <v>635</v>
      </c>
      <c r="F26" s="444" t="s">
        <v>636</v>
      </c>
      <c r="G26" s="443" t="s">
        <v>639</v>
      </c>
      <c r="H26" s="443" t="s">
        <v>640</v>
      </c>
      <c r="I26" s="446">
        <v>2.9060000896453859</v>
      </c>
      <c r="J26" s="446">
        <v>600</v>
      </c>
      <c r="K26" s="447">
        <v>1744</v>
      </c>
    </row>
    <row r="27" spans="1:11" ht="14.45" customHeight="1" x14ac:dyDescent="0.2">
      <c r="A27" s="441" t="s">
        <v>437</v>
      </c>
      <c r="B27" s="442" t="s">
        <v>438</v>
      </c>
      <c r="C27" s="443" t="s">
        <v>444</v>
      </c>
      <c r="D27" s="444" t="s">
        <v>445</v>
      </c>
      <c r="E27" s="443" t="s">
        <v>635</v>
      </c>
      <c r="F27" s="444" t="s">
        <v>636</v>
      </c>
      <c r="G27" s="443" t="s">
        <v>641</v>
      </c>
      <c r="H27" s="443" t="s">
        <v>642</v>
      </c>
      <c r="I27" s="446">
        <v>2.3599998950958252</v>
      </c>
      <c r="J27" s="446">
        <v>12</v>
      </c>
      <c r="K27" s="447">
        <v>28.320000648498535</v>
      </c>
    </row>
    <row r="28" spans="1:11" ht="14.45" customHeight="1" x14ac:dyDescent="0.2">
      <c r="A28" s="441" t="s">
        <v>437</v>
      </c>
      <c r="B28" s="442" t="s">
        <v>438</v>
      </c>
      <c r="C28" s="443" t="s">
        <v>444</v>
      </c>
      <c r="D28" s="444" t="s">
        <v>445</v>
      </c>
      <c r="E28" s="443" t="s">
        <v>635</v>
      </c>
      <c r="F28" s="444" t="s">
        <v>636</v>
      </c>
      <c r="G28" s="443" t="s">
        <v>643</v>
      </c>
      <c r="H28" s="443" t="s">
        <v>644</v>
      </c>
      <c r="I28" s="446">
        <v>135.08999633789063</v>
      </c>
      <c r="J28" s="446">
        <v>10</v>
      </c>
      <c r="K28" s="447">
        <v>1350.9000244140625</v>
      </c>
    </row>
    <row r="29" spans="1:11" ht="14.45" customHeight="1" x14ac:dyDescent="0.2">
      <c r="A29" s="441" t="s">
        <v>437</v>
      </c>
      <c r="B29" s="442" t="s">
        <v>438</v>
      </c>
      <c r="C29" s="443" t="s">
        <v>444</v>
      </c>
      <c r="D29" s="444" t="s">
        <v>445</v>
      </c>
      <c r="E29" s="443" t="s">
        <v>635</v>
      </c>
      <c r="F29" s="444" t="s">
        <v>636</v>
      </c>
      <c r="G29" s="443" t="s">
        <v>645</v>
      </c>
      <c r="H29" s="443" t="s">
        <v>646</v>
      </c>
      <c r="I29" s="446">
        <v>165.77000427246094</v>
      </c>
      <c r="J29" s="446">
        <v>5</v>
      </c>
      <c r="K29" s="447">
        <v>828.8499755859375</v>
      </c>
    </row>
    <row r="30" spans="1:11" ht="14.45" customHeight="1" x14ac:dyDescent="0.2">
      <c r="A30" s="441" t="s">
        <v>437</v>
      </c>
      <c r="B30" s="442" t="s">
        <v>438</v>
      </c>
      <c r="C30" s="443" t="s">
        <v>444</v>
      </c>
      <c r="D30" s="444" t="s">
        <v>445</v>
      </c>
      <c r="E30" s="443" t="s">
        <v>635</v>
      </c>
      <c r="F30" s="444" t="s">
        <v>636</v>
      </c>
      <c r="G30" s="443" t="s">
        <v>647</v>
      </c>
      <c r="H30" s="443" t="s">
        <v>648</v>
      </c>
      <c r="I30" s="446">
        <v>16.020000457763672</v>
      </c>
      <c r="J30" s="446">
        <v>30</v>
      </c>
      <c r="K30" s="447">
        <v>480.6099853515625</v>
      </c>
    </row>
    <row r="31" spans="1:11" ht="14.45" customHeight="1" x14ac:dyDescent="0.2">
      <c r="A31" s="441" t="s">
        <v>437</v>
      </c>
      <c r="B31" s="442" t="s">
        <v>438</v>
      </c>
      <c r="C31" s="443" t="s">
        <v>444</v>
      </c>
      <c r="D31" s="444" t="s">
        <v>445</v>
      </c>
      <c r="E31" s="443" t="s">
        <v>635</v>
      </c>
      <c r="F31" s="444" t="s">
        <v>636</v>
      </c>
      <c r="G31" s="443" t="s">
        <v>649</v>
      </c>
      <c r="H31" s="443" t="s">
        <v>650</v>
      </c>
      <c r="I31" s="446">
        <v>0.25</v>
      </c>
      <c r="J31" s="446">
        <v>100</v>
      </c>
      <c r="K31" s="447">
        <v>25</v>
      </c>
    </row>
    <row r="32" spans="1:11" ht="14.45" customHeight="1" x14ac:dyDescent="0.2">
      <c r="A32" s="441" t="s">
        <v>437</v>
      </c>
      <c r="B32" s="442" t="s">
        <v>438</v>
      </c>
      <c r="C32" s="443" t="s">
        <v>444</v>
      </c>
      <c r="D32" s="444" t="s">
        <v>445</v>
      </c>
      <c r="E32" s="443" t="s">
        <v>635</v>
      </c>
      <c r="F32" s="444" t="s">
        <v>636</v>
      </c>
      <c r="G32" s="443" t="s">
        <v>651</v>
      </c>
      <c r="H32" s="443" t="s">
        <v>652</v>
      </c>
      <c r="I32" s="446">
        <v>66.955001831054688</v>
      </c>
      <c r="J32" s="446">
        <v>95</v>
      </c>
      <c r="K32" s="447">
        <v>6354.6500244140625</v>
      </c>
    </row>
    <row r="33" spans="1:11" ht="14.45" customHeight="1" x14ac:dyDescent="0.2">
      <c r="A33" s="441" t="s">
        <v>437</v>
      </c>
      <c r="B33" s="442" t="s">
        <v>438</v>
      </c>
      <c r="C33" s="443" t="s">
        <v>444</v>
      </c>
      <c r="D33" s="444" t="s">
        <v>445</v>
      </c>
      <c r="E33" s="443" t="s">
        <v>635</v>
      </c>
      <c r="F33" s="444" t="s">
        <v>636</v>
      </c>
      <c r="G33" s="443" t="s">
        <v>653</v>
      </c>
      <c r="H33" s="443" t="s">
        <v>654</v>
      </c>
      <c r="I33" s="446">
        <v>6.1999998092651367</v>
      </c>
      <c r="J33" s="446">
        <v>100</v>
      </c>
      <c r="K33" s="447">
        <v>620</v>
      </c>
    </row>
    <row r="34" spans="1:11" ht="14.45" customHeight="1" x14ac:dyDescent="0.2">
      <c r="A34" s="441" t="s">
        <v>437</v>
      </c>
      <c r="B34" s="442" t="s">
        <v>438</v>
      </c>
      <c r="C34" s="443" t="s">
        <v>444</v>
      </c>
      <c r="D34" s="444" t="s">
        <v>445</v>
      </c>
      <c r="E34" s="443" t="s">
        <v>635</v>
      </c>
      <c r="F34" s="444" t="s">
        <v>636</v>
      </c>
      <c r="G34" s="443" t="s">
        <v>655</v>
      </c>
      <c r="H34" s="443" t="s">
        <v>656</v>
      </c>
      <c r="I34" s="446">
        <v>11.737142562866211</v>
      </c>
      <c r="J34" s="446">
        <v>58</v>
      </c>
      <c r="K34" s="447">
        <v>680.76001358032227</v>
      </c>
    </row>
    <row r="35" spans="1:11" ht="14.45" customHeight="1" x14ac:dyDescent="0.2">
      <c r="A35" s="441" t="s">
        <v>437</v>
      </c>
      <c r="B35" s="442" t="s">
        <v>438</v>
      </c>
      <c r="C35" s="443" t="s">
        <v>444</v>
      </c>
      <c r="D35" s="444" t="s">
        <v>445</v>
      </c>
      <c r="E35" s="443" t="s">
        <v>635</v>
      </c>
      <c r="F35" s="444" t="s">
        <v>636</v>
      </c>
      <c r="G35" s="443" t="s">
        <v>655</v>
      </c>
      <c r="H35" s="443" t="s">
        <v>657</v>
      </c>
      <c r="I35" s="446">
        <v>11.739999771118164</v>
      </c>
      <c r="J35" s="446">
        <v>10</v>
      </c>
      <c r="K35" s="447">
        <v>117.40000152587891</v>
      </c>
    </row>
    <row r="36" spans="1:11" ht="14.45" customHeight="1" x14ac:dyDescent="0.2">
      <c r="A36" s="441" t="s">
        <v>437</v>
      </c>
      <c r="B36" s="442" t="s">
        <v>438</v>
      </c>
      <c r="C36" s="443" t="s">
        <v>444</v>
      </c>
      <c r="D36" s="444" t="s">
        <v>445</v>
      </c>
      <c r="E36" s="443" t="s">
        <v>635</v>
      </c>
      <c r="F36" s="444" t="s">
        <v>636</v>
      </c>
      <c r="G36" s="443" t="s">
        <v>658</v>
      </c>
      <c r="H36" s="443" t="s">
        <v>659</v>
      </c>
      <c r="I36" s="446">
        <v>13.310000419616699</v>
      </c>
      <c r="J36" s="446">
        <v>6</v>
      </c>
      <c r="K36" s="447">
        <v>79.860000610351563</v>
      </c>
    </row>
    <row r="37" spans="1:11" ht="14.45" customHeight="1" x14ac:dyDescent="0.2">
      <c r="A37" s="441" t="s">
        <v>437</v>
      </c>
      <c r="B37" s="442" t="s">
        <v>438</v>
      </c>
      <c r="C37" s="443" t="s">
        <v>444</v>
      </c>
      <c r="D37" s="444" t="s">
        <v>445</v>
      </c>
      <c r="E37" s="443" t="s">
        <v>635</v>
      </c>
      <c r="F37" s="444" t="s">
        <v>636</v>
      </c>
      <c r="G37" s="443" t="s">
        <v>660</v>
      </c>
      <c r="H37" s="443" t="s">
        <v>661</v>
      </c>
      <c r="I37" s="446">
        <v>356.95001220703125</v>
      </c>
      <c r="J37" s="446">
        <v>20</v>
      </c>
      <c r="K37" s="447">
        <v>7139</v>
      </c>
    </row>
    <row r="38" spans="1:11" ht="14.45" customHeight="1" x14ac:dyDescent="0.2">
      <c r="A38" s="441" t="s">
        <v>437</v>
      </c>
      <c r="B38" s="442" t="s">
        <v>438</v>
      </c>
      <c r="C38" s="443" t="s">
        <v>444</v>
      </c>
      <c r="D38" s="444" t="s">
        <v>445</v>
      </c>
      <c r="E38" s="443" t="s">
        <v>635</v>
      </c>
      <c r="F38" s="444" t="s">
        <v>636</v>
      </c>
      <c r="G38" s="443" t="s">
        <v>662</v>
      </c>
      <c r="H38" s="443" t="s">
        <v>663</v>
      </c>
      <c r="I38" s="446">
        <v>726</v>
      </c>
      <c r="J38" s="446">
        <v>2</v>
      </c>
      <c r="K38" s="447">
        <v>1452</v>
      </c>
    </row>
    <row r="39" spans="1:11" ht="14.45" customHeight="1" x14ac:dyDescent="0.2">
      <c r="A39" s="441" t="s">
        <v>437</v>
      </c>
      <c r="B39" s="442" t="s">
        <v>438</v>
      </c>
      <c r="C39" s="443" t="s">
        <v>444</v>
      </c>
      <c r="D39" s="444" t="s">
        <v>445</v>
      </c>
      <c r="E39" s="443" t="s">
        <v>635</v>
      </c>
      <c r="F39" s="444" t="s">
        <v>636</v>
      </c>
      <c r="G39" s="443" t="s">
        <v>664</v>
      </c>
      <c r="H39" s="443" t="s">
        <v>665</v>
      </c>
      <c r="I39" s="446">
        <v>442.739990234375</v>
      </c>
      <c r="J39" s="446">
        <v>10</v>
      </c>
      <c r="K39" s="447">
        <v>4427.39990234375</v>
      </c>
    </row>
    <row r="40" spans="1:11" ht="14.45" customHeight="1" x14ac:dyDescent="0.2">
      <c r="A40" s="441" t="s">
        <v>437</v>
      </c>
      <c r="B40" s="442" t="s">
        <v>438</v>
      </c>
      <c r="C40" s="443" t="s">
        <v>444</v>
      </c>
      <c r="D40" s="444" t="s">
        <v>445</v>
      </c>
      <c r="E40" s="443" t="s">
        <v>635</v>
      </c>
      <c r="F40" s="444" t="s">
        <v>636</v>
      </c>
      <c r="G40" s="443" t="s">
        <v>666</v>
      </c>
      <c r="H40" s="443" t="s">
        <v>667</v>
      </c>
      <c r="I40" s="446">
        <v>1.0800000429153442</v>
      </c>
      <c r="J40" s="446">
        <v>100</v>
      </c>
      <c r="K40" s="447">
        <v>108</v>
      </c>
    </row>
    <row r="41" spans="1:11" ht="14.45" customHeight="1" x14ac:dyDescent="0.2">
      <c r="A41" s="441" t="s">
        <v>437</v>
      </c>
      <c r="B41" s="442" t="s">
        <v>438</v>
      </c>
      <c r="C41" s="443" t="s">
        <v>444</v>
      </c>
      <c r="D41" s="444" t="s">
        <v>445</v>
      </c>
      <c r="E41" s="443" t="s">
        <v>635</v>
      </c>
      <c r="F41" s="444" t="s">
        <v>636</v>
      </c>
      <c r="G41" s="443" t="s">
        <v>668</v>
      </c>
      <c r="H41" s="443" t="s">
        <v>669</v>
      </c>
      <c r="I41" s="446">
        <v>0.43444444735844928</v>
      </c>
      <c r="J41" s="446">
        <v>4100</v>
      </c>
      <c r="K41" s="447">
        <v>1782</v>
      </c>
    </row>
    <row r="42" spans="1:11" ht="14.45" customHeight="1" x14ac:dyDescent="0.2">
      <c r="A42" s="441" t="s">
        <v>437</v>
      </c>
      <c r="B42" s="442" t="s">
        <v>438</v>
      </c>
      <c r="C42" s="443" t="s">
        <v>444</v>
      </c>
      <c r="D42" s="444" t="s">
        <v>445</v>
      </c>
      <c r="E42" s="443" t="s">
        <v>635</v>
      </c>
      <c r="F42" s="444" t="s">
        <v>636</v>
      </c>
      <c r="G42" s="443" t="s">
        <v>670</v>
      </c>
      <c r="H42" s="443" t="s">
        <v>671</v>
      </c>
      <c r="I42" s="446">
        <v>0.58199998140335085</v>
      </c>
      <c r="J42" s="446">
        <v>6900</v>
      </c>
      <c r="K42" s="447">
        <v>4016</v>
      </c>
    </row>
    <row r="43" spans="1:11" ht="14.45" customHeight="1" x14ac:dyDescent="0.2">
      <c r="A43" s="441" t="s">
        <v>437</v>
      </c>
      <c r="B43" s="442" t="s">
        <v>438</v>
      </c>
      <c r="C43" s="443" t="s">
        <v>444</v>
      </c>
      <c r="D43" s="444" t="s">
        <v>445</v>
      </c>
      <c r="E43" s="443" t="s">
        <v>635</v>
      </c>
      <c r="F43" s="444" t="s">
        <v>636</v>
      </c>
      <c r="G43" s="443" t="s">
        <v>672</v>
      </c>
      <c r="H43" s="443" t="s">
        <v>673</v>
      </c>
      <c r="I43" s="446">
        <v>6.320000171661377</v>
      </c>
      <c r="J43" s="446">
        <v>200</v>
      </c>
      <c r="K43" s="447">
        <v>1263.3800048828125</v>
      </c>
    </row>
    <row r="44" spans="1:11" ht="14.45" customHeight="1" x14ac:dyDescent="0.2">
      <c r="A44" s="441" t="s">
        <v>437</v>
      </c>
      <c r="B44" s="442" t="s">
        <v>438</v>
      </c>
      <c r="C44" s="443" t="s">
        <v>444</v>
      </c>
      <c r="D44" s="444" t="s">
        <v>445</v>
      </c>
      <c r="E44" s="443" t="s">
        <v>635</v>
      </c>
      <c r="F44" s="444" t="s">
        <v>636</v>
      </c>
      <c r="G44" s="443" t="s">
        <v>674</v>
      </c>
      <c r="H44" s="443" t="s">
        <v>675</v>
      </c>
      <c r="I44" s="446">
        <v>10.890000343322754</v>
      </c>
      <c r="J44" s="446">
        <v>10</v>
      </c>
      <c r="K44" s="447">
        <v>108.90000152587891</v>
      </c>
    </row>
    <row r="45" spans="1:11" ht="14.45" customHeight="1" x14ac:dyDescent="0.2">
      <c r="A45" s="441" t="s">
        <v>437</v>
      </c>
      <c r="B45" s="442" t="s">
        <v>438</v>
      </c>
      <c r="C45" s="443" t="s">
        <v>444</v>
      </c>
      <c r="D45" s="444" t="s">
        <v>445</v>
      </c>
      <c r="E45" s="443" t="s">
        <v>635</v>
      </c>
      <c r="F45" s="444" t="s">
        <v>636</v>
      </c>
      <c r="G45" s="443" t="s">
        <v>676</v>
      </c>
      <c r="H45" s="443" t="s">
        <v>677</v>
      </c>
      <c r="I45" s="446">
        <v>37.509998321533203</v>
      </c>
      <c r="J45" s="446">
        <v>10</v>
      </c>
      <c r="K45" s="447">
        <v>375.10000610351563</v>
      </c>
    </row>
    <row r="46" spans="1:11" ht="14.45" customHeight="1" x14ac:dyDescent="0.2">
      <c r="A46" s="441" t="s">
        <v>437</v>
      </c>
      <c r="B46" s="442" t="s">
        <v>438</v>
      </c>
      <c r="C46" s="443" t="s">
        <v>444</v>
      </c>
      <c r="D46" s="444" t="s">
        <v>445</v>
      </c>
      <c r="E46" s="443" t="s">
        <v>635</v>
      </c>
      <c r="F46" s="444" t="s">
        <v>636</v>
      </c>
      <c r="G46" s="443" t="s">
        <v>678</v>
      </c>
      <c r="H46" s="443" t="s">
        <v>679</v>
      </c>
      <c r="I46" s="446">
        <v>37.509998321533203</v>
      </c>
      <c r="J46" s="446">
        <v>5</v>
      </c>
      <c r="K46" s="447">
        <v>187.55000305175781</v>
      </c>
    </row>
    <row r="47" spans="1:11" ht="14.45" customHeight="1" x14ac:dyDescent="0.2">
      <c r="A47" s="441" t="s">
        <v>437</v>
      </c>
      <c r="B47" s="442" t="s">
        <v>438</v>
      </c>
      <c r="C47" s="443" t="s">
        <v>444</v>
      </c>
      <c r="D47" s="444" t="s">
        <v>445</v>
      </c>
      <c r="E47" s="443" t="s">
        <v>635</v>
      </c>
      <c r="F47" s="444" t="s">
        <v>636</v>
      </c>
      <c r="G47" s="443" t="s">
        <v>680</v>
      </c>
      <c r="H47" s="443" t="s">
        <v>681</v>
      </c>
      <c r="I47" s="446">
        <v>33.599998474121094</v>
      </c>
      <c r="J47" s="446">
        <v>50</v>
      </c>
      <c r="K47" s="447">
        <v>1680</v>
      </c>
    </row>
    <row r="48" spans="1:11" ht="14.45" customHeight="1" x14ac:dyDescent="0.2">
      <c r="A48" s="441" t="s">
        <v>437</v>
      </c>
      <c r="B48" s="442" t="s">
        <v>438</v>
      </c>
      <c r="C48" s="443" t="s">
        <v>444</v>
      </c>
      <c r="D48" s="444" t="s">
        <v>445</v>
      </c>
      <c r="E48" s="443" t="s">
        <v>635</v>
      </c>
      <c r="F48" s="444" t="s">
        <v>636</v>
      </c>
      <c r="G48" s="443" t="s">
        <v>682</v>
      </c>
      <c r="H48" s="443" t="s">
        <v>683</v>
      </c>
      <c r="I48" s="446">
        <v>23.709999084472656</v>
      </c>
      <c r="J48" s="446">
        <v>50</v>
      </c>
      <c r="K48" s="447">
        <v>1185.5</v>
      </c>
    </row>
    <row r="49" spans="1:11" ht="14.45" customHeight="1" x14ac:dyDescent="0.2">
      <c r="A49" s="441" t="s">
        <v>437</v>
      </c>
      <c r="B49" s="442" t="s">
        <v>438</v>
      </c>
      <c r="C49" s="443" t="s">
        <v>444</v>
      </c>
      <c r="D49" s="444" t="s">
        <v>445</v>
      </c>
      <c r="E49" s="443" t="s">
        <v>635</v>
      </c>
      <c r="F49" s="444" t="s">
        <v>636</v>
      </c>
      <c r="G49" s="443" t="s">
        <v>682</v>
      </c>
      <c r="H49" s="443" t="s">
        <v>684</v>
      </c>
      <c r="I49" s="446">
        <v>21.234999656677246</v>
      </c>
      <c r="J49" s="446">
        <v>100</v>
      </c>
      <c r="K49" s="447">
        <v>2123.5</v>
      </c>
    </row>
    <row r="50" spans="1:11" ht="14.45" customHeight="1" x14ac:dyDescent="0.2">
      <c r="A50" s="441" t="s">
        <v>437</v>
      </c>
      <c r="B50" s="442" t="s">
        <v>438</v>
      </c>
      <c r="C50" s="443" t="s">
        <v>444</v>
      </c>
      <c r="D50" s="444" t="s">
        <v>445</v>
      </c>
      <c r="E50" s="443" t="s">
        <v>685</v>
      </c>
      <c r="F50" s="444" t="s">
        <v>686</v>
      </c>
      <c r="G50" s="443" t="s">
        <v>687</v>
      </c>
      <c r="H50" s="443" t="s">
        <v>688</v>
      </c>
      <c r="I50" s="446">
        <v>37.720001220703125</v>
      </c>
      <c r="J50" s="446">
        <v>108</v>
      </c>
      <c r="K50" s="447">
        <v>4073.7601318359375</v>
      </c>
    </row>
    <row r="51" spans="1:11" ht="14.45" customHeight="1" x14ac:dyDescent="0.2">
      <c r="A51" s="441" t="s">
        <v>437</v>
      </c>
      <c r="B51" s="442" t="s">
        <v>438</v>
      </c>
      <c r="C51" s="443" t="s">
        <v>444</v>
      </c>
      <c r="D51" s="444" t="s">
        <v>445</v>
      </c>
      <c r="E51" s="443" t="s">
        <v>685</v>
      </c>
      <c r="F51" s="444" t="s">
        <v>686</v>
      </c>
      <c r="G51" s="443" t="s">
        <v>689</v>
      </c>
      <c r="H51" s="443" t="s">
        <v>690</v>
      </c>
      <c r="I51" s="446">
        <v>95.129997253417969</v>
      </c>
      <c r="J51" s="446">
        <v>48</v>
      </c>
      <c r="K51" s="447">
        <v>4566</v>
      </c>
    </row>
    <row r="52" spans="1:11" ht="14.45" customHeight="1" x14ac:dyDescent="0.2">
      <c r="A52" s="441" t="s">
        <v>437</v>
      </c>
      <c r="B52" s="442" t="s">
        <v>438</v>
      </c>
      <c r="C52" s="443" t="s">
        <v>444</v>
      </c>
      <c r="D52" s="444" t="s">
        <v>445</v>
      </c>
      <c r="E52" s="443" t="s">
        <v>685</v>
      </c>
      <c r="F52" s="444" t="s">
        <v>686</v>
      </c>
      <c r="G52" s="443" t="s">
        <v>691</v>
      </c>
      <c r="H52" s="443" t="s">
        <v>692</v>
      </c>
      <c r="I52" s="446">
        <v>96.30999755859375</v>
      </c>
      <c r="J52" s="446">
        <v>72</v>
      </c>
      <c r="K52" s="447">
        <v>6934.5</v>
      </c>
    </row>
    <row r="53" spans="1:11" ht="14.45" customHeight="1" x14ac:dyDescent="0.2">
      <c r="A53" s="441" t="s">
        <v>437</v>
      </c>
      <c r="B53" s="442" t="s">
        <v>438</v>
      </c>
      <c r="C53" s="443" t="s">
        <v>444</v>
      </c>
      <c r="D53" s="444" t="s">
        <v>445</v>
      </c>
      <c r="E53" s="443" t="s">
        <v>685</v>
      </c>
      <c r="F53" s="444" t="s">
        <v>686</v>
      </c>
      <c r="G53" s="443" t="s">
        <v>693</v>
      </c>
      <c r="H53" s="443" t="s">
        <v>694</v>
      </c>
      <c r="I53" s="446">
        <v>113.08000183105469</v>
      </c>
      <c r="J53" s="446">
        <v>72</v>
      </c>
      <c r="K53" s="447">
        <v>8142</v>
      </c>
    </row>
    <row r="54" spans="1:11" ht="14.45" customHeight="1" x14ac:dyDescent="0.2">
      <c r="A54" s="441" t="s">
        <v>437</v>
      </c>
      <c r="B54" s="442" t="s">
        <v>438</v>
      </c>
      <c r="C54" s="443" t="s">
        <v>444</v>
      </c>
      <c r="D54" s="444" t="s">
        <v>445</v>
      </c>
      <c r="E54" s="443" t="s">
        <v>685</v>
      </c>
      <c r="F54" s="444" t="s">
        <v>686</v>
      </c>
      <c r="G54" s="443" t="s">
        <v>695</v>
      </c>
      <c r="H54" s="443" t="s">
        <v>696</v>
      </c>
      <c r="I54" s="446">
        <v>72.69000244140625</v>
      </c>
      <c r="J54" s="446">
        <v>72</v>
      </c>
      <c r="K54" s="447">
        <v>5233.64990234375</v>
      </c>
    </row>
    <row r="55" spans="1:11" ht="14.45" customHeight="1" x14ac:dyDescent="0.2">
      <c r="A55" s="441" t="s">
        <v>437</v>
      </c>
      <c r="B55" s="442" t="s">
        <v>438</v>
      </c>
      <c r="C55" s="443" t="s">
        <v>444</v>
      </c>
      <c r="D55" s="444" t="s">
        <v>445</v>
      </c>
      <c r="E55" s="443" t="s">
        <v>685</v>
      </c>
      <c r="F55" s="444" t="s">
        <v>686</v>
      </c>
      <c r="G55" s="443" t="s">
        <v>697</v>
      </c>
      <c r="H55" s="443" t="s">
        <v>698</v>
      </c>
      <c r="I55" s="446">
        <v>64.579999287923172</v>
      </c>
      <c r="J55" s="446">
        <v>72</v>
      </c>
      <c r="K55" s="447">
        <v>4649.5</v>
      </c>
    </row>
    <row r="56" spans="1:11" ht="14.45" customHeight="1" x14ac:dyDescent="0.2">
      <c r="A56" s="441" t="s">
        <v>437</v>
      </c>
      <c r="B56" s="442" t="s">
        <v>438</v>
      </c>
      <c r="C56" s="443" t="s">
        <v>444</v>
      </c>
      <c r="D56" s="444" t="s">
        <v>445</v>
      </c>
      <c r="E56" s="443" t="s">
        <v>685</v>
      </c>
      <c r="F56" s="444" t="s">
        <v>686</v>
      </c>
      <c r="G56" s="443" t="s">
        <v>699</v>
      </c>
      <c r="H56" s="443" t="s">
        <v>700</v>
      </c>
      <c r="I56" s="446">
        <v>64.159999847412109</v>
      </c>
      <c r="J56" s="446">
        <v>48</v>
      </c>
      <c r="K56" s="447">
        <v>3079.5</v>
      </c>
    </row>
    <row r="57" spans="1:11" ht="14.45" customHeight="1" x14ac:dyDescent="0.2">
      <c r="A57" s="441" t="s">
        <v>437</v>
      </c>
      <c r="B57" s="442" t="s">
        <v>438</v>
      </c>
      <c r="C57" s="443" t="s">
        <v>444</v>
      </c>
      <c r="D57" s="444" t="s">
        <v>445</v>
      </c>
      <c r="E57" s="443" t="s">
        <v>701</v>
      </c>
      <c r="F57" s="444" t="s">
        <v>702</v>
      </c>
      <c r="G57" s="443" t="s">
        <v>703</v>
      </c>
      <c r="H57" s="443" t="s">
        <v>704</v>
      </c>
      <c r="I57" s="446">
        <v>0.47999998927116394</v>
      </c>
      <c r="J57" s="446">
        <v>400</v>
      </c>
      <c r="K57" s="447">
        <v>192</v>
      </c>
    </row>
    <row r="58" spans="1:11" ht="14.45" customHeight="1" x14ac:dyDescent="0.2">
      <c r="A58" s="441" t="s">
        <v>437</v>
      </c>
      <c r="B58" s="442" t="s">
        <v>438</v>
      </c>
      <c r="C58" s="443" t="s">
        <v>444</v>
      </c>
      <c r="D58" s="444" t="s">
        <v>445</v>
      </c>
      <c r="E58" s="443" t="s">
        <v>701</v>
      </c>
      <c r="F58" s="444" t="s">
        <v>702</v>
      </c>
      <c r="G58" s="443" t="s">
        <v>705</v>
      </c>
      <c r="H58" s="443" t="s">
        <v>706</v>
      </c>
      <c r="I58" s="446">
        <v>0.30250000953674316</v>
      </c>
      <c r="J58" s="446">
        <v>1600</v>
      </c>
      <c r="K58" s="447">
        <v>483</v>
      </c>
    </row>
    <row r="59" spans="1:11" ht="14.45" customHeight="1" x14ac:dyDescent="0.2">
      <c r="A59" s="441" t="s">
        <v>437</v>
      </c>
      <c r="B59" s="442" t="s">
        <v>438</v>
      </c>
      <c r="C59" s="443" t="s">
        <v>444</v>
      </c>
      <c r="D59" s="444" t="s">
        <v>445</v>
      </c>
      <c r="E59" s="443" t="s">
        <v>701</v>
      </c>
      <c r="F59" s="444" t="s">
        <v>702</v>
      </c>
      <c r="G59" s="443" t="s">
        <v>707</v>
      </c>
      <c r="H59" s="443" t="s">
        <v>708</v>
      </c>
      <c r="I59" s="446">
        <v>0.30666667222976685</v>
      </c>
      <c r="J59" s="446">
        <v>2800</v>
      </c>
      <c r="K59" s="447">
        <v>857</v>
      </c>
    </row>
    <row r="60" spans="1:11" ht="14.45" customHeight="1" x14ac:dyDescent="0.2">
      <c r="A60" s="441" t="s">
        <v>437</v>
      </c>
      <c r="B60" s="442" t="s">
        <v>438</v>
      </c>
      <c r="C60" s="443" t="s">
        <v>444</v>
      </c>
      <c r="D60" s="444" t="s">
        <v>445</v>
      </c>
      <c r="E60" s="443" t="s">
        <v>701</v>
      </c>
      <c r="F60" s="444" t="s">
        <v>702</v>
      </c>
      <c r="G60" s="443" t="s">
        <v>709</v>
      </c>
      <c r="H60" s="443" t="s">
        <v>710</v>
      </c>
      <c r="I60" s="446">
        <v>3.6600000858306885</v>
      </c>
      <c r="J60" s="446">
        <v>400</v>
      </c>
      <c r="K60" s="447">
        <v>1464.3900146484375</v>
      </c>
    </row>
    <row r="61" spans="1:11" ht="14.45" customHeight="1" x14ac:dyDescent="0.2">
      <c r="A61" s="441" t="s">
        <v>437</v>
      </c>
      <c r="B61" s="442" t="s">
        <v>438</v>
      </c>
      <c r="C61" s="443" t="s">
        <v>444</v>
      </c>
      <c r="D61" s="444" t="s">
        <v>445</v>
      </c>
      <c r="E61" s="443" t="s">
        <v>701</v>
      </c>
      <c r="F61" s="444" t="s">
        <v>702</v>
      </c>
      <c r="G61" s="443" t="s">
        <v>711</v>
      </c>
      <c r="H61" s="443" t="s">
        <v>712</v>
      </c>
      <c r="I61" s="446">
        <v>0.96555556191338432</v>
      </c>
      <c r="J61" s="446">
        <v>4800</v>
      </c>
      <c r="K61" s="447">
        <v>4634</v>
      </c>
    </row>
    <row r="62" spans="1:11" ht="14.45" customHeight="1" x14ac:dyDescent="0.2">
      <c r="A62" s="441" t="s">
        <v>437</v>
      </c>
      <c r="B62" s="442" t="s">
        <v>438</v>
      </c>
      <c r="C62" s="443" t="s">
        <v>444</v>
      </c>
      <c r="D62" s="444" t="s">
        <v>445</v>
      </c>
      <c r="E62" s="443" t="s">
        <v>713</v>
      </c>
      <c r="F62" s="444" t="s">
        <v>714</v>
      </c>
      <c r="G62" s="443" t="s">
        <v>715</v>
      </c>
      <c r="H62" s="443" t="s">
        <v>716</v>
      </c>
      <c r="I62" s="446">
        <v>7.0150001049041748</v>
      </c>
      <c r="J62" s="446">
        <v>100</v>
      </c>
      <c r="K62" s="447">
        <v>701.5</v>
      </c>
    </row>
    <row r="63" spans="1:11" ht="14.45" customHeight="1" x14ac:dyDescent="0.2">
      <c r="A63" s="441" t="s">
        <v>437</v>
      </c>
      <c r="B63" s="442" t="s">
        <v>438</v>
      </c>
      <c r="C63" s="443" t="s">
        <v>444</v>
      </c>
      <c r="D63" s="444" t="s">
        <v>445</v>
      </c>
      <c r="E63" s="443" t="s">
        <v>713</v>
      </c>
      <c r="F63" s="444" t="s">
        <v>714</v>
      </c>
      <c r="G63" s="443" t="s">
        <v>717</v>
      </c>
      <c r="H63" s="443" t="s">
        <v>718</v>
      </c>
      <c r="I63" s="446">
        <v>7.0199999809265137</v>
      </c>
      <c r="J63" s="446">
        <v>50</v>
      </c>
      <c r="K63" s="447">
        <v>351</v>
      </c>
    </row>
    <row r="64" spans="1:11" ht="14.45" customHeight="1" x14ac:dyDescent="0.2">
      <c r="A64" s="441" t="s">
        <v>437</v>
      </c>
      <c r="B64" s="442" t="s">
        <v>438</v>
      </c>
      <c r="C64" s="443" t="s">
        <v>444</v>
      </c>
      <c r="D64" s="444" t="s">
        <v>445</v>
      </c>
      <c r="E64" s="443" t="s">
        <v>713</v>
      </c>
      <c r="F64" s="444" t="s">
        <v>714</v>
      </c>
      <c r="G64" s="443" t="s">
        <v>719</v>
      </c>
      <c r="H64" s="443" t="s">
        <v>720</v>
      </c>
      <c r="I64" s="446">
        <v>7.0199999809265137</v>
      </c>
      <c r="J64" s="446">
        <v>50</v>
      </c>
      <c r="K64" s="447">
        <v>351</v>
      </c>
    </row>
    <row r="65" spans="1:11" ht="14.45" customHeight="1" x14ac:dyDescent="0.2">
      <c r="A65" s="441" t="s">
        <v>437</v>
      </c>
      <c r="B65" s="442" t="s">
        <v>438</v>
      </c>
      <c r="C65" s="443" t="s">
        <v>444</v>
      </c>
      <c r="D65" s="444" t="s">
        <v>445</v>
      </c>
      <c r="E65" s="443" t="s">
        <v>713</v>
      </c>
      <c r="F65" s="444" t="s">
        <v>714</v>
      </c>
      <c r="G65" s="443" t="s">
        <v>721</v>
      </c>
      <c r="H65" s="443" t="s">
        <v>722</v>
      </c>
      <c r="I65" s="446">
        <v>7.0199999809265137</v>
      </c>
      <c r="J65" s="446">
        <v>100</v>
      </c>
      <c r="K65" s="447">
        <v>702</v>
      </c>
    </row>
    <row r="66" spans="1:11" ht="14.45" customHeight="1" x14ac:dyDescent="0.2">
      <c r="A66" s="441" t="s">
        <v>437</v>
      </c>
      <c r="B66" s="442" t="s">
        <v>438</v>
      </c>
      <c r="C66" s="443" t="s">
        <v>444</v>
      </c>
      <c r="D66" s="444" t="s">
        <v>445</v>
      </c>
      <c r="E66" s="443" t="s">
        <v>713</v>
      </c>
      <c r="F66" s="444" t="s">
        <v>714</v>
      </c>
      <c r="G66" s="443" t="s">
        <v>723</v>
      </c>
      <c r="H66" s="443" t="s">
        <v>724</v>
      </c>
      <c r="I66" s="446">
        <v>7.0199999809265137</v>
      </c>
      <c r="J66" s="446">
        <v>50</v>
      </c>
      <c r="K66" s="447">
        <v>351</v>
      </c>
    </row>
    <row r="67" spans="1:11" ht="14.45" customHeight="1" x14ac:dyDescent="0.2">
      <c r="A67" s="441" t="s">
        <v>437</v>
      </c>
      <c r="B67" s="442" t="s">
        <v>438</v>
      </c>
      <c r="C67" s="443" t="s">
        <v>444</v>
      </c>
      <c r="D67" s="444" t="s">
        <v>445</v>
      </c>
      <c r="E67" s="443" t="s">
        <v>713</v>
      </c>
      <c r="F67" s="444" t="s">
        <v>714</v>
      </c>
      <c r="G67" s="443" t="s">
        <v>725</v>
      </c>
      <c r="H67" s="443" t="s">
        <v>726</v>
      </c>
      <c r="I67" s="446">
        <v>1.2200000286102295</v>
      </c>
      <c r="J67" s="446">
        <v>2000</v>
      </c>
      <c r="K67" s="447">
        <v>2438.219970703125</v>
      </c>
    </row>
    <row r="68" spans="1:11" ht="14.45" customHeight="1" x14ac:dyDescent="0.2">
      <c r="A68" s="441" t="s">
        <v>437</v>
      </c>
      <c r="B68" s="442" t="s">
        <v>438</v>
      </c>
      <c r="C68" s="443" t="s">
        <v>444</v>
      </c>
      <c r="D68" s="444" t="s">
        <v>445</v>
      </c>
      <c r="E68" s="443" t="s">
        <v>713</v>
      </c>
      <c r="F68" s="444" t="s">
        <v>714</v>
      </c>
      <c r="G68" s="443" t="s">
        <v>727</v>
      </c>
      <c r="H68" s="443" t="s">
        <v>728</v>
      </c>
      <c r="I68" s="446">
        <v>0.93999999761581421</v>
      </c>
      <c r="J68" s="446">
        <v>1000</v>
      </c>
      <c r="K68" s="447">
        <v>937.75</v>
      </c>
    </row>
    <row r="69" spans="1:11" ht="14.45" customHeight="1" x14ac:dyDescent="0.2">
      <c r="A69" s="441" t="s">
        <v>437</v>
      </c>
      <c r="B69" s="442" t="s">
        <v>438</v>
      </c>
      <c r="C69" s="443" t="s">
        <v>444</v>
      </c>
      <c r="D69" s="444" t="s">
        <v>445</v>
      </c>
      <c r="E69" s="443" t="s">
        <v>713</v>
      </c>
      <c r="F69" s="444" t="s">
        <v>714</v>
      </c>
      <c r="G69" s="443" t="s">
        <v>729</v>
      </c>
      <c r="H69" s="443" t="s">
        <v>730</v>
      </c>
      <c r="I69" s="446">
        <v>1.2200000286102295</v>
      </c>
      <c r="J69" s="446">
        <v>1000</v>
      </c>
      <c r="K69" s="447">
        <v>1218.0400390625</v>
      </c>
    </row>
    <row r="70" spans="1:11" ht="14.45" customHeight="1" x14ac:dyDescent="0.2">
      <c r="A70" s="441" t="s">
        <v>437</v>
      </c>
      <c r="B70" s="442" t="s">
        <v>438</v>
      </c>
      <c r="C70" s="443" t="s">
        <v>444</v>
      </c>
      <c r="D70" s="444" t="s">
        <v>445</v>
      </c>
      <c r="E70" s="443" t="s">
        <v>713</v>
      </c>
      <c r="F70" s="444" t="s">
        <v>714</v>
      </c>
      <c r="G70" s="443" t="s">
        <v>731</v>
      </c>
      <c r="H70" s="443" t="s">
        <v>732</v>
      </c>
      <c r="I70" s="446">
        <v>0.81999999284744263</v>
      </c>
      <c r="J70" s="446">
        <v>7000</v>
      </c>
      <c r="K70" s="447">
        <v>5756.7999877929688</v>
      </c>
    </row>
    <row r="71" spans="1:11" ht="14.45" customHeight="1" x14ac:dyDescent="0.2">
      <c r="A71" s="441" t="s">
        <v>437</v>
      </c>
      <c r="B71" s="442" t="s">
        <v>438</v>
      </c>
      <c r="C71" s="443" t="s">
        <v>444</v>
      </c>
      <c r="D71" s="444" t="s">
        <v>445</v>
      </c>
      <c r="E71" s="443" t="s">
        <v>713</v>
      </c>
      <c r="F71" s="444" t="s">
        <v>714</v>
      </c>
      <c r="G71" s="443" t="s">
        <v>733</v>
      </c>
      <c r="H71" s="443" t="s">
        <v>734</v>
      </c>
      <c r="I71" s="446">
        <v>0.81999999284744263</v>
      </c>
      <c r="J71" s="446">
        <v>3000</v>
      </c>
      <c r="K71" s="447">
        <v>2468.3999633789063</v>
      </c>
    </row>
    <row r="72" spans="1:11" ht="14.45" customHeight="1" x14ac:dyDescent="0.2">
      <c r="A72" s="441" t="s">
        <v>437</v>
      </c>
      <c r="B72" s="442" t="s">
        <v>438</v>
      </c>
      <c r="C72" s="443" t="s">
        <v>444</v>
      </c>
      <c r="D72" s="444" t="s">
        <v>445</v>
      </c>
      <c r="E72" s="443" t="s">
        <v>713</v>
      </c>
      <c r="F72" s="444" t="s">
        <v>714</v>
      </c>
      <c r="G72" s="443" t="s">
        <v>735</v>
      </c>
      <c r="H72" s="443" t="s">
        <v>736</v>
      </c>
      <c r="I72" s="446">
        <v>0.69999999801317847</v>
      </c>
      <c r="J72" s="446">
        <v>19000</v>
      </c>
      <c r="K72" s="447">
        <v>13350</v>
      </c>
    </row>
    <row r="73" spans="1:11" ht="14.45" customHeight="1" x14ac:dyDescent="0.2">
      <c r="A73" s="441" t="s">
        <v>437</v>
      </c>
      <c r="B73" s="442" t="s">
        <v>438</v>
      </c>
      <c r="C73" s="443" t="s">
        <v>444</v>
      </c>
      <c r="D73" s="444" t="s">
        <v>445</v>
      </c>
      <c r="E73" s="443" t="s">
        <v>713</v>
      </c>
      <c r="F73" s="444" t="s">
        <v>714</v>
      </c>
      <c r="G73" s="443" t="s">
        <v>737</v>
      </c>
      <c r="H73" s="443" t="s">
        <v>738</v>
      </c>
      <c r="I73" s="446">
        <v>0.69857142652784077</v>
      </c>
      <c r="J73" s="446">
        <v>40000</v>
      </c>
      <c r="K73" s="447">
        <v>28280</v>
      </c>
    </row>
    <row r="74" spans="1:11" ht="14.45" customHeight="1" x14ac:dyDescent="0.2">
      <c r="A74" s="441" t="s">
        <v>437</v>
      </c>
      <c r="B74" s="442" t="s">
        <v>438</v>
      </c>
      <c r="C74" s="443" t="s">
        <v>444</v>
      </c>
      <c r="D74" s="444" t="s">
        <v>445</v>
      </c>
      <c r="E74" s="443" t="s">
        <v>713</v>
      </c>
      <c r="F74" s="444" t="s">
        <v>714</v>
      </c>
      <c r="G74" s="443" t="s">
        <v>739</v>
      </c>
      <c r="H74" s="443" t="s">
        <v>740</v>
      </c>
      <c r="I74" s="446">
        <v>0.6966666579246521</v>
      </c>
      <c r="J74" s="446">
        <v>24000</v>
      </c>
      <c r="K74" s="447">
        <v>16580</v>
      </c>
    </row>
    <row r="75" spans="1:11" ht="14.45" customHeight="1" x14ac:dyDescent="0.2">
      <c r="A75" s="441" t="s">
        <v>437</v>
      </c>
      <c r="B75" s="442" t="s">
        <v>438</v>
      </c>
      <c r="C75" s="443" t="s">
        <v>444</v>
      </c>
      <c r="D75" s="444" t="s">
        <v>445</v>
      </c>
      <c r="E75" s="443" t="s">
        <v>713</v>
      </c>
      <c r="F75" s="444" t="s">
        <v>714</v>
      </c>
      <c r="G75" s="443" t="s">
        <v>741</v>
      </c>
      <c r="H75" s="443" t="s">
        <v>742</v>
      </c>
      <c r="I75" s="446">
        <v>0.62999999523162842</v>
      </c>
      <c r="J75" s="446">
        <v>4420</v>
      </c>
      <c r="K75" s="447">
        <v>2784.5999755859375</v>
      </c>
    </row>
    <row r="76" spans="1:11" ht="14.45" customHeight="1" x14ac:dyDescent="0.2">
      <c r="A76" s="441" t="s">
        <v>437</v>
      </c>
      <c r="B76" s="442" t="s">
        <v>438</v>
      </c>
      <c r="C76" s="443" t="s">
        <v>444</v>
      </c>
      <c r="D76" s="444" t="s">
        <v>445</v>
      </c>
      <c r="E76" s="443" t="s">
        <v>713</v>
      </c>
      <c r="F76" s="444" t="s">
        <v>714</v>
      </c>
      <c r="G76" s="443" t="s">
        <v>743</v>
      </c>
      <c r="H76" s="443" t="s">
        <v>744</v>
      </c>
      <c r="I76" s="446">
        <v>0.63999998569488525</v>
      </c>
      <c r="J76" s="446">
        <v>2000</v>
      </c>
      <c r="K76" s="447">
        <v>1282.5999755859375</v>
      </c>
    </row>
    <row r="77" spans="1:11" ht="14.45" customHeight="1" x14ac:dyDescent="0.2">
      <c r="A77" s="441" t="s">
        <v>437</v>
      </c>
      <c r="B77" s="442" t="s">
        <v>438</v>
      </c>
      <c r="C77" s="443" t="s">
        <v>444</v>
      </c>
      <c r="D77" s="444" t="s">
        <v>445</v>
      </c>
      <c r="E77" s="443" t="s">
        <v>713</v>
      </c>
      <c r="F77" s="444" t="s">
        <v>714</v>
      </c>
      <c r="G77" s="443" t="s">
        <v>745</v>
      </c>
      <c r="H77" s="443" t="s">
        <v>746</v>
      </c>
      <c r="I77" s="446">
        <v>0.76857143640518188</v>
      </c>
      <c r="J77" s="446">
        <v>5800</v>
      </c>
      <c r="K77" s="447">
        <v>4435.8600463867188</v>
      </c>
    </row>
    <row r="78" spans="1:11" ht="14.45" customHeight="1" x14ac:dyDescent="0.2">
      <c r="A78" s="441" t="s">
        <v>437</v>
      </c>
      <c r="B78" s="442" t="s">
        <v>438</v>
      </c>
      <c r="C78" s="443" t="s">
        <v>444</v>
      </c>
      <c r="D78" s="444" t="s">
        <v>445</v>
      </c>
      <c r="E78" s="443" t="s">
        <v>713</v>
      </c>
      <c r="F78" s="444" t="s">
        <v>714</v>
      </c>
      <c r="G78" s="443" t="s">
        <v>735</v>
      </c>
      <c r="H78" s="443" t="s">
        <v>747</v>
      </c>
      <c r="I78" s="446">
        <v>0.86499997973442078</v>
      </c>
      <c r="J78" s="446">
        <v>4000</v>
      </c>
      <c r="K78" s="447">
        <v>3460</v>
      </c>
    </row>
    <row r="79" spans="1:11" ht="14.45" customHeight="1" x14ac:dyDescent="0.2">
      <c r="A79" s="441" t="s">
        <v>437</v>
      </c>
      <c r="B79" s="442" t="s">
        <v>438</v>
      </c>
      <c r="C79" s="443" t="s">
        <v>444</v>
      </c>
      <c r="D79" s="444" t="s">
        <v>445</v>
      </c>
      <c r="E79" s="443" t="s">
        <v>713</v>
      </c>
      <c r="F79" s="444" t="s">
        <v>714</v>
      </c>
      <c r="G79" s="443" t="s">
        <v>737</v>
      </c>
      <c r="H79" s="443" t="s">
        <v>748</v>
      </c>
      <c r="I79" s="446">
        <v>0.95499998331069946</v>
      </c>
      <c r="J79" s="446">
        <v>12000</v>
      </c>
      <c r="K79" s="447">
        <v>11080</v>
      </c>
    </row>
    <row r="80" spans="1:11" ht="14.45" customHeight="1" x14ac:dyDescent="0.2">
      <c r="A80" s="441" t="s">
        <v>437</v>
      </c>
      <c r="B80" s="442" t="s">
        <v>438</v>
      </c>
      <c r="C80" s="443" t="s">
        <v>444</v>
      </c>
      <c r="D80" s="444" t="s">
        <v>445</v>
      </c>
      <c r="E80" s="443" t="s">
        <v>713</v>
      </c>
      <c r="F80" s="444" t="s">
        <v>714</v>
      </c>
      <c r="G80" s="443" t="s">
        <v>739</v>
      </c>
      <c r="H80" s="443" t="s">
        <v>749</v>
      </c>
      <c r="I80" s="446">
        <v>0.85000002384185791</v>
      </c>
      <c r="J80" s="446">
        <v>5000</v>
      </c>
      <c r="K80" s="447">
        <v>4250</v>
      </c>
    </row>
    <row r="81" spans="1:11" ht="14.45" customHeight="1" x14ac:dyDescent="0.2">
      <c r="A81" s="441" t="s">
        <v>437</v>
      </c>
      <c r="B81" s="442" t="s">
        <v>438</v>
      </c>
      <c r="C81" s="443" t="s">
        <v>444</v>
      </c>
      <c r="D81" s="444" t="s">
        <v>445</v>
      </c>
      <c r="E81" s="443" t="s">
        <v>713</v>
      </c>
      <c r="F81" s="444" t="s">
        <v>714</v>
      </c>
      <c r="G81" s="443" t="s">
        <v>750</v>
      </c>
      <c r="H81" s="443" t="s">
        <v>751</v>
      </c>
      <c r="I81" s="446">
        <v>0.73000001907348633</v>
      </c>
      <c r="J81" s="446">
        <v>600</v>
      </c>
      <c r="K81" s="447">
        <v>435.60000610351563</v>
      </c>
    </row>
    <row r="82" spans="1:11" ht="14.45" customHeight="1" x14ac:dyDescent="0.2">
      <c r="A82" s="441" t="s">
        <v>437</v>
      </c>
      <c r="B82" s="442" t="s">
        <v>438</v>
      </c>
      <c r="C82" s="443" t="s">
        <v>444</v>
      </c>
      <c r="D82" s="444" t="s">
        <v>445</v>
      </c>
      <c r="E82" s="443" t="s">
        <v>713</v>
      </c>
      <c r="F82" s="444" t="s">
        <v>714</v>
      </c>
      <c r="G82" s="443" t="s">
        <v>752</v>
      </c>
      <c r="H82" s="443" t="s">
        <v>753</v>
      </c>
      <c r="I82" s="446">
        <v>0.82999998331069946</v>
      </c>
      <c r="J82" s="446">
        <v>3000</v>
      </c>
      <c r="K82" s="447">
        <v>2490</v>
      </c>
    </row>
    <row r="83" spans="1:11" ht="14.45" customHeight="1" x14ac:dyDescent="0.2">
      <c r="A83" s="441" t="s">
        <v>437</v>
      </c>
      <c r="B83" s="442" t="s">
        <v>438</v>
      </c>
      <c r="C83" s="443" t="s">
        <v>444</v>
      </c>
      <c r="D83" s="444" t="s">
        <v>445</v>
      </c>
      <c r="E83" s="443" t="s">
        <v>754</v>
      </c>
      <c r="F83" s="444" t="s">
        <v>755</v>
      </c>
      <c r="G83" s="443" t="s">
        <v>756</v>
      </c>
      <c r="H83" s="443" t="s">
        <v>757</v>
      </c>
      <c r="I83" s="446">
        <v>335.41000366210938</v>
      </c>
      <c r="J83" s="446">
        <v>3</v>
      </c>
      <c r="K83" s="447">
        <v>1006.2300109863281</v>
      </c>
    </row>
    <row r="84" spans="1:11" ht="14.45" customHeight="1" x14ac:dyDescent="0.2">
      <c r="A84" s="441" t="s">
        <v>437</v>
      </c>
      <c r="B84" s="442" t="s">
        <v>438</v>
      </c>
      <c r="C84" s="443" t="s">
        <v>444</v>
      </c>
      <c r="D84" s="444" t="s">
        <v>445</v>
      </c>
      <c r="E84" s="443" t="s">
        <v>754</v>
      </c>
      <c r="F84" s="444" t="s">
        <v>755</v>
      </c>
      <c r="G84" s="443" t="s">
        <v>758</v>
      </c>
      <c r="H84" s="443" t="s">
        <v>759</v>
      </c>
      <c r="I84" s="446">
        <v>278.60000610351563</v>
      </c>
      <c r="J84" s="446">
        <v>1</v>
      </c>
      <c r="K84" s="447">
        <v>278.60000610351563</v>
      </c>
    </row>
    <row r="85" spans="1:11" ht="14.45" customHeight="1" x14ac:dyDescent="0.2">
      <c r="A85" s="441" t="s">
        <v>437</v>
      </c>
      <c r="B85" s="442" t="s">
        <v>438</v>
      </c>
      <c r="C85" s="443" t="s">
        <v>444</v>
      </c>
      <c r="D85" s="444" t="s">
        <v>445</v>
      </c>
      <c r="E85" s="443" t="s">
        <v>754</v>
      </c>
      <c r="F85" s="444" t="s">
        <v>755</v>
      </c>
      <c r="G85" s="443" t="s">
        <v>760</v>
      </c>
      <c r="H85" s="443" t="s">
        <v>761</v>
      </c>
      <c r="I85" s="446">
        <v>278.60000610351563</v>
      </c>
      <c r="J85" s="446">
        <v>1</v>
      </c>
      <c r="K85" s="447">
        <v>278.60000610351563</v>
      </c>
    </row>
    <row r="86" spans="1:11" ht="14.45" customHeight="1" x14ac:dyDescent="0.2">
      <c r="A86" s="441" t="s">
        <v>437</v>
      </c>
      <c r="B86" s="442" t="s">
        <v>438</v>
      </c>
      <c r="C86" s="443" t="s">
        <v>444</v>
      </c>
      <c r="D86" s="444" t="s">
        <v>445</v>
      </c>
      <c r="E86" s="443" t="s">
        <v>754</v>
      </c>
      <c r="F86" s="444" t="s">
        <v>755</v>
      </c>
      <c r="G86" s="443" t="s">
        <v>762</v>
      </c>
      <c r="H86" s="443" t="s">
        <v>763</v>
      </c>
      <c r="I86" s="446">
        <v>2705.2833658854165</v>
      </c>
      <c r="J86" s="446">
        <v>4</v>
      </c>
      <c r="K86" s="447">
        <v>10821.130126953125</v>
      </c>
    </row>
    <row r="87" spans="1:11" ht="14.45" customHeight="1" x14ac:dyDescent="0.2">
      <c r="A87" s="441" t="s">
        <v>437</v>
      </c>
      <c r="B87" s="442" t="s">
        <v>438</v>
      </c>
      <c r="C87" s="443" t="s">
        <v>444</v>
      </c>
      <c r="D87" s="444" t="s">
        <v>445</v>
      </c>
      <c r="E87" s="443" t="s">
        <v>754</v>
      </c>
      <c r="F87" s="444" t="s">
        <v>755</v>
      </c>
      <c r="G87" s="443" t="s">
        <v>764</v>
      </c>
      <c r="H87" s="443" t="s">
        <v>765</v>
      </c>
      <c r="I87" s="446">
        <v>1935.9175109863281</v>
      </c>
      <c r="J87" s="446">
        <v>4</v>
      </c>
      <c r="K87" s="447">
        <v>7743.6700439453125</v>
      </c>
    </row>
    <row r="88" spans="1:11" ht="14.45" customHeight="1" x14ac:dyDescent="0.2">
      <c r="A88" s="441" t="s">
        <v>437</v>
      </c>
      <c r="B88" s="442" t="s">
        <v>438</v>
      </c>
      <c r="C88" s="443" t="s">
        <v>444</v>
      </c>
      <c r="D88" s="444" t="s">
        <v>445</v>
      </c>
      <c r="E88" s="443" t="s">
        <v>754</v>
      </c>
      <c r="F88" s="444" t="s">
        <v>755</v>
      </c>
      <c r="G88" s="443" t="s">
        <v>766</v>
      </c>
      <c r="H88" s="443" t="s">
        <v>767</v>
      </c>
      <c r="I88" s="446">
        <v>41.369998931884766</v>
      </c>
      <c r="J88" s="446">
        <v>200</v>
      </c>
      <c r="K88" s="447">
        <v>8273.98046875</v>
      </c>
    </row>
    <row r="89" spans="1:11" ht="14.45" customHeight="1" x14ac:dyDescent="0.2">
      <c r="A89" s="441" t="s">
        <v>437</v>
      </c>
      <c r="B89" s="442" t="s">
        <v>438</v>
      </c>
      <c r="C89" s="443" t="s">
        <v>444</v>
      </c>
      <c r="D89" s="444" t="s">
        <v>445</v>
      </c>
      <c r="E89" s="443" t="s">
        <v>754</v>
      </c>
      <c r="F89" s="444" t="s">
        <v>755</v>
      </c>
      <c r="G89" s="443" t="s">
        <v>768</v>
      </c>
      <c r="H89" s="443" t="s">
        <v>769</v>
      </c>
      <c r="I89" s="446">
        <v>1380.33251953125</v>
      </c>
      <c r="J89" s="446">
        <v>7</v>
      </c>
      <c r="K89" s="447">
        <v>9475.030029296875</v>
      </c>
    </row>
    <row r="90" spans="1:11" ht="14.45" customHeight="1" x14ac:dyDescent="0.2">
      <c r="A90" s="441" t="s">
        <v>437</v>
      </c>
      <c r="B90" s="442" t="s">
        <v>438</v>
      </c>
      <c r="C90" s="443" t="s">
        <v>444</v>
      </c>
      <c r="D90" s="444" t="s">
        <v>445</v>
      </c>
      <c r="E90" s="443" t="s">
        <v>754</v>
      </c>
      <c r="F90" s="444" t="s">
        <v>755</v>
      </c>
      <c r="G90" s="443" t="s">
        <v>770</v>
      </c>
      <c r="H90" s="443" t="s">
        <v>771</v>
      </c>
      <c r="I90" s="446">
        <v>957.72666422526038</v>
      </c>
      <c r="J90" s="446">
        <v>4</v>
      </c>
      <c r="K90" s="447">
        <v>3896.6799926757813</v>
      </c>
    </row>
    <row r="91" spans="1:11" ht="14.45" customHeight="1" x14ac:dyDescent="0.2">
      <c r="A91" s="441" t="s">
        <v>437</v>
      </c>
      <c r="B91" s="442" t="s">
        <v>438</v>
      </c>
      <c r="C91" s="443" t="s">
        <v>444</v>
      </c>
      <c r="D91" s="444" t="s">
        <v>445</v>
      </c>
      <c r="E91" s="443" t="s">
        <v>754</v>
      </c>
      <c r="F91" s="444" t="s">
        <v>755</v>
      </c>
      <c r="G91" s="443" t="s">
        <v>772</v>
      </c>
      <c r="H91" s="443" t="s">
        <v>773</v>
      </c>
      <c r="I91" s="446">
        <v>590.44000244140625</v>
      </c>
      <c r="J91" s="446">
        <v>1</v>
      </c>
      <c r="K91" s="447">
        <v>590.44000244140625</v>
      </c>
    </row>
    <row r="92" spans="1:11" ht="14.45" customHeight="1" x14ac:dyDescent="0.2">
      <c r="A92" s="441" t="s">
        <v>437</v>
      </c>
      <c r="B92" s="442" t="s">
        <v>438</v>
      </c>
      <c r="C92" s="443" t="s">
        <v>444</v>
      </c>
      <c r="D92" s="444" t="s">
        <v>445</v>
      </c>
      <c r="E92" s="443" t="s">
        <v>754</v>
      </c>
      <c r="F92" s="444" t="s">
        <v>755</v>
      </c>
      <c r="G92" s="443" t="s">
        <v>774</v>
      </c>
      <c r="H92" s="443" t="s">
        <v>775</v>
      </c>
      <c r="I92" s="446">
        <v>203.98833465576172</v>
      </c>
      <c r="J92" s="446">
        <v>29</v>
      </c>
      <c r="K92" s="447">
        <v>5939.5599365234375</v>
      </c>
    </row>
    <row r="93" spans="1:11" ht="14.45" customHeight="1" x14ac:dyDescent="0.2">
      <c r="A93" s="441" t="s">
        <v>437</v>
      </c>
      <c r="B93" s="442" t="s">
        <v>438</v>
      </c>
      <c r="C93" s="443" t="s">
        <v>444</v>
      </c>
      <c r="D93" s="444" t="s">
        <v>445</v>
      </c>
      <c r="E93" s="443" t="s">
        <v>754</v>
      </c>
      <c r="F93" s="444" t="s">
        <v>755</v>
      </c>
      <c r="G93" s="443" t="s">
        <v>776</v>
      </c>
      <c r="H93" s="443" t="s">
        <v>777</v>
      </c>
      <c r="I93" s="446">
        <v>191.79400024414062</v>
      </c>
      <c r="J93" s="446">
        <v>29</v>
      </c>
      <c r="K93" s="447">
        <v>5292.8499755859375</v>
      </c>
    </row>
    <row r="94" spans="1:11" ht="14.45" customHeight="1" x14ac:dyDescent="0.2">
      <c r="A94" s="441" t="s">
        <v>437</v>
      </c>
      <c r="B94" s="442" t="s">
        <v>438</v>
      </c>
      <c r="C94" s="443" t="s">
        <v>444</v>
      </c>
      <c r="D94" s="444" t="s">
        <v>445</v>
      </c>
      <c r="E94" s="443" t="s">
        <v>754</v>
      </c>
      <c r="F94" s="444" t="s">
        <v>755</v>
      </c>
      <c r="G94" s="443" t="s">
        <v>778</v>
      </c>
      <c r="H94" s="443" t="s">
        <v>779</v>
      </c>
      <c r="I94" s="446">
        <v>2449.530029296875</v>
      </c>
      <c r="J94" s="446">
        <v>7</v>
      </c>
      <c r="K94" s="447">
        <v>17227.18017578125</v>
      </c>
    </row>
    <row r="95" spans="1:11" ht="14.45" customHeight="1" x14ac:dyDescent="0.2">
      <c r="A95" s="441" t="s">
        <v>437</v>
      </c>
      <c r="B95" s="442" t="s">
        <v>438</v>
      </c>
      <c r="C95" s="443" t="s">
        <v>444</v>
      </c>
      <c r="D95" s="444" t="s">
        <v>445</v>
      </c>
      <c r="E95" s="443" t="s">
        <v>754</v>
      </c>
      <c r="F95" s="444" t="s">
        <v>755</v>
      </c>
      <c r="G95" s="443" t="s">
        <v>780</v>
      </c>
      <c r="H95" s="443" t="s">
        <v>781</v>
      </c>
      <c r="I95" s="446">
        <v>1839.199951171875</v>
      </c>
      <c r="J95" s="446">
        <v>2</v>
      </c>
      <c r="K95" s="447">
        <v>3678.39990234375</v>
      </c>
    </row>
    <row r="96" spans="1:11" ht="14.45" customHeight="1" x14ac:dyDescent="0.2">
      <c r="A96" s="441" t="s">
        <v>437</v>
      </c>
      <c r="B96" s="442" t="s">
        <v>438</v>
      </c>
      <c r="C96" s="443" t="s">
        <v>444</v>
      </c>
      <c r="D96" s="444" t="s">
        <v>445</v>
      </c>
      <c r="E96" s="443" t="s">
        <v>754</v>
      </c>
      <c r="F96" s="444" t="s">
        <v>755</v>
      </c>
      <c r="G96" s="443" t="s">
        <v>782</v>
      </c>
      <c r="H96" s="443" t="s">
        <v>783</v>
      </c>
      <c r="I96" s="446">
        <v>1875.5</v>
      </c>
      <c r="J96" s="446">
        <v>2</v>
      </c>
      <c r="K96" s="447">
        <v>3751</v>
      </c>
    </row>
    <row r="97" spans="1:11" ht="14.45" customHeight="1" x14ac:dyDescent="0.2">
      <c r="A97" s="441" t="s">
        <v>437</v>
      </c>
      <c r="B97" s="442" t="s">
        <v>438</v>
      </c>
      <c r="C97" s="443" t="s">
        <v>444</v>
      </c>
      <c r="D97" s="444" t="s">
        <v>445</v>
      </c>
      <c r="E97" s="443" t="s">
        <v>754</v>
      </c>
      <c r="F97" s="444" t="s">
        <v>755</v>
      </c>
      <c r="G97" s="443" t="s">
        <v>784</v>
      </c>
      <c r="H97" s="443" t="s">
        <v>785</v>
      </c>
      <c r="I97" s="446">
        <v>1875.5</v>
      </c>
      <c r="J97" s="446">
        <v>2</v>
      </c>
      <c r="K97" s="447">
        <v>3751</v>
      </c>
    </row>
    <row r="98" spans="1:11" ht="14.45" customHeight="1" x14ac:dyDescent="0.2">
      <c r="A98" s="441" t="s">
        <v>437</v>
      </c>
      <c r="B98" s="442" t="s">
        <v>438</v>
      </c>
      <c r="C98" s="443" t="s">
        <v>444</v>
      </c>
      <c r="D98" s="444" t="s">
        <v>445</v>
      </c>
      <c r="E98" s="443" t="s">
        <v>754</v>
      </c>
      <c r="F98" s="444" t="s">
        <v>755</v>
      </c>
      <c r="G98" s="443" t="s">
        <v>786</v>
      </c>
      <c r="H98" s="443" t="s">
        <v>787</v>
      </c>
      <c r="I98" s="446">
        <v>1.3700000047683716</v>
      </c>
      <c r="J98" s="446">
        <v>200</v>
      </c>
      <c r="K98" s="447">
        <v>273.95999145507813</v>
      </c>
    </row>
    <row r="99" spans="1:11" ht="14.45" customHeight="1" x14ac:dyDescent="0.2">
      <c r="A99" s="441" t="s">
        <v>437</v>
      </c>
      <c r="B99" s="442" t="s">
        <v>438</v>
      </c>
      <c r="C99" s="443" t="s">
        <v>444</v>
      </c>
      <c r="D99" s="444" t="s">
        <v>445</v>
      </c>
      <c r="E99" s="443" t="s">
        <v>754</v>
      </c>
      <c r="F99" s="444" t="s">
        <v>755</v>
      </c>
      <c r="G99" s="443" t="s">
        <v>788</v>
      </c>
      <c r="H99" s="443" t="s">
        <v>789</v>
      </c>
      <c r="I99" s="446">
        <v>1.3700000047683716</v>
      </c>
      <c r="J99" s="446">
        <v>200</v>
      </c>
      <c r="K99" s="447">
        <v>273.989990234375</v>
      </c>
    </row>
    <row r="100" spans="1:11" ht="14.45" customHeight="1" x14ac:dyDescent="0.2">
      <c r="A100" s="441" t="s">
        <v>437</v>
      </c>
      <c r="B100" s="442" t="s">
        <v>438</v>
      </c>
      <c r="C100" s="443" t="s">
        <v>444</v>
      </c>
      <c r="D100" s="444" t="s">
        <v>445</v>
      </c>
      <c r="E100" s="443" t="s">
        <v>754</v>
      </c>
      <c r="F100" s="444" t="s">
        <v>755</v>
      </c>
      <c r="G100" s="443" t="s">
        <v>790</v>
      </c>
      <c r="H100" s="443" t="s">
        <v>791</v>
      </c>
      <c r="I100" s="446">
        <v>1.3700000047683716</v>
      </c>
      <c r="J100" s="446">
        <v>200</v>
      </c>
      <c r="K100" s="447">
        <v>273.95999145507813</v>
      </c>
    </row>
    <row r="101" spans="1:11" ht="14.45" customHeight="1" x14ac:dyDescent="0.2">
      <c r="A101" s="441" t="s">
        <v>437</v>
      </c>
      <c r="B101" s="442" t="s">
        <v>438</v>
      </c>
      <c r="C101" s="443" t="s">
        <v>444</v>
      </c>
      <c r="D101" s="444" t="s">
        <v>445</v>
      </c>
      <c r="E101" s="443" t="s">
        <v>754</v>
      </c>
      <c r="F101" s="444" t="s">
        <v>755</v>
      </c>
      <c r="G101" s="443" t="s">
        <v>792</v>
      </c>
      <c r="H101" s="443" t="s">
        <v>793</v>
      </c>
      <c r="I101" s="446">
        <v>1.3700000047683716</v>
      </c>
      <c r="J101" s="446">
        <v>300</v>
      </c>
      <c r="K101" s="447">
        <v>411.1099853515625</v>
      </c>
    </row>
    <row r="102" spans="1:11" ht="14.45" customHeight="1" x14ac:dyDescent="0.2">
      <c r="A102" s="441" t="s">
        <v>437</v>
      </c>
      <c r="B102" s="442" t="s">
        <v>438</v>
      </c>
      <c r="C102" s="443" t="s">
        <v>444</v>
      </c>
      <c r="D102" s="444" t="s">
        <v>445</v>
      </c>
      <c r="E102" s="443" t="s">
        <v>754</v>
      </c>
      <c r="F102" s="444" t="s">
        <v>755</v>
      </c>
      <c r="G102" s="443" t="s">
        <v>794</v>
      </c>
      <c r="H102" s="443" t="s">
        <v>795</v>
      </c>
      <c r="I102" s="446">
        <v>1.3700000047683716</v>
      </c>
      <c r="J102" s="446">
        <v>400</v>
      </c>
      <c r="K102" s="447">
        <v>547.97998046875</v>
      </c>
    </row>
    <row r="103" spans="1:11" ht="14.45" customHeight="1" x14ac:dyDescent="0.2">
      <c r="A103" s="441" t="s">
        <v>437</v>
      </c>
      <c r="B103" s="442" t="s">
        <v>438</v>
      </c>
      <c r="C103" s="443" t="s">
        <v>444</v>
      </c>
      <c r="D103" s="444" t="s">
        <v>445</v>
      </c>
      <c r="E103" s="443" t="s">
        <v>754</v>
      </c>
      <c r="F103" s="444" t="s">
        <v>755</v>
      </c>
      <c r="G103" s="443" t="s">
        <v>796</v>
      </c>
      <c r="H103" s="443" t="s">
        <v>797</v>
      </c>
      <c r="I103" s="446">
        <v>1.3700000047683716</v>
      </c>
      <c r="J103" s="446">
        <v>700</v>
      </c>
      <c r="K103" s="447">
        <v>958.97998046875</v>
      </c>
    </row>
    <row r="104" spans="1:11" ht="14.45" customHeight="1" x14ac:dyDescent="0.2">
      <c r="A104" s="441" t="s">
        <v>437</v>
      </c>
      <c r="B104" s="442" t="s">
        <v>438</v>
      </c>
      <c r="C104" s="443" t="s">
        <v>444</v>
      </c>
      <c r="D104" s="444" t="s">
        <v>445</v>
      </c>
      <c r="E104" s="443" t="s">
        <v>754</v>
      </c>
      <c r="F104" s="444" t="s">
        <v>755</v>
      </c>
      <c r="G104" s="443" t="s">
        <v>798</v>
      </c>
      <c r="H104" s="443" t="s">
        <v>799</v>
      </c>
      <c r="I104" s="446">
        <v>1.3779999971389771</v>
      </c>
      <c r="J104" s="446">
        <v>1000</v>
      </c>
      <c r="K104" s="447">
        <v>1377.9700012207031</v>
      </c>
    </row>
    <row r="105" spans="1:11" ht="14.45" customHeight="1" x14ac:dyDescent="0.2">
      <c r="A105" s="441" t="s">
        <v>437</v>
      </c>
      <c r="B105" s="442" t="s">
        <v>438</v>
      </c>
      <c r="C105" s="443" t="s">
        <v>444</v>
      </c>
      <c r="D105" s="444" t="s">
        <v>445</v>
      </c>
      <c r="E105" s="443" t="s">
        <v>754</v>
      </c>
      <c r="F105" s="444" t="s">
        <v>755</v>
      </c>
      <c r="G105" s="443" t="s">
        <v>800</v>
      </c>
      <c r="H105" s="443" t="s">
        <v>801</v>
      </c>
      <c r="I105" s="446">
        <v>1.3799999952316284</v>
      </c>
      <c r="J105" s="446">
        <v>800</v>
      </c>
      <c r="K105" s="447">
        <v>1103.9700012207031</v>
      </c>
    </row>
    <row r="106" spans="1:11" ht="14.45" customHeight="1" x14ac:dyDescent="0.2">
      <c r="A106" s="441" t="s">
        <v>437</v>
      </c>
      <c r="B106" s="442" t="s">
        <v>438</v>
      </c>
      <c r="C106" s="443" t="s">
        <v>444</v>
      </c>
      <c r="D106" s="444" t="s">
        <v>445</v>
      </c>
      <c r="E106" s="443" t="s">
        <v>754</v>
      </c>
      <c r="F106" s="444" t="s">
        <v>755</v>
      </c>
      <c r="G106" s="443" t="s">
        <v>802</v>
      </c>
      <c r="H106" s="443" t="s">
        <v>803</v>
      </c>
      <c r="I106" s="446">
        <v>1.3799999952316284</v>
      </c>
      <c r="J106" s="446">
        <v>900</v>
      </c>
      <c r="K106" s="447">
        <v>1240.9100036621094</v>
      </c>
    </row>
    <row r="107" spans="1:11" ht="14.45" customHeight="1" x14ac:dyDescent="0.2">
      <c r="A107" s="441" t="s">
        <v>437</v>
      </c>
      <c r="B107" s="442" t="s">
        <v>438</v>
      </c>
      <c r="C107" s="443" t="s">
        <v>444</v>
      </c>
      <c r="D107" s="444" t="s">
        <v>445</v>
      </c>
      <c r="E107" s="443" t="s">
        <v>754</v>
      </c>
      <c r="F107" s="444" t="s">
        <v>755</v>
      </c>
      <c r="G107" s="443" t="s">
        <v>804</v>
      </c>
      <c r="H107" s="443" t="s">
        <v>805</v>
      </c>
      <c r="I107" s="446">
        <v>1.3700000047683716</v>
      </c>
      <c r="J107" s="446">
        <v>400</v>
      </c>
      <c r="K107" s="447">
        <v>547.95001220703125</v>
      </c>
    </row>
    <row r="108" spans="1:11" ht="14.45" customHeight="1" x14ac:dyDescent="0.2">
      <c r="A108" s="441" t="s">
        <v>437</v>
      </c>
      <c r="B108" s="442" t="s">
        <v>438</v>
      </c>
      <c r="C108" s="443" t="s">
        <v>444</v>
      </c>
      <c r="D108" s="444" t="s">
        <v>445</v>
      </c>
      <c r="E108" s="443" t="s">
        <v>754</v>
      </c>
      <c r="F108" s="444" t="s">
        <v>755</v>
      </c>
      <c r="G108" s="443" t="s">
        <v>806</v>
      </c>
      <c r="H108" s="443" t="s">
        <v>807</v>
      </c>
      <c r="I108" s="446">
        <v>1.3700000047683716</v>
      </c>
      <c r="J108" s="446">
        <v>100</v>
      </c>
      <c r="K108" s="447">
        <v>137</v>
      </c>
    </row>
    <row r="109" spans="1:11" ht="14.45" customHeight="1" x14ac:dyDescent="0.2">
      <c r="A109" s="441" t="s">
        <v>437</v>
      </c>
      <c r="B109" s="442" t="s">
        <v>438</v>
      </c>
      <c r="C109" s="443" t="s">
        <v>444</v>
      </c>
      <c r="D109" s="444" t="s">
        <v>445</v>
      </c>
      <c r="E109" s="443" t="s">
        <v>754</v>
      </c>
      <c r="F109" s="444" t="s">
        <v>755</v>
      </c>
      <c r="G109" s="443" t="s">
        <v>808</v>
      </c>
      <c r="H109" s="443" t="s">
        <v>809</v>
      </c>
      <c r="I109" s="446">
        <v>2.619999885559082</v>
      </c>
      <c r="J109" s="446">
        <v>180</v>
      </c>
      <c r="K109" s="447">
        <v>471</v>
      </c>
    </row>
    <row r="110" spans="1:11" ht="14.45" customHeight="1" x14ac:dyDescent="0.2">
      <c r="A110" s="441" t="s">
        <v>437</v>
      </c>
      <c r="B110" s="442" t="s">
        <v>438</v>
      </c>
      <c r="C110" s="443" t="s">
        <v>444</v>
      </c>
      <c r="D110" s="444" t="s">
        <v>445</v>
      </c>
      <c r="E110" s="443" t="s">
        <v>754</v>
      </c>
      <c r="F110" s="444" t="s">
        <v>755</v>
      </c>
      <c r="G110" s="443" t="s">
        <v>810</v>
      </c>
      <c r="H110" s="443" t="s">
        <v>811</v>
      </c>
      <c r="I110" s="446">
        <v>2.619999885559082</v>
      </c>
      <c r="J110" s="446">
        <v>180</v>
      </c>
      <c r="K110" s="447">
        <v>470.989990234375</v>
      </c>
    </row>
    <row r="111" spans="1:11" ht="14.45" customHeight="1" x14ac:dyDescent="0.2">
      <c r="A111" s="441" t="s">
        <v>437</v>
      </c>
      <c r="B111" s="442" t="s">
        <v>438</v>
      </c>
      <c r="C111" s="443" t="s">
        <v>444</v>
      </c>
      <c r="D111" s="444" t="s">
        <v>445</v>
      </c>
      <c r="E111" s="443" t="s">
        <v>754</v>
      </c>
      <c r="F111" s="444" t="s">
        <v>755</v>
      </c>
      <c r="G111" s="443" t="s">
        <v>812</v>
      </c>
      <c r="H111" s="443" t="s">
        <v>813</v>
      </c>
      <c r="I111" s="446">
        <v>2.619999885559082</v>
      </c>
      <c r="J111" s="446">
        <v>60</v>
      </c>
      <c r="K111" s="447">
        <v>157.08999633789063</v>
      </c>
    </row>
    <row r="112" spans="1:11" ht="14.45" customHeight="1" x14ac:dyDescent="0.2">
      <c r="A112" s="441" t="s">
        <v>437</v>
      </c>
      <c r="B112" s="442" t="s">
        <v>438</v>
      </c>
      <c r="C112" s="443" t="s">
        <v>444</v>
      </c>
      <c r="D112" s="444" t="s">
        <v>445</v>
      </c>
      <c r="E112" s="443" t="s">
        <v>754</v>
      </c>
      <c r="F112" s="444" t="s">
        <v>755</v>
      </c>
      <c r="G112" s="443" t="s">
        <v>814</v>
      </c>
      <c r="H112" s="443" t="s">
        <v>815</v>
      </c>
      <c r="I112" s="446">
        <v>8.4499998092651367</v>
      </c>
      <c r="J112" s="446">
        <v>240</v>
      </c>
      <c r="K112" s="447">
        <v>2027.5400390625</v>
      </c>
    </row>
    <row r="113" spans="1:11" ht="14.45" customHeight="1" x14ac:dyDescent="0.2">
      <c r="A113" s="441" t="s">
        <v>437</v>
      </c>
      <c r="B113" s="442" t="s">
        <v>438</v>
      </c>
      <c r="C113" s="443" t="s">
        <v>444</v>
      </c>
      <c r="D113" s="444" t="s">
        <v>445</v>
      </c>
      <c r="E113" s="443" t="s">
        <v>754</v>
      </c>
      <c r="F113" s="444" t="s">
        <v>755</v>
      </c>
      <c r="G113" s="443" t="s">
        <v>816</v>
      </c>
      <c r="H113" s="443" t="s">
        <v>817</v>
      </c>
      <c r="I113" s="446">
        <v>13.899999618530273</v>
      </c>
      <c r="J113" s="446">
        <v>240</v>
      </c>
      <c r="K113" s="447">
        <v>3336.97998046875</v>
      </c>
    </row>
    <row r="114" spans="1:11" ht="14.45" customHeight="1" x14ac:dyDescent="0.2">
      <c r="A114" s="441" t="s">
        <v>437</v>
      </c>
      <c r="B114" s="442" t="s">
        <v>438</v>
      </c>
      <c r="C114" s="443" t="s">
        <v>444</v>
      </c>
      <c r="D114" s="444" t="s">
        <v>445</v>
      </c>
      <c r="E114" s="443" t="s">
        <v>754</v>
      </c>
      <c r="F114" s="444" t="s">
        <v>755</v>
      </c>
      <c r="G114" s="443" t="s">
        <v>818</v>
      </c>
      <c r="H114" s="443" t="s">
        <v>819</v>
      </c>
      <c r="I114" s="446">
        <v>13.404999732971191</v>
      </c>
      <c r="J114" s="446">
        <v>360</v>
      </c>
      <c r="K114" s="447">
        <v>4886.3800048828125</v>
      </c>
    </row>
    <row r="115" spans="1:11" ht="14.45" customHeight="1" x14ac:dyDescent="0.2">
      <c r="A115" s="441" t="s">
        <v>437</v>
      </c>
      <c r="B115" s="442" t="s">
        <v>438</v>
      </c>
      <c r="C115" s="443" t="s">
        <v>444</v>
      </c>
      <c r="D115" s="444" t="s">
        <v>445</v>
      </c>
      <c r="E115" s="443" t="s">
        <v>754</v>
      </c>
      <c r="F115" s="444" t="s">
        <v>755</v>
      </c>
      <c r="G115" s="443" t="s">
        <v>820</v>
      </c>
      <c r="H115" s="443" t="s">
        <v>821</v>
      </c>
      <c r="I115" s="446">
        <v>257.66500234603882</v>
      </c>
      <c r="J115" s="446">
        <v>63</v>
      </c>
      <c r="K115" s="447">
        <v>2027.5400390625</v>
      </c>
    </row>
    <row r="116" spans="1:11" ht="14.45" customHeight="1" x14ac:dyDescent="0.2">
      <c r="A116" s="441" t="s">
        <v>437</v>
      </c>
      <c r="B116" s="442" t="s">
        <v>438</v>
      </c>
      <c r="C116" s="443" t="s">
        <v>444</v>
      </c>
      <c r="D116" s="444" t="s">
        <v>445</v>
      </c>
      <c r="E116" s="443" t="s">
        <v>754</v>
      </c>
      <c r="F116" s="444" t="s">
        <v>755</v>
      </c>
      <c r="G116" s="443" t="s">
        <v>822</v>
      </c>
      <c r="H116" s="443" t="s">
        <v>823</v>
      </c>
      <c r="I116" s="446">
        <v>228.70500183105469</v>
      </c>
      <c r="J116" s="446">
        <v>2</v>
      </c>
      <c r="K116" s="447">
        <v>457.41000366210938</v>
      </c>
    </row>
    <row r="117" spans="1:11" ht="14.45" customHeight="1" x14ac:dyDescent="0.2">
      <c r="A117" s="441" t="s">
        <v>437</v>
      </c>
      <c r="B117" s="442" t="s">
        <v>438</v>
      </c>
      <c r="C117" s="443" t="s">
        <v>444</v>
      </c>
      <c r="D117" s="444" t="s">
        <v>445</v>
      </c>
      <c r="E117" s="443" t="s">
        <v>754</v>
      </c>
      <c r="F117" s="444" t="s">
        <v>755</v>
      </c>
      <c r="G117" s="443" t="s">
        <v>790</v>
      </c>
      <c r="H117" s="443" t="s">
        <v>824</v>
      </c>
      <c r="I117" s="446">
        <v>1.3700000047683716</v>
      </c>
      <c r="J117" s="446">
        <v>100</v>
      </c>
      <c r="K117" s="447">
        <v>137</v>
      </c>
    </row>
    <row r="118" spans="1:11" ht="14.45" customHeight="1" x14ac:dyDescent="0.2">
      <c r="A118" s="441" t="s">
        <v>437</v>
      </c>
      <c r="B118" s="442" t="s">
        <v>438</v>
      </c>
      <c r="C118" s="443" t="s">
        <v>444</v>
      </c>
      <c r="D118" s="444" t="s">
        <v>445</v>
      </c>
      <c r="E118" s="443" t="s">
        <v>754</v>
      </c>
      <c r="F118" s="444" t="s">
        <v>755</v>
      </c>
      <c r="G118" s="443" t="s">
        <v>825</v>
      </c>
      <c r="H118" s="443" t="s">
        <v>826</v>
      </c>
      <c r="I118" s="446">
        <v>1.3700000047683716</v>
      </c>
      <c r="J118" s="446">
        <v>300</v>
      </c>
      <c r="K118" s="447">
        <v>410.989990234375</v>
      </c>
    </row>
    <row r="119" spans="1:11" ht="14.45" customHeight="1" x14ac:dyDescent="0.2">
      <c r="A119" s="441" t="s">
        <v>437</v>
      </c>
      <c r="B119" s="442" t="s">
        <v>438</v>
      </c>
      <c r="C119" s="443" t="s">
        <v>444</v>
      </c>
      <c r="D119" s="444" t="s">
        <v>445</v>
      </c>
      <c r="E119" s="443" t="s">
        <v>754</v>
      </c>
      <c r="F119" s="444" t="s">
        <v>755</v>
      </c>
      <c r="G119" s="443" t="s">
        <v>827</v>
      </c>
      <c r="H119" s="443" t="s">
        <v>828</v>
      </c>
      <c r="I119" s="446">
        <v>1.3700000047683716</v>
      </c>
      <c r="J119" s="446">
        <v>100</v>
      </c>
      <c r="K119" s="447">
        <v>137</v>
      </c>
    </row>
    <row r="120" spans="1:11" ht="14.45" customHeight="1" x14ac:dyDescent="0.2">
      <c r="A120" s="441" t="s">
        <v>437</v>
      </c>
      <c r="B120" s="442" t="s">
        <v>438</v>
      </c>
      <c r="C120" s="443" t="s">
        <v>444</v>
      </c>
      <c r="D120" s="444" t="s">
        <v>445</v>
      </c>
      <c r="E120" s="443" t="s">
        <v>754</v>
      </c>
      <c r="F120" s="444" t="s">
        <v>755</v>
      </c>
      <c r="G120" s="443" t="s">
        <v>829</v>
      </c>
      <c r="H120" s="443" t="s">
        <v>830</v>
      </c>
      <c r="I120" s="446">
        <v>1.4099999666213989</v>
      </c>
      <c r="J120" s="446">
        <v>200</v>
      </c>
      <c r="K120" s="447">
        <v>282</v>
      </c>
    </row>
    <row r="121" spans="1:11" ht="14.45" customHeight="1" x14ac:dyDescent="0.2">
      <c r="A121" s="441" t="s">
        <v>437</v>
      </c>
      <c r="B121" s="442" t="s">
        <v>438</v>
      </c>
      <c r="C121" s="443" t="s">
        <v>444</v>
      </c>
      <c r="D121" s="444" t="s">
        <v>445</v>
      </c>
      <c r="E121" s="443" t="s">
        <v>754</v>
      </c>
      <c r="F121" s="444" t="s">
        <v>755</v>
      </c>
      <c r="G121" s="443" t="s">
        <v>831</v>
      </c>
      <c r="H121" s="443" t="s">
        <v>832</v>
      </c>
      <c r="I121" s="446">
        <v>1.4099999666213989</v>
      </c>
      <c r="J121" s="446">
        <v>200</v>
      </c>
      <c r="K121" s="447">
        <v>282</v>
      </c>
    </row>
    <row r="122" spans="1:11" ht="14.45" customHeight="1" x14ac:dyDescent="0.2">
      <c r="A122" s="441" t="s">
        <v>437</v>
      </c>
      <c r="B122" s="442" t="s">
        <v>438</v>
      </c>
      <c r="C122" s="443" t="s">
        <v>444</v>
      </c>
      <c r="D122" s="444" t="s">
        <v>445</v>
      </c>
      <c r="E122" s="443" t="s">
        <v>754</v>
      </c>
      <c r="F122" s="444" t="s">
        <v>755</v>
      </c>
      <c r="G122" s="443" t="s">
        <v>833</v>
      </c>
      <c r="H122" s="443" t="s">
        <v>834</v>
      </c>
      <c r="I122" s="446">
        <v>1.3700000047683716</v>
      </c>
      <c r="J122" s="446">
        <v>300</v>
      </c>
      <c r="K122" s="447">
        <v>410.989990234375</v>
      </c>
    </row>
    <row r="123" spans="1:11" ht="14.45" customHeight="1" x14ac:dyDescent="0.2">
      <c r="A123" s="441" t="s">
        <v>437</v>
      </c>
      <c r="B123" s="442" t="s">
        <v>438</v>
      </c>
      <c r="C123" s="443" t="s">
        <v>444</v>
      </c>
      <c r="D123" s="444" t="s">
        <v>445</v>
      </c>
      <c r="E123" s="443" t="s">
        <v>754</v>
      </c>
      <c r="F123" s="444" t="s">
        <v>755</v>
      </c>
      <c r="G123" s="443" t="s">
        <v>835</v>
      </c>
      <c r="H123" s="443" t="s">
        <v>836</v>
      </c>
      <c r="I123" s="446">
        <v>228.69000244140625</v>
      </c>
      <c r="J123" s="446">
        <v>2</v>
      </c>
      <c r="K123" s="447">
        <v>457.3800048828125</v>
      </c>
    </row>
    <row r="124" spans="1:11" ht="14.45" customHeight="1" x14ac:dyDescent="0.2">
      <c r="A124" s="441" t="s">
        <v>437</v>
      </c>
      <c r="B124" s="442" t="s">
        <v>438</v>
      </c>
      <c r="C124" s="443" t="s">
        <v>444</v>
      </c>
      <c r="D124" s="444" t="s">
        <v>445</v>
      </c>
      <c r="E124" s="443" t="s">
        <v>754</v>
      </c>
      <c r="F124" s="444" t="s">
        <v>755</v>
      </c>
      <c r="G124" s="443" t="s">
        <v>837</v>
      </c>
      <c r="H124" s="443" t="s">
        <v>838</v>
      </c>
      <c r="I124" s="446">
        <v>228.69000244140625</v>
      </c>
      <c r="J124" s="446">
        <v>2</v>
      </c>
      <c r="K124" s="447">
        <v>457.3800048828125</v>
      </c>
    </row>
    <row r="125" spans="1:11" ht="14.45" customHeight="1" x14ac:dyDescent="0.2">
      <c r="A125" s="441" t="s">
        <v>437</v>
      </c>
      <c r="B125" s="442" t="s">
        <v>438</v>
      </c>
      <c r="C125" s="443" t="s">
        <v>444</v>
      </c>
      <c r="D125" s="444" t="s">
        <v>445</v>
      </c>
      <c r="E125" s="443" t="s">
        <v>754</v>
      </c>
      <c r="F125" s="444" t="s">
        <v>755</v>
      </c>
      <c r="G125" s="443" t="s">
        <v>839</v>
      </c>
      <c r="H125" s="443" t="s">
        <v>840</v>
      </c>
      <c r="I125" s="446">
        <v>228.69000244140625</v>
      </c>
      <c r="J125" s="446">
        <v>2</v>
      </c>
      <c r="K125" s="447">
        <v>457.3800048828125</v>
      </c>
    </row>
    <row r="126" spans="1:11" ht="14.45" customHeight="1" x14ac:dyDescent="0.2">
      <c r="A126" s="441" t="s">
        <v>437</v>
      </c>
      <c r="B126" s="442" t="s">
        <v>438</v>
      </c>
      <c r="C126" s="443" t="s">
        <v>444</v>
      </c>
      <c r="D126" s="444" t="s">
        <v>445</v>
      </c>
      <c r="E126" s="443" t="s">
        <v>754</v>
      </c>
      <c r="F126" s="444" t="s">
        <v>755</v>
      </c>
      <c r="G126" s="443" t="s">
        <v>841</v>
      </c>
      <c r="H126" s="443" t="s">
        <v>842</v>
      </c>
      <c r="I126" s="446">
        <v>228.69000244140625</v>
      </c>
      <c r="J126" s="446">
        <v>2</v>
      </c>
      <c r="K126" s="447">
        <v>457.3800048828125</v>
      </c>
    </row>
    <row r="127" spans="1:11" ht="14.45" customHeight="1" x14ac:dyDescent="0.2">
      <c r="A127" s="441" t="s">
        <v>437</v>
      </c>
      <c r="B127" s="442" t="s">
        <v>438</v>
      </c>
      <c r="C127" s="443" t="s">
        <v>444</v>
      </c>
      <c r="D127" s="444" t="s">
        <v>445</v>
      </c>
      <c r="E127" s="443" t="s">
        <v>754</v>
      </c>
      <c r="F127" s="444" t="s">
        <v>755</v>
      </c>
      <c r="G127" s="443" t="s">
        <v>843</v>
      </c>
      <c r="H127" s="443" t="s">
        <v>844</v>
      </c>
      <c r="I127" s="446">
        <v>228.69000244140625</v>
      </c>
      <c r="J127" s="446">
        <v>4</v>
      </c>
      <c r="K127" s="447">
        <v>914.760009765625</v>
      </c>
    </row>
    <row r="128" spans="1:11" ht="14.45" customHeight="1" x14ac:dyDescent="0.2">
      <c r="A128" s="441" t="s">
        <v>437</v>
      </c>
      <c r="B128" s="442" t="s">
        <v>438</v>
      </c>
      <c r="C128" s="443" t="s">
        <v>444</v>
      </c>
      <c r="D128" s="444" t="s">
        <v>445</v>
      </c>
      <c r="E128" s="443" t="s">
        <v>754</v>
      </c>
      <c r="F128" s="444" t="s">
        <v>755</v>
      </c>
      <c r="G128" s="443" t="s">
        <v>796</v>
      </c>
      <c r="H128" s="443" t="s">
        <v>845</v>
      </c>
      <c r="I128" s="446">
        <v>1.3700000047683716</v>
      </c>
      <c r="J128" s="446">
        <v>100</v>
      </c>
      <c r="K128" s="447">
        <v>137</v>
      </c>
    </row>
    <row r="129" spans="1:11" ht="14.45" customHeight="1" x14ac:dyDescent="0.2">
      <c r="A129" s="441" t="s">
        <v>437</v>
      </c>
      <c r="B129" s="442" t="s">
        <v>438</v>
      </c>
      <c r="C129" s="443" t="s">
        <v>444</v>
      </c>
      <c r="D129" s="444" t="s">
        <v>445</v>
      </c>
      <c r="E129" s="443" t="s">
        <v>754</v>
      </c>
      <c r="F129" s="444" t="s">
        <v>755</v>
      </c>
      <c r="G129" s="443" t="s">
        <v>846</v>
      </c>
      <c r="H129" s="443" t="s">
        <v>847</v>
      </c>
      <c r="I129" s="446">
        <v>1.4099999666213989</v>
      </c>
      <c r="J129" s="446">
        <v>100</v>
      </c>
      <c r="K129" s="447">
        <v>141.00999450683594</v>
      </c>
    </row>
    <row r="130" spans="1:11" ht="14.45" customHeight="1" x14ac:dyDescent="0.2">
      <c r="A130" s="441" t="s">
        <v>437</v>
      </c>
      <c r="B130" s="442" t="s">
        <v>438</v>
      </c>
      <c r="C130" s="443" t="s">
        <v>444</v>
      </c>
      <c r="D130" s="444" t="s">
        <v>445</v>
      </c>
      <c r="E130" s="443" t="s">
        <v>754</v>
      </c>
      <c r="F130" s="444" t="s">
        <v>755</v>
      </c>
      <c r="G130" s="443" t="s">
        <v>792</v>
      </c>
      <c r="H130" s="443" t="s">
        <v>848</v>
      </c>
      <c r="I130" s="446">
        <v>1.3700000047683716</v>
      </c>
      <c r="J130" s="446">
        <v>100</v>
      </c>
      <c r="K130" s="447">
        <v>137</v>
      </c>
    </row>
    <row r="131" spans="1:11" ht="14.45" customHeight="1" x14ac:dyDescent="0.2">
      <c r="A131" s="441" t="s">
        <v>437</v>
      </c>
      <c r="B131" s="442" t="s">
        <v>438</v>
      </c>
      <c r="C131" s="443" t="s">
        <v>444</v>
      </c>
      <c r="D131" s="444" t="s">
        <v>445</v>
      </c>
      <c r="E131" s="443" t="s">
        <v>754</v>
      </c>
      <c r="F131" s="444" t="s">
        <v>755</v>
      </c>
      <c r="G131" s="443" t="s">
        <v>794</v>
      </c>
      <c r="H131" s="443" t="s">
        <v>849</v>
      </c>
      <c r="I131" s="446">
        <v>1.3700000047683716</v>
      </c>
      <c r="J131" s="446">
        <v>100</v>
      </c>
      <c r="K131" s="447">
        <v>137</v>
      </c>
    </row>
    <row r="132" spans="1:11" ht="14.45" customHeight="1" x14ac:dyDescent="0.2">
      <c r="A132" s="441" t="s">
        <v>437</v>
      </c>
      <c r="B132" s="442" t="s">
        <v>438</v>
      </c>
      <c r="C132" s="443" t="s">
        <v>444</v>
      </c>
      <c r="D132" s="444" t="s">
        <v>445</v>
      </c>
      <c r="E132" s="443" t="s">
        <v>754</v>
      </c>
      <c r="F132" s="444" t="s">
        <v>755</v>
      </c>
      <c r="G132" s="443" t="s">
        <v>850</v>
      </c>
      <c r="H132" s="443" t="s">
        <v>851</v>
      </c>
      <c r="I132" s="446">
        <v>133.10000610351563</v>
      </c>
      <c r="J132" s="446">
        <v>1</v>
      </c>
      <c r="K132" s="447">
        <v>133.10000610351563</v>
      </c>
    </row>
    <row r="133" spans="1:11" ht="14.45" customHeight="1" x14ac:dyDescent="0.2">
      <c r="A133" s="441" t="s">
        <v>437</v>
      </c>
      <c r="B133" s="442" t="s">
        <v>438</v>
      </c>
      <c r="C133" s="443" t="s">
        <v>444</v>
      </c>
      <c r="D133" s="444" t="s">
        <v>445</v>
      </c>
      <c r="E133" s="443" t="s">
        <v>754</v>
      </c>
      <c r="F133" s="444" t="s">
        <v>755</v>
      </c>
      <c r="G133" s="443" t="s">
        <v>852</v>
      </c>
      <c r="H133" s="443" t="s">
        <v>853</v>
      </c>
      <c r="I133" s="446">
        <v>2.380000114440918</v>
      </c>
      <c r="J133" s="446">
        <v>600</v>
      </c>
      <c r="K133" s="447">
        <v>1430.1600036621094</v>
      </c>
    </row>
    <row r="134" spans="1:11" ht="14.45" customHeight="1" x14ac:dyDescent="0.2">
      <c r="A134" s="441" t="s">
        <v>437</v>
      </c>
      <c r="B134" s="442" t="s">
        <v>438</v>
      </c>
      <c r="C134" s="443" t="s">
        <v>444</v>
      </c>
      <c r="D134" s="444" t="s">
        <v>445</v>
      </c>
      <c r="E134" s="443" t="s">
        <v>754</v>
      </c>
      <c r="F134" s="444" t="s">
        <v>755</v>
      </c>
      <c r="G134" s="443" t="s">
        <v>854</v>
      </c>
      <c r="H134" s="443" t="s">
        <v>855</v>
      </c>
      <c r="I134" s="446">
        <v>3254.719970703125</v>
      </c>
      <c r="J134" s="446">
        <v>2</v>
      </c>
      <c r="K134" s="447">
        <v>6509.43994140625</v>
      </c>
    </row>
    <row r="135" spans="1:11" ht="14.45" customHeight="1" x14ac:dyDescent="0.2">
      <c r="A135" s="441" t="s">
        <v>437</v>
      </c>
      <c r="B135" s="442" t="s">
        <v>438</v>
      </c>
      <c r="C135" s="443" t="s">
        <v>444</v>
      </c>
      <c r="D135" s="444" t="s">
        <v>445</v>
      </c>
      <c r="E135" s="443" t="s">
        <v>754</v>
      </c>
      <c r="F135" s="444" t="s">
        <v>755</v>
      </c>
      <c r="G135" s="443" t="s">
        <v>856</v>
      </c>
      <c r="H135" s="443" t="s">
        <v>857</v>
      </c>
      <c r="I135" s="446">
        <v>76.230003356933594</v>
      </c>
      <c r="J135" s="446">
        <v>5</v>
      </c>
      <c r="K135" s="447">
        <v>381.14999389648438</v>
      </c>
    </row>
    <row r="136" spans="1:11" ht="14.45" customHeight="1" x14ac:dyDescent="0.2">
      <c r="A136" s="441" t="s">
        <v>437</v>
      </c>
      <c r="B136" s="442" t="s">
        <v>438</v>
      </c>
      <c r="C136" s="443" t="s">
        <v>444</v>
      </c>
      <c r="D136" s="444" t="s">
        <v>445</v>
      </c>
      <c r="E136" s="443" t="s">
        <v>754</v>
      </c>
      <c r="F136" s="444" t="s">
        <v>755</v>
      </c>
      <c r="G136" s="443" t="s">
        <v>858</v>
      </c>
      <c r="H136" s="443" t="s">
        <v>859</v>
      </c>
      <c r="I136" s="446">
        <v>76.230003356933594</v>
      </c>
      <c r="J136" s="446">
        <v>5</v>
      </c>
      <c r="K136" s="447">
        <v>381.14999389648438</v>
      </c>
    </row>
    <row r="137" spans="1:11" ht="14.45" customHeight="1" x14ac:dyDescent="0.2">
      <c r="A137" s="441" t="s">
        <v>437</v>
      </c>
      <c r="B137" s="442" t="s">
        <v>438</v>
      </c>
      <c r="C137" s="443" t="s">
        <v>444</v>
      </c>
      <c r="D137" s="444" t="s">
        <v>445</v>
      </c>
      <c r="E137" s="443" t="s">
        <v>754</v>
      </c>
      <c r="F137" s="444" t="s">
        <v>755</v>
      </c>
      <c r="G137" s="443" t="s">
        <v>860</v>
      </c>
      <c r="H137" s="443" t="s">
        <v>861</v>
      </c>
      <c r="I137" s="446">
        <v>76.230003356933594</v>
      </c>
      <c r="J137" s="446">
        <v>5</v>
      </c>
      <c r="K137" s="447">
        <v>381.14999389648438</v>
      </c>
    </row>
    <row r="138" spans="1:11" ht="14.45" customHeight="1" x14ac:dyDescent="0.2">
      <c r="A138" s="441" t="s">
        <v>437</v>
      </c>
      <c r="B138" s="442" t="s">
        <v>438</v>
      </c>
      <c r="C138" s="443" t="s">
        <v>444</v>
      </c>
      <c r="D138" s="444" t="s">
        <v>445</v>
      </c>
      <c r="E138" s="443" t="s">
        <v>754</v>
      </c>
      <c r="F138" s="444" t="s">
        <v>755</v>
      </c>
      <c r="G138" s="443" t="s">
        <v>862</v>
      </c>
      <c r="H138" s="443" t="s">
        <v>863</v>
      </c>
      <c r="I138" s="446">
        <v>76.230003356933594</v>
      </c>
      <c r="J138" s="446">
        <v>5</v>
      </c>
      <c r="K138" s="447">
        <v>381.14999389648438</v>
      </c>
    </row>
    <row r="139" spans="1:11" ht="14.45" customHeight="1" x14ac:dyDescent="0.2">
      <c r="A139" s="441" t="s">
        <v>437</v>
      </c>
      <c r="B139" s="442" t="s">
        <v>438</v>
      </c>
      <c r="C139" s="443" t="s">
        <v>444</v>
      </c>
      <c r="D139" s="444" t="s">
        <v>445</v>
      </c>
      <c r="E139" s="443" t="s">
        <v>754</v>
      </c>
      <c r="F139" s="444" t="s">
        <v>755</v>
      </c>
      <c r="G139" s="443" t="s">
        <v>864</v>
      </c>
      <c r="H139" s="443" t="s">
        <v>865</v>
      </c>
      <c r="I139" s="446">
        <v>76.230003356933594</v>
      </c>
      <c r="J139" s="446">
        <v>5</v>
      </c>
      <c r="K139" s="447">
        <v>381.14999389648438</v>
      </c>
    </row>
    <row r="140" spans="1:11" ht="14.45" customHeight="1" x14ac:dyDescent="0.2">
      <c r="A140" s="441" t="s">
        <v>437</v>
      </c>
      <c r="B140" s="442" t="s">
        <v>438</v>
      </c>
      <c r="C140" s="443" t="s">
        <v>444</v>
      </c>
      <c r="D140" s="444" t="s">
        <v>445</v>
      </c>
      <c r="E140" s="443" t="s">
        <v>754</v>
      </c>
      <c r="F140" s="444" t="s">
        <v>755</v>
      </c>
      <c r="G140" s="443" t="s">
        <v>866</v>
      </c>
      <c r="H140" s="443" t="s">
        <v>867</v>
      </c>
      <c r="I140" s="446">
        <v>76.230003356933594</v>
      </c>
      <c r="J140" s="446">
        <v>5</v>
      </c>
      <c r="K140" s="447">
        <v>381.14999389648438</v>
      </c>
    </row>
    <row r="141" spans="1:11" ht="14.45" customHeight="1" x14ac:dyDescent="0.2">
      <c r="A141" s="441" t="s">
        <v>437</v>
      </c>
      <c r="B141" s="442" t="s">
        <v>438</v>
      </c>
      <c r="C141" s="443" t="s">
        <v>444</v>
      </c>
      <c r="D141" s="444" t="s">
        <v>445</v>
      </c>
      <c r="E141" s="443" t="s">
        <v>754</v>
      </c>
      <c r="F141" s="444" t="s">
        <v>755</v>
      </c>
      <c r="G141" s="443" t="s">
        <v>868</v>
      </c>
      <c r="H141" s="443" t="s">
        <v>869</v>
      </c>
      <c r="I141" s="446">
        <v>76.230003356933594</v>
      </c>
      <c r="J141" s="446">
        <v>5</v>
      </c>
      <c r="K141" s="447">
        <v>381.14999389648438</v>
      </c>
    </row>
    <row r="142" spans="1:11" ht="14.45" customHeight="1" x14ac:dyDescent="0.2">
      <c r="A142" s="441" t="s">
        <v>437</v>
      </c>
      <c r="B142" s="442" t="s">
        <v>438</v>
      </c>
      <c r="C142" s="443" t="s">
        <v>444</v>
      </c>
      <c r="D142" s="444" t="s">
        <v>445</v>
      </c>
      <c r="E142" s="443" t="s">
        <v>754</v>
      </c>
      <c r="F142" s="444" t="s">
        <v>755</v>
      </c>
      <c r="G142" s="443" t="s">
        <v>870</v>
      </c>
      <c r="H142" s="443" t="s">
        <v>871</v>
      </c>
      <c r="I142" s="446">
        <v>76.230003356933594</v>
      </c>
      <c r="J142" s="446">
        <v>5</v>
      </c>
      <c r="K142" s="447">
        <v>381.14999389648438</v>
      </c>
    </row>
    <row r="143" spans="1:11" ht="14.45" customHeight="1" x14ac:dyDescent="0.2">
      <c r="A143" s="441" t="s">
        <v>437</v>
      </c>
      <c r="B143" s="442" t="s">
        <v>438</v>
      </c>
      <c r="C143" s="443" t="s">
        <v>444</v>
      </c>
      <c r="D143" s="444" t="s">
        <v>445</v>
      </c>
      <c r="E143" s="443" t="s">
        <v>754</v>
      </c>
      <c r="F143" s="444" t="s">
        <v>755</v>
      </c>
      <c r="G143" s="443" t="s">
        <v>872</v>
      </c>
      <c r="H143" s="443" t="s">
        <v>873</v>
      </c>
      <c r="I143" s="446">
        <v>128.25999450683594</v>
      </c>
      <c r="J143" s="446">
        <v>5</v>
      </c>
      <c r="K143" s="447">
        <v>641.29998779296875</v>
      </c>
    </row>
    <row r="144" spans="1:11" ht="14.45" customHeight="1" x14ac:dyDescent="0.2">
      <c r="A144" s="441" t="s">
        <v>437</v>
      </c>
      <c r="B144" s="442" t="s">
        <v>438</v>
      </c>
      <c r="C144" s="443" t="s">
        <v>444</v>
      </c>
      <c r="D144" s="444" t="s">
        <v>445</v>
      </c>
      <c r="E144" s="443" t="s">
        <v>754</v>
      </c>
      <c r="F144" s="444" t="s">
        <v>755</v>
      </c>
      <c r="G144" s="443" t="s">
        <v>874</v>
      </c>
      <c r="H144" s="443" t="s">
        <v>875</v>
      </c>
      <c r="I144" s="446">
        <v>95.589996337890625</v>
      </c>
      <c r="J144" s="446">
        <v>20</v>
      </c>
      <c r="K144" s="447">
        <v>1911.800048828125</v>
      </c>
    </row>
    <row r="145" spans="1:11" ht="14.45" customHeight="1" x14ac:dyDescent="0.2">
      <c r="A145" s="441" t="s">
        <v>437</v>
      </c>
      <c r="B145" s="442" t="s">
        <v>438</v>
      </c>
      <c r="C145" s="443" t="s">
        <v>444</v>
      </c>
      <c r="D145" s="444" t="s">
        <v>445</v>
      </c>
      <c r="E145" s="443" t="s">
        <v>754</v>
      </c>
      <c r="F145" s="444" t="s">
        <v>755</v>
      </c>
      <c r="G145" s="443" t="s">
        <v>876</v>
      </c>
      <c r="H145" s="443" t="s">
        <v>877</v>
      </c>
      <c r="I145" s="446">
        <v>1427.719970703125</v>
      </c>
      <c r="J145" s="446">
        <v>2</v>
      </c>
      <c r="K145" s="447">
        <v>2855.429931640625</v>
      </c>
    </row>
    <row r="146" spans="1:11" ht="14.45" customHeight="1" x14ac:dyDescent="0.2">
      <c r="A146" s="441" t="s">
        <v>437</v>
      </c>
      <c r="B146" s="442" t="s">
        <v>438</v>
      </c>
      <c r="C146" s="443" t="s">
        <v>444</v>
      </c>
      <c r="D146" s="444" t="s">
        <v>445</v>
      </c>
      <c r="E146" s="443" t="s">
        <v>754</v>
      </c>
      <c r="F146" s="444" t="s">
        <v>755</v>
      </c>
      <c r="G146" s="443" t="s">
        <v>878</v>
      </c>
      <c r="H146" s="443" t="s">
        <v>879</v>
      </c>
      <c r="I146" s="446">
        <v>3664.3250732421875</v>
      </c>
      <c r="J146" s="446">
        <v>2</v>
      </c>
      <c r="K146" s="447">
        <v>7328.650146484375</v>
      </c>
    </row>
    <row r="147" spans="1:11" ht="14.45" customHeight="1" x14ac:dyDescent="0.2">
      <c r="A147" s="441" t="s">
        <v>437</v>
      </c>
      <c r="B147" s="442" t="s">
        <v>438</v>
      </c>
      <c r="C147" s="443" t="s">
        <v>444</v>
      </c>
      <c r="D147" s="444" t="s">
        <v>445</v>
      </c>
      <c r="E147" s="443" t="s">
        <v>754</v>
      </c>
      <c r="F147" s="444" t="s">
        <v>755</v>
      </c>
      <c r="G147" s="443" t="s">
        <v>880</v>
      </c>
      <c r="H147" s="443" t="s">
        <v>881</v>
      </c>
      <c r="I147" s="446">
        <v>590</v>
      </c>
      <c r="J147" s="446">
        <v>6</v>
      </c>
      <c r="K147" s="447">
        <v>3539.97998046875</v>
      </c>
    </row>
    <row r="148" spans="1:11" ht="14.45" customHeight="1" x14ac:dyDescent="0.2">
      <c r="A148" s="441" t="s">
        <v>437</v>
      </c>
      <c r="B148" s="442" t="s">
        <v>438</v>
      </c>
      <c r="C148" s="443" t="s">
        <v>444</v>
      </c>
      <c r="D148" s="444" t="s">
        <v>445</v>
      </c>
      <c r="E148" s="443" t="s">
        <v>754</v>
      </c>
      <c r="F148" s="444" t="s">
        <v>755</v>
      </c>
      <c r="G148" s="443" t="s">
        <v>882</v>
      </c>
      <c r="H148" s="443" t="s">
        <v>883</v>
      </c>
      <c r="I148" s="446">
        <v>10369.919921875</v>
      </c>
      <c r="J148" s="446">
        <v>1</v>
      </c>
      <c r="K148" s="447">
        <v>10369.919921875</v>
      </c>
    </row>
    <row r="149" spans="1:11" ht="14.45" customHeight="1" x14ac:dyDescent="0.2">
      <c r="A149" s="441" t="s">
        <v>437</v>
      </c>
      <c r="B149" s="442" t="s">
        <v>438</v>
      </c>
      <c r="C149" s="443" t="s">
        <v>444</v>
      </c>
      <c r="D149" s="444" t="s">
        <v>445</v>
      </c>
      <c r="E149" s="443" t="s">
        <v>754</v>
      </c>
      <c r="F149" s="444" t="s">
        <v>755</v>
      </c>
      <c r="G149" s="443" t="s">
        <v>884</v>
      </c>
      <c r="H149" s="443" t="s">
        <v>885</v>
      </c>
      <c r="I149" s="446">
        <v>160.55000305175781</v>
      </c>
      <c r="J149" s="446">
        <v>2</v>
      </c>
      <c r="K149" s="447">
        <v>321.10000610351563</v>
      </c>
    </row>
    <row r="150" spans="1:11" ht="14.45" customHeight="1" x14ac:dyDescent="0.2">
      <c r="A150" s="441" t="s">
        <v>437</v>
      </c>
      <c r="B150" s="442" t="s">
        <v>438</v>
      </c>
      <c r="C150" s="443" t="s">
        <v>444</v>
      </c>
      <c r="D150" s="444" t="s">
        <v>445</v>
      </c>
      <c r="E150" s="443" t="s">
        <v>754</v>
      </c>
      <c r="F150" s="444" t="s">
        <v>755</v>
      </c>
      <c r="G150" s="443" t="s">
        <v>886</v>
      </c>
      <c r="H150" s="443" t="s">
        <v>887</v>
      </c>
      <c r="I150" s="446">
        <v>1442.5600179036458</v>
      </c>
      <c r="J150" s="446">
        <v>3</v>
      </c>
      <c r="K150" s="447">
        <v>4327.6800537109375</v>
      </c>
    </row>
    <row r="151" spans="1:11" ht="14.45" customHeight="1" x14ac:dyDescent="0.2">
      <c r="A151" s="441" t="s">
        <v>437</v>
      </c>
      <c r="B151" s="442" t="s">
        <v>438</v>
      </c>
      <c r="C151" s="443" t="s">
        <v>444</v>
      </c>
      <c r="D151" s="444" t="s">
        <v>445</v>
      </c>
      <c r="E151" s="443" t="s">
        <v>754</v>
      </c>
      <c r="F151" s="444" t="s">
        <v>755</v>
      </c>
      <c r="G151" s="443" t="s">
        <v>888</v>
      </c>
      <c r="H151" s="443" t="s">
        <v>889</v>
      </c>
      <c r="I151" s="446">
        <v>98.860000610351563</v>
      </c>
      <c r="J151" s="446">
        <v>20</v>
      </c>
      <c r="K151" s="447">
        <v>1977.1399993896484</v>
      </c>
    </row>
    <row r="152" spans="1:11" ht="14.45" customHeight="1" x14ac:dyDescent="0.2">
      <c r="A152" s="441" t="s">
        <v>437</v>
      </c>
      <c r="B152" s="442" t="s">
        <v>438</v>
      </c>
      <c r="C152" s="443" t="s">
        <v>444</v>
      </c>
      <c r="D152" s="444" t="s">
        <v>445</v>
      </c>
      <c r="E152" s="443" t="s">
        <v>754</v>
      </c>
      <c r="F152" s="444" t="s">
        <v>755</v>
      </c>
      <c r="G152" s="443" t="s">
        <v>890</v>
      </c>
      <c r="H152" s="443" t="s">
        <v>891</v>
      </c>
      <c r="I152" s="446">
        <v>21.510000228881836</v>
      </c>
      <c r="J152" s="446">
        <v>350</v>
      </c>
      <c r="K152" s="447">
        <v>7567.43994140625</v>
      </c>
    </row>
    <row r="153" spans="1:11" ht="14.45" customHeight="1" x14ac:dyDescent="0.2">
      <c r="A153" s="441" t="s">
        <v>437</v>
      </c>
      <c r="B153" s="442" t="s">
        <v>438</v>
      </c>
      <c r="C153" s="443" t="s">
        <v>444</v>
      </c>
      <c r="D153" s="444" t="s">
        <v>445</v>
      </c>
      <c r="E153" s="443" t="s">
        <v>754</v>
      </c>
      <c r="F153" s="444" t="s">
        <v>755</v>
      </c>
      <c r="G153" s="443" t="s">
        <v>892</v>
      </c>
      <c r="H153" s="443" t="s">
        <v>893</v>
      </c>
      <c r="I153" s="446">
        <v>21.510000228881836</v>
      </c>
      <c r="J153" s="446">
        <v>550</v>
      </c>
      <c r="K153" s="447">
        <v>11907.289794921875</v>
      </c>
    </row>
    <row r="154" spans="1:11" ht="14.45" customHeight="1" x14ac:dyDescent="0.2">
      <c r="A154" s="441" t="s">
        <v>437</v>
      </c>
      <c r="B154" s="442" t="s">
        <v>438</v>
      </c>
      <c r="C154" s="443" t="s">
        <v>444</v>
      </c>
      <c r="D154" s="444" t="s">
        <v>445</v>
      </c>
      <c r="E154" s="443" t="s">
        <v>754</v>
      </c>
      <c r="F154" s="444" t="s">
        <v>755</v>
      </c>
      <c r="G154" s="443" t="s">
        <v>894</v>
      </c>
      <c r="H154" s="443" t="s">
        <v>895</v>
      </c>
      <c r="I154" s="446">
        <v>1311.47998046875</v>
      </c>
      <c r="J154" s="446">
        <v>2</v>
      </c>
      <c r="K154" s="447">
        <v>2622.9599609375</v>
      </c>
    </row>
    <row r="155" spans="1:11" ht="14.45" customHeight="1" x14ac:dyDescent="0.2">
      <c r="A155" s="441" t="s">
        <v>437</v>
      </c>
      <c r="B155" s="442" t="s">
        <v>438</v>
      </c>
      <c r="C155" s="443" t="s">
        <v>444</v>
      </c>
      <c r="D155" s="444" t="s">
        <v>445</v>
      </c>
      <c r="E155" s="443" t="s">
        <v>754</v>
      </c>
      <c r="F155" s="444" t="s">
        <v>755</v>
      </c>
      <c r="G155" s="443" t="s">
        <v>896</v>
      </c>
      <c r="H155" s="443" t="s">
        <v>897</v>
      </c>
      <c r="I155" s="446">
        <v>625.16998291015625</v>
      </c>
      <c r="J155" s="446">
        <v>12</v>
      </c>
      <c r="K155" s="447">
        <v>7502</v>
      </c>
    </row>
    <row r="156" spans="1:11" ht="14.45" customHeight="1" x14ac:dyDescent="0.2">
      <c r="A156" s="441" t="s">
        <v>437</v>
      </c>
      <c r="B156" s="442" t="s">
        <v>438</v>
      </c>
      <c r="C156" s="443" t="s">
        <v>444</v>
      </c>
      <c r="D156" s="444" t="s">
        <v>445</v>
      </c>
      <c r="E156" s="443" t="s">
        <v>754</v>
      </c>
      <c r="F156" s="444" t="s">
        <v>755</v>
      </c>
      <c r="G156" s="443" t="s">
        <v>898</v>
      </c>
      <c r="H156" s="443" t="s">
        <v>899</v>
      </c>
      <c r="I156" s="446">
        <v>11.979999542236328</v>
      </c>
      <c r="J156" s="446">
        <v>100</v>
      </c>
      <c r="K156" s="447">
        <v>1198</v>
      </c>
    </row>
    <row r="157" spans="1:11" ht="14.45" customHeight="1" x14ac:dyDescent="0.2">
      <c r="A157" s="441" t="s">
        <v>437</v>
      </c>
      <c r="B157" s="442" t="s">
        <v>438</v>
      </c>
      <c r="C157" s="443" t="s">
        <v>444</v>
      </c>
      <c r="D157" s="444" t="s">
        <v>445</v>
      </c>
      <c r="E157" s="443" t="s">
        <v>754</v>
      </c>
      <c r="F157" s="444" t="s">
        <v>755</v>
      </c>
      <c r="G157" s="443" t="s">
        <v>900</v>
      </c>
      <c r="H157" s="443" t="s">
        <v>901</v>
      </c>
      <c r="I157" s="446">
        <v>141.55999755859375</v>
      </c>
      <c r="J157" s="446">
        <v>10</v>
      </c>
      <c r="K157" s="447">
        <v>1415.5799560546875</v>
      </c>
    </row>
    <row r="158" spans="1:11" ht="14.45" customHeight="1" x14ac:dyDescent="0.2">
      <c r="A158" s="441" t="s">
        <v>437</v>
      </c>
      <c r="B158" s="442" t="s">
        <v>438</v>
      </c>
      <c r="C158" s="443" t="s">
        <v>444</v>
      </c>
      <c r="D158" s="444" t="s">
        <v>445</v>
      </c>
      <c r="E158" s="443" t="s">
        <v>754</v>
      </c>
      <c r="F158" s="444" t="s">
        <v>755</v>
      </c>
      <c r="G158" s="443" t="s">
        <v>902</v>
      </c>
      <c r="H158" s="443" t="s">
        <v>903</v>
      </c>
      <c r="I158" s="446">
        <v>141.55999755859375</v>
      </c>
      <c r="J158" s="446">
        <v>20</v>
      </c>
      <c r="K158" s="447">
        <v>2831.1599426269531</v>
      </c>
    </row>
    <row r="159" spans="1:11" ht="14.45" customHeight="1" x14ac:dyDescent="0.2">
      <c r="A159" s="441" t="s">
        <v>437</v>
      </c>
      <c r="B159" s="442" t="s">
        <v>438</v>
      </c>
      <c r="C159" s="443" t="s">
        <v>444</v>
      </c>
      <c r="D159" s="444" t="s">
        <v>445</v>
      </c>
      <c r="E159" s="443" t="s">
        <v>754</v>
      </c>
      <c r="F159" s="444" t="s">
        <v>755</v>
      </c>
      <c r="G159" s="443" t="s">
        <v>904</v>
      </c>
      <c r="H159" s="443" t="s">
        <v>905</v>
      </c>
      <c r="I159" s="446">
        <v>141.55999755859375</v>
      </c>
      <c r="J159" s="446">
        <v>5</v>
      </c>
      <c r="K159" s="447">
        <v>707.78997802734375</v>
      </c>
    </row>
    <row r="160" spans="1:11" ht="14.45" customHeight="1" x14ac:dyDescent="0.2">
      <c r="A160" s="441" t="s">
        <v>437</v>
      </c>
      <c r="B160" s="442" t="s">
        <v>438</v>
      </c>
      <c r="C160" s="443" t="s">
        <v>444</v>
      </c>
      <c r="D160" s="444" t="s">
        <v>445</v>
      </c>
      <c r="E160" s="443" t="s">
        <v>754</v>
      </c>
      <c r="F160" s="444" t="s">
        <v>755</v>
      </c>
      <c r="G160" s="443" t="s">
        <v>906</v>
      </c>
      <c r="H160" s="443" t="s">
        <v>907</v>
      </c>
      <c r="I160" s="446">
        <v>2691</v>
      </c>
      <c r="J160" s="446">
        <v>1</v>
      </c>
      <c r="K160" s="447">
        <v>2691</v>
      </c>
    </row>
    <row r="161" spans="1:11" ht="14.45" customHeight="1" x14ac:dyDescent="0.2">
      <c r="A161" s="441" t="s">
        <v>437</v>
      </c>
      <c r="B161" s="442" t="s">
        <v>438</v>
      </c>
      <c r="C161" s="443" t="s">
        <v>444</v>
      </c>
      <c r="D161" s="444" t="s">
        <v>445</v>
      </c>
      <c r="E161" s="443" t="s">
        <v>754</v>
      </c>
      <c r="F161" s="444" t="s">
        <v>755</v>
      </c>
      <c r="G161" s="443" t="s">
        <v>908</v>
      </c>
      <c r="H161" s="443" t="s">
        <v>909</v>
      </c>
      <c r="I161" s="446">
        <v>110</v>
      </c>
      <c r="J161" s="446">
        <v>10</v>
      </c>
      <c r="K161" s="447">
        <v>1100</v>
      </c>
    </row>
    <row r="162" spans="1:11" ht="14.45" customHeight="1" x14ac:dyDescent="0.2">
      <c r="A162" s="441" t="s">
        <v>437</v>
      </c>
      <c r="B162" s="442" t="s">
        <v>438</v>
      </c>
      <c r="C162" s="443" t="s">
        <v>444</v>
      </c>
      <c r="D162" s="444" t="s">
        <v>445</v>
      </c>
      <c r="E162" s="443" t="s">
        <v>754</v>
      </c>
      <c r="F162" s="444" t="s">
        <v>755</v>
      </c>
      <c r="G162" s="443" t="s">
        <v>910</v>
      </c>
      <c r="H162" s="443" t="s">
        <v>911</v>
      </c>
      <c r="I162" s="446">
        <v>50.750000953674316</v>
      </c>
      <c r="J162" s="446">
        <v>130</v>
      </c>
      <c r="K162" s="447">
        <v>6670.030029296875</v>
      </c>
    </row>
    <row r="163" spans="1:11" ht="14.45" customHeight="1" x14ac:dyDescent="0.2">
      <c r="A163" s="441" t="s">
        <v>437</v>
      </c>
      <c r="B163" s="442" t="s">
        <v>438</v>
      </c>
      <c r="C163" s="443" t="s">
        <v>444</v>
      </c>
      <c r="D163" s="444" t="s">
        <v>445</v>
      </c>
      <c r="E163" s="443" t="s">
        <v>754</v>
      </c>
      <c r="F163" s="444" t="s">
        <v>755</v>
      </c>
      <c r="G163" s="443" t="s">
        <v>912</v>
      </c>
      <c r="H163" s="443" t="s">
        <v>913</v>
      </c>
      <c r="I163" s="446">
        <v>51.475000381469727</v>
      </c>
      <c r="J163" s="446">
        <v>60</v>
      </c>
      <c r="K163" s="447">
        <v>3132.010009765625</v>
      </c>
    </row>
    <row r="164" spans="1:11" ht="14.45" customHeight="1" x14ac:dyDescent="0.2">
      <c r="A164" s="441" t="s">
        <v>437</v>
      </c>
      <c r="B164" s="442" t="s">
        <v>438</v>
      </c>
      <c r="C164" s="443" t="s">
        <v>444</v>
      </c>
      <c r="D164" s="444" t="s">
        <v>445</v>
      </c>
      <c r="E164" s="443" t="s">
        <v>754</v>
      </c>
      <c r="F164" s="444" t="s">
        <v>755</v>
      </c>
      <c r="G164" s="443" t="s">
        <v>914</v>
      </c>
      <c r="H164" s="443" t="s">
        <v>915</v>
      </c>
      <c r="I164" s="446">
        <v>51.78571483067104</v>
      </c>
      <c r="J164" s="446">
        <v>170</v>
      </c>
      <c r="K164" s="447">
        <v>8613.050048828125</v>
      </c>
    </row>
    <row r="165" spans="1:11" ht="14.45" customHeight="1" x14ac:dyDescent="0.2">
      <c r="A165" s="441" t="s">
        <v>437</v>
      </c>
      <c r="B165" s="442" t="s">
        <v>438</v>
      </c>
      <c r="C165" s="443" t="s">
        <v>444</v>
      </c>
      <c r="D165" s="444" t="s">
        <v>445</v>
      </c>
      <c r="E165" s="443" t="s">
        <v>754</v>
      </c>
      <c r="F165" s="444" t="s">
        <v>755</v>
      </c>
      <c r="G165" s="443" t="s">
        <v>916</v>
      </c>
      <c r="H165" s="443" t="s">
        <v>917</v>
      </c>
      <c r="I165" s="446">
        <v>51.23333422342936</v>
      </c>
      <c r="J165" s="446">
        <v>160</v>
      </c>
      <c r="K165" s="447">
        <v>8062.050048828125</v>
      </c>
    </row>
    <row r="166" spans="1:11" ht="14.45" customHeight="1" x14ac:dyDescent="0.2">
      <c r="A166" s="441" t="s">
        <v>437</v>
      </c>
      <c r="B166" s="442" t="s">
        <v>438</v>
      </c>
      <c r="C166" s="443" t="s">
        <v>444</v>
      </c>
      <c r="D166" s="444" t="s">
        <v>445</v>
      </c>
      <c r="E166" s="443" t="s">
        <v>754</v>
      </c>
      <c r="F166" s="444" t="s">
        <v>755</v>
      </c>
      <c r="G166" s="443" t="s">
        <v>918</v>
      </c>
      <c r="H166" s="443" t="s">
        <v>919</v>
      </c>
      <c r="I166" s="446">
        <v>52.2</v>
      </c>
      <c r="J166" s="446">
        <v>100</v>
      </c>
      <c r="K166" s="447">
        <v>5220.030029296875</v>
      </c>
    </row>
    <row r="167" spans="1:11" ht="14.45" customHeight="1" x14ac:dyDescent="0.2">
      <c r="A167" s="441" t="s">
        <v>437</v>
      </c>
      <c r="B167" s="442" t="s">
        <v>438</v>
      </c>
      <c r="C167" s="443" t="s">
        <v>444</v>
      </c>
      <c r="D167" s="444" t="s">
        <v>445</v>
      </c>
      <c r="E167" s="443" t="s">
        <v>754</v>
      </c>
      <c r="F167" s="444" t="s">
        <v>755</v>
      </c>
      <c r="G167" s="443" t="s">
        <v>920</v>
      </c>
      <c r="H167" s="443" t="s">
        <v>921</v>
      </c>
      <c r="I167" s="446">
        <v>53.166666666666664</v>
      </c>
      <c r="J167" s="446">
        <v>90</v>
      </c>
      <c r="K167" s="447">
        <v>4843.030029296875</v>
      </c>
    </row>
    <row r="168" spans="1:11" ht="14.45" customHeight="1" x14ac:dyDescent="0.2">
      <c r="A168" s="441" t="s">
        <v>437</v>
      </c>
      <c r="B168" s="442" t="s">
        <v>438</v>
      </c>
      <c r="C168" s="443" t="s">
        <v>444</v>
      </c>
      <c r="D168" s="444" t="s">
        <v>445</v>
      </c>
      <c r="E168" s="443" t="s">
        <v>754</v>
      </c>
      <c r="F168" s="444" t="s">
        <v>755</v>
      </c>
      <c r="G168" s="443" t="s">
        <v>922</v>
      </c>
      <c r="H168" s="443" t="s">
        <v>923</v>
      </c>
      <c r="I168" s="446">
        <v>50.750000635782875</v>
      </c>
      <c r="J168" s="446">
        <v>80</v>
      </c>
      <c r="K168" s="447">
        <v>4060.030029296875</v>
      </c>
    </row>
    <row r="169" spans="1:11" ht="14.45" customHeight="1" x14ac:dyDescent="0.2">
      <c r="A169" s="441" t="s">
        <v>437</v>
      </c>
      <c r="B169" s="442" t="s">
        <v>438</v>
      </c>
      <c r="C169" s="443" t="s">
        <v>444</v>
      </c>
      <c r="D169" s="444" t="s">
        <v>445</v>
      </c>
      <c r="E169" s="443" t="s">
        <v>754</v>
      </c>
      <c r="F169" s="444" t="s">
        <v>755</v>
      </c>
      <c r="G169" s="443" t="s">
        <v>924</v>
      </c>
      <c r="H169" s="443" t="s">
        <v>925</v>
      </c>
      <c r="I169" s="446">
        <v>50.460000610351564</v>
      </c>
      <c r="J169" s="446">
        <v>90</v>
      </c>
      <c r="K169" s="447">
        <v>4466.030029296875</v>
      </c>
    </row>
    <row r="170" spans="1:11" ht="14.45" customHeight="1" x14ac:dyDescent="0.2">
      <c r="A170" s="441" t="s">
        <v>437</v>
      </c>
      <c r="B170" s="442" t="s">
        <v>438</v>
      </c>
      <c r="C170" s="443" t="s">
        <v>444</v>
      </c>
      <c r="D170" s="444" t="s">
        <v>445</v>
      </c>
      <c r="E170" s="443" t="s">
        <v>754</v>
      </c>
      <c r="F170" s="444" t="s">
        <v>755</v>
      </c>
      <c r="G170" s="443" t="s">
        <v>926</v>
      </c>
      <c r="H170" s="443" t="s">
        <v>927</v>
      </c>
      <c r="I170" s="446">
        <v>77.400000000000006</v>
      </c>
      <c r="J170" s="446">
        <v>130</v>
      </c>
      <c r="K170" s="447">
        <v>10260.010009765625</v>
      </c>
    </row>
    <row r="171" spans="1:11" ht="14.45" customHeight="1" x14ac:dyDescent="0.2">
      <c r="A171" s="441" t="s">
        <v>437</v>
      </c>
      <c r="B171" s="442" t="s">
        <v>438</v>
      </c>
      <c r="C171" s="443" t="s">
        <v>444</v>
      </c>
      <c r="D171" s="444" t="s">
        <v>445</v>
      </c>
      <c r="E171" s="443" t="s">
        <v>754</v>
      </c>
      <c r="F171" s="444" t="s">
        <v>755</v>
      </c>
      <c r="G171" s="443" t="s">
        <v>928</v>
      </c>
      <c r="H171" s="443" t="s">
        <v>929</v>
      </c>
      <c r="I171" s="446">
        <v>81</v>
      </c>
      <c r="J171" s="446">
        <v>50</v>
      </c>
      <c r="K171" s="447">
        <v>4050</v>
      </c>
    </row>
    <row r="172" spans="1:11" ht="14.45" customHeight="1" x14ac:dyDescent="0.2">
      <c r="A172" s="441" t="s">
        <v>437</v>
      </c>
      <c r="B172" s="442" t="s">
        <v>438</v>
      </c>
      <c r="C172" s="443" t="s">
        <v>444</v>
      </c>
      <c r="D172" s="444" t="s">
        <v>445</v>
      </c>
      <c r="E172" s="443" t="s">
        <v>754</v>
      </c>
      <c r="F172" s="444" t="s">
        <v>755</v>
      </c>
      <c r="G172" s="443" t="s">
        <v>930</v>
      </c>
      <c r="H172" s="443" t="s">
        <v>931</v>
      </c>
      <c r="I172" s="446">
        <v>81</v>
      </c>
      <c r="J172" s="446">
        <v>20</v>
      </c>
      <c r="K172" s="447">
        <v>1620</v>
      </c>
    </row>
    <row r="173" spans="1:11" ht="14.45" customHeight="1" x14ac:dyDescent="0.2">
      <c r="A173" s="441" t="s">
        <v>437</v>
      </c>
      <c r="B173" s="442" t="s">
        <v>438</v>
      </c>
      <c r="C173" s="443" t="s">
        <v>444</v>
      </c>
      <c r="D173" s="444" t="s">
        <v>445</v>
      </c>
      <c r="E173" s="443" t="s">
        <v>754</v>
      </c>
      <c r="F173" s="444" t="s">
        <v>755</v>
      </c>
      <c r="G173" s="443" t="s">
        <v>932</v>
      </c>
      <c r="H173" s="443" t="s">
        <v>933</v>
      </c>
      <c r="I173" s="446">
        <v>81</v>
      </c>
      <c r="J173" s="446">
        <v>30</v>
      </c>
      <c r="K173" s="447">
        <v>2430</v>
      </c>
    </row>
    <row r="174" spans="1:11" ht="14.45" customHeight="1" x14ac:dyDescent="0.2">
      <c r="A174" s="441" t="s">
        <v>437</v>
      </c>
      <c r="B174" s="442" t="s">
        <v>438</v>
      </c>
      <c r="C174" s="443" t="s">
        <v>444</v>
      </c>
      <c r="D174" s="444" t="s">
        <v>445</v>
      </c>
      <c r="E174" s="443" t="s">
        <v>754</v>
      </c>
      <c r="F174" s="444" t="s">
        <v>755</v>
      </c>
      <c r="G174" s="443" t="s">
        <v>934</v>
      </c>
      <c r="H174" s="443" t="s">
        <v>935</v>
      </c>
      <c r="I174" s="446">
        <v>72</v>
      </c>
      <c r="J174" s="446">
        <v>20</v>
      </c>
      <c r="K174" s="447">
        <v>1440.010009765625</v>
      </c>
    </row>
    <row r="175" spans="1:11" ht="14.45" customHeight="1" x14ac:dyDescent="0.2">
      <c r="A175" s="441" t="s">
        <v>437</v>
      </c>
      <c r="B175" s="442" t="s">
        <v>438</v>
      </c>
      <c r="C175" s="443" t="s">
        <v>444</v>
      </c>
      <c r="D175" s="444" t="s">
        <v>445</v>
      </c>
      <c r="E175" s="443" t="s">
        <v>754</v>
      </c>
      <c r="F175" s="444" t="s">
        <v>755</v>
      </c>
      <c r="G175" s="443" t="s">
        <v>936</v>
      </c>
      <c r="H175" s="443" t="s">
        <v>937</v>
      </c>
      <c r="I175" s="446">
        <v>76.5</v>
      </c>
      <c r="J175" s="446">
        <v>20</v>
      </c>
      <c r="K175" s="447">
        <v>1530</v>
      </c>
    </row>
    <row r="176" spans="1:11" ht="14.45" customHeight="1" x14ac:dyDescent="0.2">
      <c r="A176" s="441" t="s">
        <v>437</v>
      </c>
      <c r="B176" s="442" t="s">
        <v>438</v>
      </c>
      <c r="C176" s="443" t="s">
        <v>444</v>
      </c>
      <c r="D176" s="444" t="s">
        <v>445</v>
      </c>
      <c r="E176" s="443" t="s">
        <v>754</v>
      </c>
      <c r="F176" s="444" t="s">
        <v>755</v>
      </c>
      <c r="G176" s="443" t="s">
        <v>938</v>
      </c>
      <c r="H176" s="443" t="s">
        <v>939</v>
      </c>
      <c r="I176" s="446">
        <v>76.5</v>
      </c>
      <c r="J176" s="446">
        <v>20</v>
      </c>
      <c r="K176" s="447">
        <v>1530</v>
      </c>
    </row>
    <row r="177" spans="1:11" ht="14.45" customHeight="1" x14ac:dyDescent="0.2">
      <c r="A177" s="441" t="s">
        <v>437</v>
      </c>
      <c r="B177" s="442" t="s">
        <v>438</v>
      </c>
      <c r="C177" s="443" t="s">
        <v>444</v>
      </c>
      <c r="D177" s="444" t="s">
        <v>445</v>
      </c>
      <c r="E177" s="443" t="s">
        <v>754</v>
      </c>
      <c r="F177" s="444" t="s">
        <v>755</v>
      </c>
      <c r="G177" s="443" t="s">
        <v>940</v>
      </c>
      <c r="H177" s="443" t="s">
        <v>941</v>
      </c>
      <c r="I177" s="446">
        <v>14.449999809265137</v>
      </c>
      <c r="J177" s="446">
        <v>150</v>
      </c>
      <c r="K177" s="447">
        <v>2167.550048828125</v>
      </c>
    </row>
    <row r="178" spans="1:11" ht="14.45" customHeight="1" x14ac:dyDescent="0.2">
      <c r="A178" s="441" t="s">
        <v>437</v>
      </c>
      <c r="B178" s="442" t="s">
        <v>438</v>
      </c>
      <c r="C178" s="443" t="s">
        <v>444</v>
      </c>
      <c r="D178" s="444" t="s">
        <v>445</v>
      </c>
      <c r="E178" s="443" t="s">
        <v>754</v>
      </c>
      <c r="F178" s="444" t="s">
        <v>755</v>
      </c>
      <c r="G178" s="443" t="s">
        <v>942</v>
      </c>
      <c r="H178" s="443" t="s">
        <v>943</v>
      </c>
      <c r="I178" s="446">
        <v>14.449999809265137</v>
      </c>
      <c r="J178" s="446">
        <v>200</v>
      </c>
      <c r="K178" s="447">
        <v>2890.080078125</v>
      </c>
    </row>
    <row r="179" spans="1:11" ht="14.45" customHeight="1" x14ac:dyDescent="0.2">
      <c r="A179" s="441" t="s">
        <v>437</v>
      </c>
      <c r="B179" s="442" t="s">
        <v>438</v>
      </c>
      <c r="C179" s="443" t="s">
        <v>444</v>
      </c>
      <c r="D179" s="444" t="s">
        <v>445</v>
      </c>
      <c r="E179" s="443" t="s">
        <v>754</v>
      </c>
      <c r="F179" s="444" t="s">
        <v>755</v>
      </c>
      <c r="G179" s="443" t="s">
        <v>944</v>
      </c>
      <c r="H179" s="443" t="s">
        <v>945</v>
      </c>
      <c r="I179" s="446">
        <v>17</v>
      </c>
      <c r="J179" s="446">
        <v>50</v>
      </c>
      <c r="K179" s="447">
        <v>879.989990234375</v>
      </c>
    </row>
    <row r="180" spans="1:11" ht="14.45" customHeight="1" x14ac:dyDescent="0.2">
      <c r="A180" s="441" t="s">
        <v>437</v>
      </c>
      <c r="B180" s="442" t="s">
        <v>438</v>
      </c>
      <c r="C180" s="443" t="s">
        <v>444</v>
      </c>
      <c r="D180" s="444" t="s">
        <v>445</v>
      </c>
      <c r="E180" s="443" t="s">
        <v>754</v>
      </c>
      <c r="F180" s="444" t="s">
        <v>755</v>
      </c>
      <c r="G180" s="443" t="s">
        <v>946</v>
      </c>
      <c r="H180" s="443" t="s">
        <v>947</v>
      </c>
      <c r="I180" s="446">
        <v>18</v>
      </c>
      <c r="J180" s="446">
        <v>60</v>
      </c>
      <c r="K180" s="447">
        <v>1079.9200439453125</v>
      </c>
    </row>
    <row r="181" spans="1:11" ht="14.45" customHeight="1" x14ac:dyDescent="0.2">
      <c r="A181" s="441" t="s">
        <v>437</v>
      </c>
      <c r="B181" s="442" t="s">
        <v>438</v>
      </c>
      <c r="C181" s="443" t="s">
        <v>444</v>
      </c>
      <c r="D181" s="444" t="s">
        <v>445</v>
      </c>
      <c r="E181" s="443" t="s">
        <v>754</v>
      </c>
      <c r="F181" s="444" t="s">
        <v>755</v>
      </c>
      <c r="G181" s="443" t="s">
        <v>948</v>
      </c>
      <c r="H181" s="443" t="s">
        <v>949</v>
      </c>
      <c r="I181" s="446">
        <v>18.833333333333332</v>
      </c>
      <c r="J181" s="446">
        <v>270</v>
      </c>
      <c r="K181" s="447">
        <v>5209.89990234375</v>
      </c>
    </row>
    <row r="182" spans="1:11" ht="14.45" customHeight="1" x14ac:dyDescent="0.2">
      <c r="A182" s="441" t="s">
        <v>437</v>
      </c>
      <c r="B182" s="442" t="s">
        <v>438</v>
      </c>
      <c r="C182" s="443" t="s">
        <v>444</v>
      </c>
      <c r="D182" s="444" t="s">
        <v>445</v>
      </c>
      <c r="E182" s="443" t="s">
        <v>754</v>
      </c>
      <c r="F182" s="444" t="s">
        <v>755</v>
      </c>
      <c r="G182" s="443" t="s">
        <v>950</v>
      </c>
      <c r="H182" s="443" t="s">
        <v>951</v>
      </c>
      <c r="I182" s="446">
        <v>19.5</v>
      </c>
      <c r="J182" s="446">
        <v>170</v>
      </c>
      <c r="K182" s="447">
        <v>3289.9399566650391</v>
      </c>
    </row>
    <row r="183" spans="1:11" ht="14.45" customHeight="1" x14ac:dyDescent="0.2">
      <c r="A183" s="441" t="s">
        <v>437</v>
      </c>
      <c r="B183" s="442" t="s">
        <v>438</v>
      </c>
      <c r="C183" s="443" t="s">
        <v>444</v>
      </c>
      <c r="D183" s="444" t="s">
        <v>445</v>
      </c>
      <c r="E183" s="443" t="s">
        <v>754</v>
      </c>
      <c r="F183" s="444" t="s">
        <v>755</v>
      </c>
      <c r="G183" s="443" t="s">
        <v>952</v>
      </c>
      <c r="H183" s="443" t="s">
        <v>953</v>
      </c>
      <c r="I183" s="446">
        <v>17.100000381469727</v>
      </c>
      <c r="J183" s="446">
        <v>20</v>
      </c>
      <c r="K183" s="447">
        <v>342</v>
      </c>
    </row>
    <row r="184" spans="1:11" ht="14.45" customHeight="1" x14ac:dyDescent="0.2">
      <c r="A184" s="441" t="s">
        <v>437</v>
      </c>
      <c r="B184" s="442" t="s">
        <v>438</v>
      </c>
      <c r="C184" s="443" t="s">
        <v>444</v>
      </c>
      <c r="D184" s="444" t="s">
        <v>445</v>
      </c>
      <c r="E184" s="443" t="s">
        <v>754</v>
      </c>
      <c r="F184" s="444" t="s">
        <v>755</v>
      </c>
      <c r="G184" s="443" t="s">
        <v>954</v>
      </c>
      <c r="H184" s="443" t="s">
        <v>955</v>
      </c>
      <c r="I184" s="446">
        <v>19.5</v>
      </c>
      <c r="J184" s="446">
        <v>40</v>
      </c>
      <c r="K184" s="447">
        <v>789.989990234375</v>
      </c>
    </row>
    <row r="185" spans="1:11" ht="14.45" customHeight="1" x14ac:dyDescent="0.2">
      <c r="A185" s="441" t="s">
        <v>437</v>
      </c>
      <c r="B185" s="442" t="s">
        <v>438</v>
      </c>
      <c r="C185" s="443" t="s">
        <v>444</v>
      </c>
      <c r="D185" s="444" t="s">
        <v>445</v>
      </c>
      <c r="E185" s="443" t="s">
        <v>754</v>
      </c>
      <c r="F185" s="444" t="s">
        <v>755</v>
      </c>
      <c r="G185" s="443" t="s">
        <v>956</v>
      </c>
      <c r="H185" s="443" t="s">
        <v>957</v>
      </c>
      <c r="I185" s="446">
        <v>19</v>
      </c>
      <c r="J185" s="446">
        <v>10</v>
      </c>
      <c r="K185" s="447">
        <v>190</v>
      </c>
    </row>
    <row r="186" spans="1:11" ht="14.45" customHeight="1" x14ac:dyDescent="0.2">
      <c r="A186" s="441" t="s">
        <v>437</v>
      </c>
      <c r="B186" s="442" t="s">
        <v>438</v>
      </c>
      <c r="C186" s="443" t="s">
        <v>444</v>
      </c>
      <c r="D186" s="444" t="s">
        <v>445</v>
      </c>
      <c r="E186" s="443" t="s">
        <v>754</v>
      </c>
      <c r="F186" s="444" t="s">
        <v>755</v>
      </c>
      <c r="G186" s="443" t="s">
        <v>958</v>
      </c>
      <c r="H186" s="443" t="s">
        <v>959</v>
      </c>
      <c r="I186" s="446">
        <v>25.719999313354492</v>
      </c>
      <c r="J186" s="446">
        <v>75</v>
      </c>
      <c r="K186" s="447">
        <v>1929</v>
      </c>
    </row>
    <row r="187" spans="1:11" ht="14.45" customHeight="1" x14ac:dyDescent="0.2">
      <c r="A187" s="441" t="s">
        <v>437</v>
      </c>
      <c r="B187" s="442" t="s">
        <v>438</v>
      </c>
      <c r="C187" s="443" t="s">
        <v>444</v>
      </c>
      <c r="D187" s="444" t="s">
        <v>445</v>
      </c>
      <c r="E187" s="443" t="s">
        <v>754</v>
      </c>
      <c r="F187" s="444" t="s">
        <v>755</v>
      </c>
      <c r="G187" s="443" t="s">
        <v>960</v>
      </c>
      <c r="H187" s="443" t="s">
        <v>961</v>
      </c>
      <c r="I187" s="446">
        <v>136</v>
      </c>
      <c r="J187" s="446">
        <v>10</v>
      </c>
      <c r="K187" s="447">
        <v>1359.989990234375</v>
      </c>
    </row>
    <row r="188" spans="1:11" ht="14.45" customHeight="1" x14ac:dyDescent="0.2">
      <c r="A188" s="441" t="s">
        <v>437</v>
      </c>
      <c r="B188" s="442" t="s">
        <v>438</v>
      </c>
      <c r="C188" s="443" t="s">
        <v>444</v>
      </c>
      <c r="D188" s="444" t="s">
        <v>445</v>
      </c>
      <c r="E188" s="443" t="s">
        <v>754</v>
      </c>
      <c r="F188" s="444" t="s">
        <v>755</v>
      </c>
      <c r="G188" s="443" t="s">
        <v>962</v>
      </c>
      <c r="H188" s="443" t="s">
        <v>963</v>
      </c>
      <c r="I188" s="446">
        <v>519</v>
      </c>
      <c r="J188" s="446">
        <v>5</v>
      </c>
      <c r="K188" s="447">
        <v>2595</v>
      </c>
    </row>
    <row r="189" spans="1:11" ht="14.45" customHeight="1" x14ac:dyDescent="0.2">
      <c r="A189" s="441" t="s">
        <v>437</v>
      </c>
      <c r="B189" s="442" t="s">
        <v>438</v>
      </c>
      <c r="C189" s="443" t="s">
        <v>444</v>
      </c>
      <c r="D189" s="444" t="s">
        <v>445</v>
      </c>
      <c r="E189" s="443" t="s">
        <v>754</v>
      </c>
      <c r="F189" s="444" t="s">
        <v>755</v>
      </c>
      <c r="G189" s="443" t="s">
        <v>964</v>
      </c>
      <c r="H189" s="443" t="s">
        <v>965</v>
      </c>
      <c r="I189" s="446">
        <v>129.46000671386719</v>
      </c>
      <c r="J189" s="446">
        <v>5</v>
      </c>
      <c r="K189" s="447">
        <v>647.28997802734375</v>
      </c>
    </row>
    <row r="190" spans="1:11" ht="14.45" customHeight="1" x14ac:dyDescent="0.2">
      <c r="A190" s="441" t="s">
        <v>437</v>
      </c>
      <c r="B190" s="442" t="s">
        <v>438</v>
      </c>
      <c r="C190" s="443" t="s">
        <v>444</v>
      </c>
      <c r="D190" s="444" t="s">
        <v>445</v>
      </c>
      <c r="E190" s="443" t="s">
        <v>754</v>
      </c>
      <c r="F190" s="444" t="s">
        <v>755</v>
      </c>
      <c r="G190" s="443" t="s">
        <v>966</v>
      </c>
      <c r="H190" s="443" t="s">
        <v>967</v>
      </c>
      <c r="I190" s="446">
        <v>120</v>
      </c>
      <c r="J190" s="446">
        <v>10</v>
      </c>
      <c r="K190" s="447">
        <v>1200</v>
      </c>
    </row>
    <row r="191" spans="1:11" ht="14.45" customHeight="1" x14ac:dyDescent="0.2">
      <c r="A191" s="441" t="s">
        <v>437</v>
      </c>
      <c r="B191" s="442" t="s">
        <v>438</v>
      </c>
      <c r="C191" s="443" t="s">
        <v>444</v>
      </c>
      <c r="D191" s="444" t="s">
        <v>445</v>
      </c>
      <c r="E191" s="443" t="s">
        <v>754</v>
      </c>
      <c r="F191" s="444" t="s">
        <v>755</v>
      </c>
      <c r="G191" s="443" t="s">
        <v>968</v>
      </c>
      <c r="H191" s="443" t="s">
        <v>969</v>
      </c>
      <c r="I191" s="446">
        <v>120</v>
      </c>
      <c r="J191" s="446">
        <v>10</v>
      </c>
      <c r="K191" s="447">
        <v>1200</v>
      </c>
    </row>
    <row r="192" spans="1:11" ht="14.45" customHeight="1" x14ac:dyDescent="0.2">
      <c r="A192" s="441" t="s">
        <v>437</v>
      </c>
      <c r="B192" s="442" t="s">
        <v>438</v>
      </c>
      <c r="C192" s="443" t="s">
        <v>444</v>
      </c>
      <c r="D192" s="444" t="s">
        <v>445</v>
      </c>
      <c r="E192" s="443" t="s">
        <v>754</v>
      </c>
      <c r="F192" s="444" t="s">
        <v>755</v>
      </c>
      <c r="G192" s="443" t="s">
        <v>970</v>
      </c>
      <c r="H192" s="443" t="s">
        <v>971</v>
      </c>
      <c r="I192" s="446">
        <v>169.39999389648438</v>
      </c>
      <c r="J192" s="446">
        <v>5</v>
      </c>
      <c r="K192" s="447">
        <v>847</v>
      </c>
    </row>
    <row r="193" spans="1:11" ht="14.45" customHeight="1" x14ac:dyDescent="0.2">
      <c r="A193" s="441" t="s">
        <v>437</v>
      </c>
      <c r="B193" s="442" t="s">
        <v>438</v>
      </c>
      <c r="C193" s="443" t="s">
        <v>444</v>
      </c>
      <c r="D193" s="444" t="s">
        <v>445</v>
      </c>
      <c r="E193" s="443" t="s">
        <v>754</v>
      </c>
      <c r="F193" s="444" t="s">
        <v>755</v>
      </c>
      <c r="G193" s="443" t="s">
        <v>972</v>
      </c>
      <c r="H193" s="443" t="s">
        <v>973</v>
      </c>
      <c r="I193" s="446">
        <v>2990</v>
      </c>
      <c r="J193" s="446">
        <v>1</v>
      </c>
      <c r="K193" s="447">
        <v>2990</v>
      </c>
    </row>
    <row r="194" spans="1:11" ht="14.45" customHeight="1" x14ac:dyDescent="0.2">
      <c r="A194" s="441" t="s">
        <v>437</v>
      </c>
      <c r="B194" s="442" t="s">
        <v>438</v>
      </c>
      <c r="C194" s="443" t="s">
        <v>444</v>
      </c>
      <c r="D194" s="444" t="s">
        <v>445</v>
      </c>
      <c r="E194" s="443" t="s">
        <v>754</v>
      </c>
      <c r="F194" s="444" t="s">
        <v>755</v>
      </c>
      <c r="G194" s="443" t="s">
        <v>974</v>
      </c>
      <c r="H194" s="443" t="s">
        <v>975</v>
      </c>
      <c r="I194" s="446">
        <v>2989.989990234375</v>
      </c>
      <c r="J194" s="446">
        <v>1</v>
      </c>
      <c r="K194" s="447">
        <v>2989.989990234375</v>
      </c>
    </row>
    <row r="195" spans="1:11" ht="14.45" customHeight="1" x14ac:dyDescent="0.2">
      <c r="A195" s="441" t="s">
        <v>437</v>
      </c>
      <c r="B195" s="442" t="s">
        <v>438</v>
      </c>
      <c r="C195" s="443" t="s">
        <v>444</v>
      </c>
      <c r="D195" s="444" t="s">
        <v>445</v>
      </c>
      <c r="E195" s="443" t="s">
        <v>754</v>
      </c>
      <c r="F195" s="444" t="s">
        <v>755</v>
      </c>
      <c r="G195" s="443" t="s">
        <v>976</v>
      </c>
      <c r="H195" s="443" t="s">
        <v>977</v>
      </c>
      <c r="I195" s="446">
        <v>2989.989990234375</v>
      </c>
      <c r="J195" s="446">
        <v>1</v>
      </c>
      <c r="K195" s="447">
        <v>2989.989990234375</v>
      </c>
    </row>
    <row r="196" spans="1:11" ht="14.45" customHeight="1" x14ac:dyDescent="0.2">
      <c r="A196" s="441" t="s">
        <v>437</v>
      </c>
      <c r="B196" s="442" t="s">
        <v>438</v>
      </c>
      <c r="C196" s="443" t="s">
        <v>444</v>
      </c>
      <c r="D196" s="444" t="s">
        <v>445</v>
      </c>
      <c r="E196" s="443" t="s">
        <v>754</v>
      </c>
      <c r="F196" s="444" t="s">
        <v>755</v>
      </c>
      <c r="G196" s="443" t="s">
        <v>978</v>
      </c>
      <c r="H196" s="443" t="s">
        <v>979</v>
      </c>
      <c r="I196" s="446">
        <v>2990</v>
      </c>
      <c r="J196" s="446">
        <v>1</v>
      </c>
      <c r="K196" s="447">
        <v>2990</v>
      </c>
    </row>
    <row r="197" spans="1:11" ht="14.45" customHeight="1" x14ac:dyDescent="0.2">
      <c r="A197" s="441" t="s">
        <v>437</v>
      </c>
      <c r="B197" s="442" t="s">
        <v>438</v>
      </c>
      <c r="C197" s="443" t="s">
        <v>444</v>
      </c>
      <c r="D197" s="444" t="s">
        <v>445</v>
      </c>
      <c r="E197" s="443" t="s">
        <v>754</v>
      </c>
      <c r="F197" s="444" t="s">
        <v>755</v>
      </c>
      <c r="G197" s="443" t="s">
        <v>980</v>
      </c>
      <c r="H197" s="443" t="s">
        <v>981</v>
      </c>
      <c r="I197" s="446">
        <v>2990</v>
      </c>
      <c r="J197" s="446">
        <v>4</v>
      </c>
      <c r="K197" s="447">
        <v>11960</v>
      </c>
    </row>
    <row r="198" spans="1:11" ht="14.45" customHeight="1" x14ac:dyDescent="0.2">
      <c r="A198" s="441" t="s">
        <v>437</v>
      </c>
      <c r="B198" s="442" t="s">
        <v>438</v>
      </c>
      <c r="C198" s="443" t="s">
        <v>444</v>
      </c>
      <c r="D198" s="444" t="s">
        <v>445</v>
      </c>
      <c r="E198" s="443" t="s">
        <v>754</v>
      </c>
      <c r="F198" s="444" t="s">
        <v>755</v>
      </c>
      <c r="G198" s="443" t="s">
        <v>982</v>
      </c>
      <c r="H198" s="443" t="s">
        <v>983</v>
      </c>
      <c r="I198" s="446">
        <v>41.740001678466797</v>
      </c>
      <c r="J198" s="446">
        <v>40</v>
      </c>
      <c r="K198" s="447">
        <v>1669.699951171875</v>
      </c>
    </row>
    <row r="199" spans="1:11" ht="14.45" customHeight="1" x14ac:dyDescent="0.2">
      <c r="A199" s="441" t="s">
        <v>437</v>
      </c>
      <c r="B199" s="442" t="s">
        <v>438</v>
      </c>
      <c r="C199" s="443" t="s">
        <v>444</v>
      </c>
      <c r="D199" s="444" t="s">
        <v>445</v>
      </c>
      <c r="E199" s="443" t="s">
        <v>754</v>
      </c>
      <c r="F199" s="444" t="s">
        <v>755</v>
      </c>
      <c r="G199" s="443" t="s">
        <v>984</v>
      </c>
      <c r="H199" s="443" t="s">
        <v>985</v>
      </c>
      <c r="I199" s="446">
        <v>2722.340087890625</v>
      </c>
      <c r="J199" s="446">
        <v>4</v>
      </c>
      <c r="K199" s="447">
        <v>10889.3603515625</v>
      </c>
    </row>
    <row r="200" spans="1:11" ht="14.45" customHeight="1" x14ac:dyDescent="0.2">
      <c r="A200" s="441" t="s">
        <v>437</v>
      </c>
      <c r="B200" s="442" t="s">
        <v>438</v>
      </c>
      <c r="C200" s="443" t="s">
        <v>444</v>
      </c>
      <c r="D200" s="444" t="s">
        <v>445</v>
      </c>
      <c r="E200" s="443" t="s">
        <v>754</v>
      </c>
      <c r="F200" s="444" t="s">
        <v>755</v>
      </c>
      <c r="G200" s="443" t="s">
        <v>986</v>
      </c>
      <c r="H200" s="443" t="s">
        <v>987</v>
      </c>
      <c r="I200" s="446">
        <v>80.580001831054688</v>
      </c>
      <c r="J200" s="446">
        <v>10</v>
      </c>
      <c r="K200" s="447">
        <v>805.82000732421875</v>
      </c>
    </row>
    <row r="201" spans="1:11" ht="14.45" customHeight="1" x14ac:dyDescent="0.2">
      <c r="A201" s="441" t="s">
        <v>437</v>
      </c>
      <c r="B201" s="442" t="s">
        <v>438</v>
      </c>
      <c r="C201" s="443" t="s">
        <v>444</v>
      </c>
      <c r="D201" s="444" t="s">
        <v>445</v>
      </c>
      <c r="E201" s="443" t="s">
        <v>754</v>
      </c>
      <c r="F201" s="444" t="s">
        <v>755</v>
      </c>
      <c r="G201" s="443" t="s">
        <v>988</v>
      </c>
      <c r="H201" s="443" t="s">
        <v>989</v>
      </c>
      <c r="I201" s="446">
        <v>284.05000305175781</v>
      </c>
      <c r="J201" s="446">
        <v>25</v>
      </c>
      <c r="K201" s="447">
        <v>7325.500244140625</v>
      </c>
    </row>
    <row r="202" spans="1:11" ht="14.45" customHeight="1" x14ac:dyDescent="0.2">
      <c r="A202" s="441" t="s">
        <v>437</v>
      </c>
      <c r="B202" s="442" t="s">
        <v>438</v>
      </c>
      <c r="C202" s="443" t="s">
        <v>444</v>
      </c>
      <c r="D202" s="444" t="s">
        <v>445</v>
      </c>
      <c r="E202" s="443" t="s">
        <v>754</v>
      </c>
      <c r="F202" s="444" t="s">
        <v>755</v>
      </c>
      <c r="G202" s="443" t="s">
        <v>990</v>
      </c>
      <c r="H202" s="443" t="s">
        <v>991</v>
      </c>
      <c r="I202" s="446">
        <v>953.29998779296875</v>
      </c>
      <c r="J202" s="446">
        <v>2</v>
      </c>
      <c r="K202" s="447">
        <v>1906.5999755859375</v>
      </c>
    </row>
    <row r="203" spans="1:11" ht="14.45" customHeight="1" x14ac:dyDescent="0.2">
      <c r="A203" s="441" t="s">
        <v>437</v>
      </c>
      <c r="B203" s="442" t="s">
        <v>438</v>
      </c>
      <c r="C203" s="443" t="s">
        <v>444</v>
      </c>
      <c r="D203" s="444" t="s">
        <v>445</v>
      </c>
      <c r="E203" s="443" t="s">
        <v>754</v>
      </c>
      <c r="F203" s="444" t="s">
        <v>755</v>
      </c>
      <c r="G203" s="443" t="s">
        <v>992</v>
      </c>
      <c r="H203" s="443" t="s">
        <v>993</v>
      </c>
      <c r="I203" s="446">
        <v>1524.4200439453125</v>
      </c>
      <c r="J203" s="446">
        <v>1</v>
      </c>
      <c r="K203" s="447">
        <v>1524.4200439453125</v>
      </c>
    </row>
    <row r="204" spans="1:11" ht="14.45" customHeight="1" x14ac:dyDescent="0.2">
      <c r="A204" s="441" t="s">
        <v>437</v>
      </c>
      <c r="B204" s="442" t="s">
        <v>438</v>
      </c>
      <c r="C204" s="443" t="s">
        <v>444</v>
      </c>
      <c r="D204" s="444" t="s">
        <v>445</v>
      </c>
      <c r="E204" s="443" t="s">
        <v>754</v>
      </c>
      <c r="F204" s="444" t="s">
        <v>755</v>
      </c>
      <c r="G204" s="443" t="s">
        <v>994</v>
      </c>
      <c r="H204" s="443" t="s">
        <v>995</v>
      </c>
      <c r="I204" s="446">
        <v>1454.239990234375</v>
      </c>
      <c r="J204" s="446">
        <v>1</v>
      </c>
      <c r="K204" s="447">
        <v>1454.239990234375</v>
      </c>
    </row>
    <row r="205" spans="1:11" ht="14.45" customHeight="1" x14ac:dyDescent="0.2">
      <c r="A205" s="441" t="s">
        <v>437</v>
      </c>
      <c r="B205" s="442" t="s">
        <v>438</v>
      </c>
      <c r="C205" s="443" t="s">
        <v>444</v>
      </c>
      <c r="D205" s="444" t="s">
        <v>445</v>
      </c>
      <c r="E205" s="443" t="s">
        <v>754</v>
      </c>
      <c r="F205" s="444" t="s">
        <v>755</v>
      </c>
      <c r="G205" s="443" t="s">
        <v>996</v>
      </c>
      <c r="H205" s="443" t="s">
        <v>997</v>
      </c>
      <c r="I205" s="446">
        <v>320.70999145507813</v>
      </c>
      <c r="J205" s="446">
        <v>32</v>
      </c>
      <c r="K205" s="447">
        <v>10262.719970703125</v>
      </c>
    </row>
    <row r="206" spans="1:11" ht="14.45" customHeight="1" x14ac:dyDescent="0.2">
      <c r="A206" s="441" t="s">
        <v>437</v>
      </c>
      <c r="B206" s="442" t="s">
        <v>438</v>
      </c>
      <c r="C206" s="443" t="s">
        <v>444</v>
      </c>
      <c r="D206" s="444" t="s">
        <v>445</v>
      </c>
      <c r="E206" s="443" t="s">
        <v>754</v>
      </c>
      <c r="F206" s="444" t="s">
        <v>755</v>
      </c>
      <c r="G206" s="443" t="s">
        <v>998</v>
      </c>
      <c r="H206" s="443" t="s">
        <v>999</v>
      </c>
      <c r="I206" s="446">
        <v>30.299999237060547</v>
      </c>
      <c r="J206" s="446">
        <v>10</v>
      </c>
      <c r="K206" s="447">
        <v>302.98001098632813</v>
      </c>
    </row>
    <row r="207" spans="1:11" ht="14.45" customHeight="1" x14ac:dyDescent="0.2">
      <c r="A207" s="441" t="s">
        <v>437</v>
      </c>
      <c r="B207" s="442" t="s">
        <v>438</v>
      </c>
      <c r="C207" s="443" t="s">
        <v>444</v>
      </c>
      <c r="D207" s="444" t="s">
        <v>445</v>
      </c>
      <c r="E207" s="443" t="s">
        <v>754</v>
      </c>
      <c r="F207" s="444" t="s">
        <v>755</v>
      </c>
      <c r="G207" s="443" t="s">
        <v>1000</v>
      </c>
      <c r="H207" s="443" t="s">
        <v>1001</v>
      </c>
      <c r="I207" s="446">
        <v>747.83502197265625</v>
      </c>
      <c r="J207" s="446">
        <v>6</v>
      </c>
      <c r="K207" s="447">
        <v>4487</v>
      </c>
    </row>
    <row r="208" spans="1:11" ht="14.45" customHeight="1" x14ac:dyDescent="0.2">
      <c r="A208" s="441" t="s">
        <v>437</v>
      </c>
      <c r="B208" s="442" t="s">
        <v>438</v>
      </c>
      <c r="C208" s="443" t="s">
        <v>444</v>
      </c>
      <c r="D208" s="444" t="s">
        <v>445</v>
      </c>
      <c r="E208" s="443" t="s">
        <v>754</v>
      </c>
      <c r="F208" s="444" t="s">
        <v>755</v>
      </c>
      <c r="G208" s="443" t="s">
        <v>1002</v>
      </c>
      <c r="H208" s="443" t="s">
        <v>1003</v>
      </c>
      <c r="I208" s="446">
        <v>973.989990234375</v>
      </c>
      <c r="J208" s="446">
        <v>2</v>
      </c>
      <c r="K208" s="447">
        <v>1947.97998046875</v>
      </c>
    </row>
    <row r="209" spans="1:11" ht="14.45" customHeight="1" x14ac:dyDescent="0.2">
      <c r="A209" s="441" t="s">
        <v>437</v>
      </c>
      <c r="B209" s="442" t="s">
        <v>438</v>
      </c>
      <c r="C209" s="443" t="s">
        <v>444</v>
      </c>
      <c r="D209" s="444" t="s">
        <v>445</v>
      </c>
      <c r="E209" s="443" t="s">
        <v>754</v>
      </c>
      <c r="F209" s="444" t="s">
        <v>755</v>
      </c>
      <c r="G209" s="443" t="s">
        <v>1004</v>
      </c>
      <c r="H209" s="443" t="s">
        <v>1005</v>
      </c>
      <c r="I209" s="446">
        <v>39.169998168945313</v>
      </c>
      <c r="J209" s="446">
        <v>24</v>
      </c>
      <c r="K209" s="447">
        <v>940</v>
      </c>
    </row>
    <row r="210" spans="1:11" ht="14.45" customHeight="1" x14ac:dyDescent="0.2">
      <c r="A210" s="441" t="s">
        <v>437</v>
      </c>
      <c r="B210" s="442" t="s">
        <v>438</v>
      </c>
      <c r="C210" s="443" t="s">
        <v>444</v>
      </c>
      <c r="D210" s="444" t="s">
        <v>445</v>
      </c>
      <c r="E210" s="443" t="s">
        <v>754</v>
      </c>
      <c r="F210" s="444" t="s">
        <v>755</v>
      </c>
      <c r="G210" s="443" t="s">
        <v>1006</v>
      </c>
      <c r="H210" s="443" t="s">
        <v>1007</v>
      </c>
      <c r="I210" s="446">
        <v>1451.9200439453125</v>
      </c>
      <c r="J210" s="446">
        <v>2</v>
      </c>
      <c r="K210" s="447">
        <v>2903.840087890625</v>
      </c>
    </row>
    <row r="211" spans="1:11" ht="14.45" customHeight="1" x14ac:dyDescent="0.2">
      <c r="A211" s="441" t="s">
        <v>437</v>
      </c>
      <c r="B211" s="442" t="s">
        <v>438</v>
      </c>
      <c r="C211" s="443" t="s">
        <v>444</v>
      </c>
      <c r="D211" s="444" t="s">
        <v>445</v>
      </c>
      <c r="E211" s="443" t="s">
        <v>754</v>
      </c>
      <c r="F211" s="444" t="s">
        <v>755</v>
      </c>
      <c r="G211" s="443" t="s">
        <v>1008</v>
      </c>
      <c r="H211" s="443" t="s">
        <v>1009</v>
      </c>
      <c r="I211" s="446">
        <v>1349.760009765625</v>
      </c>
      <c r="J211" s="446">
        <v>9</v>
      </c>
      <c r="K211" s="447">
        <v>12147.800048828125</v>
      </c>
    </row>
    <row r="212" spans="1:11" ht="14.45" customHeight="1" x14ac:dyDescent="0.2">
      <c r="A212" s="441" t="s">
        <v>437</v>
      </c>
      <c r="B212" s="442" t="s">
        <v>438</v>
      </c>
      <c r="C212" s="443" t="s">
        <v>444</v>
      </c>
      <c r="D212" s="444" t="s">
        <v>445</v>
      </c>
      <c r="E212" s="443" t="s">
        <v>754</v>
      </c>
      <c r="F212" s="444" t="s">
        <v>755</v>
      </c>
      <c r="G212" s="443" t="s">
        <v>1010</v>
      </c>
      <c r="H212" s="443" t="s">
        <v>1011</v>
      </c>
      <c r="I212" s="446">
        <v>1199.0433756510417</v>
      </c>
      <c r="J212" s="446">
        <v>6</v>
      </c>
      <c r="K212" s="447">
        <v>7194.240234375</v>
      </c>
    </row>
    <row r="213" spans="1:11" ht="14.45" customHeight="1" x14ac:dyDescent="0.2">
      <c r="A213" s="441" t="s">
        <v>437</v>
      </c>
      <c r="B213" s="442" t="s">
        <v>438</v>
      </c>
      <c r="C213" s="443" t="s">
        <v>444</v>
      </c>
      <c r="D213" s="444" t="s">
        <v>445</v>
      </c>
      <c r="E213" s="443" t="s">
        <v>754</v>
      </c>
      <c r="F213" s="444" t="s">
        <v>755</v>
      </c>
      <c r="G213" s="443" t="s">
        <v>1012</v>
      </c>
      <c r="H213" s="443" t="s">
        <v>1013</v>
      </c>
      <c r="I213" s="446">
        <v>1040.5999755859375</v>
      </c>
      <c r="J213" s="446">
        <v>1</v>
      </c>
      <c r="K213" s="447">
        <v>1040.5999755859375</v>
      </c>
    </row>
    <row r="214" spans="1:11" ht="14.45" customHeight="1" x14ac:dyDescent="0.2">
      <c r="A214" s="441" t="s">
        <v>437</v>
      </c>
      <c r="B214" s="442" t="s">
        <v>438</v>
      </c>
      <c r="C214" s="443" t="s">
        <v>444</v>
      </c>
      <c r="D214" s="444" t="s">
        <v>445</v>
      </c>
      <c r="E214" s="443" t="s">
        <v>754</v>
      </c>
      <c r="F214" s="444" t="s">
        <v>755</v>
      </c>
      <c r="G214" s="443" t="s">
        <v>1014</v>
      </c>
      <c r="H214" s="443" t="s">
        <v>1015</v>
      </c>
      <c r="I214" s="446">
        <v>124.625</v>
      </c>
      <c r="J214" s="446">
        <v>20</v>
      </c>
      <c r="K214" s="447">
        <v>2492.449951171875</v>
      </c>
    </row>
    <row r="215" spans="1:11" ht="14.45" customHeight="1" x14ac:dyDescent="0.2">
      <c r="A215" s="441" t="s">
        <v>437</v>
      </c>
      <c r="B215" s="442" t="s">
        <v>438</v>
      </c>
      <c r="C215" s="443" t="s">
        <v>444</v>
      </c>
      <c r="D215" s="444" t="s">
        <v>445</v>
      </c>
      <c r="E215" s="443" t="s">
        <v>754</v>
      </c>
      <c r="F215" s="444" t="s">
        <v>755</v>
      </c>
      <c r="G215" s="443" t="s">
        <v>1016</v>
      </c>
      <c r="H215" s="443" t="s">
        <v>1017</v>
      </c>
      <c r="I215" s="446">
        <v>483.97000122070313</v>
      </c>
      <c r="J215" s="446">
        <v>6</v>
      </c>
      <c r="K215" s="447">
        <v>2903.840087890625</v>
      </c>
    </row>
    <row r="216" spans="1:11" ht="14.45" customHeight="1" x14ac:dyDescent="0.2">
      <c r="A216" s="441" t="s">
        <v>437</v>
      </c>
      <c r="B216" s="442" t="s">
        <v>438</v>
      </c>
      <c r="C216" s="443" t="s">
        <v>444</v>
      </c>
      <c r="D216" s="444" t="s">
        <v>445</v>
      </c>
      <c r="E216" s="443" t="s">
        <v>754</v>
      </c>
      <c r="F216" s="444" t="s">
        <v>755</v>
      </c>
      <c r="G216" s="443" t="s">
        <v>1018</v>
      </c>
      <c r="H216" s="443" t="s">
        <v>1019</v>
      </c>
      <c r="I216" s="446">
        <v>1337.050048828125</v>
      </c>
      <c r="J216" s="446">
        <v>1</v>
      </c>
      <c r="K216" s="447">
        <v>1337.050048828125</v>
      </c>
    </row>
    <row r="217" spans="1:11" ht="14.45" customHeight="1" x14ac:dyDescent="0.2">
      <c r="A217" s="441" t="s">
        <v>437</v>
      </c>
      <c r="B217" s="442" t="s">
        <v>438</v>
      </c>
      <c r="C217" s="443" t="s">
        <v>444</v>
      </c>
      <c r="D217" s="444" t="s">
        <v>445</v>
      </c>
      <c r="E217" s="443" t="s">
        <v>754</v>
      </c>
      <c r="F217" s="444" t="s">
        <v>755</v>
      </c>
      <c r="G217" s="443" t="s">
        <v>1020</v>
      </c>
      <c r="H217" s="443" t="s">
        <v>1021</v>
      </c>
      <c r="I217" s="446">
        <v>1074</v>
      </c>
      <c r="J217" s="446">
        <v>4</v>
      </c>
      <c r="K217" s="447">
        <v>4296</v>
      </c>
    </row>
    <row r="218" spans="1:11" ht="14.45" customHeight="1" x14ac:dyDescent="0.2">
      <c r="A218" s="441" t="s">
        <v>437</v>
      </c>
      <c r="B218" s="442" t="s">
        <v>438</v>
      </c>
      <c r="C218" s="443" t="s">
        <v>444</v>
      </c>
      <c r="D218" s="444" t="s">
        <v>445</v>
      </c>
      <c r="E218" s="443" t="s">
        <v>754</v>
      </c>
      <c r="F218" s="444" t="s">
        <v>755</v>
      </c>
      <c r="G218" s="443" t="s">
        <v>1022</v>
      </c>
      <c r="H218" s="443" t="s">
        <v>1023</v>
      </c>
      <c r="I218" s="446">
        <v>978</v>
      </c>
      <c r="J218" s="446">
        <v>1</v>
      </c>
      <c r="K218" s="447">
        <v>978</v>
      </c>
    </row>
    <row r="219" spans="1:11" ht="14.45" customHeight="1" x14ac:dyDescent="0.2">
      <c r="A219" s="441" t="s">
        <v>437</v>
      </c>
      <c r="B219" s="442" t="s">
        <v>438</v>
      </c>
      <c r="C219" s="443" t="s">
        <v>444</v>
      </c>
      <c r="D219" s="444" t="s">
        <v>445</v>
      </c>
      <c r="E219" s="443" t="s">
        <v>754</v>
      </c>
      <c r="F219" s="444" t="s">
        <v>755</v>
      </c>
      <c r="G219" s="443" t="s">
        <v>1024</v>
      </c>
      <c r="H219" s="443" t="s">
        <v>1025</v>
      </c>
      <c r="I219" s="446">
        <v>7200</v>
      </c>
      <c r="J219" s="446">
        <v>2</v>
      </c>
      <c r="K219" s="447">
        <v>14400</v>
      </c>
    </row>
    <row r="220" spans="1:11" ht="14.45" customHeight="1" x14ac:dyDescent="0.2">
      <c r="A220" s="441" t="s">
        <v>437</v>
      </c>
      <c r="B220" s="442" t="s">
        <v>438</v>
      </c>
      <c r="C220" s="443" t="s">
        <v>444</v>
      </c>
      <c r="D220" s="444" t="s">
        <v>445</v>
      </c>
      <c r="E220" s="443" t="s">
        <v>754</v>
      </c>
      <c r="F220" s="444" t="s">
        <v>755</v>
      </c>
      <c r="G220" s="443" t="s">
        <v>1026</v>
      </c>
      <c r="H220" s="443" t="s">
        <v>1027</v>
      </c>
      <c r="I220" s="446">
        <v>7200.009765625</v>
      </c>
      <c r="J220" s="446">
        <v>1</v>
      </c>
      <c r="K220" s="447">
        <v>7200.009765625</v>
      </c>
    </row>
    <row r="221" spans="1:11" ht="14.45" customHeight="1" x14ac:dyDescent="0.2">
      <c r="A221" s="441" t="s">
        <v>437</v>
      </c>
      <c r="B221" s="442" t="s">
        <v>438</v>
      </c>
      <c r="C221" s="443" t="s">
        <v>444</v>
      </c>
      <c r="D221" s="444" t="s">
        <v>445</v>
      </c>
      <c r="E221" s="443" t="s">
        <v>754</v>
      </c>
      <c r="F221" s="444" t="s">
        <v>755</v>
      </c>
      <c r="G221" s="443" t="s">
        <v>1028</v>
      </c>
      <c r="H221" s="443" t="s">
        <v>1029</v>
      </c>
      <c r="I221" s="446">
        <v>7200.0048828125</v>
      </c>
      <c r="J221" s="446">
        <v>4</v>
      </c>
      <c r="K221" s="447">
        <v>28800.01953125</v>
      </c>
    </row>
    <row r="222" spans="1:11" ht="14.45" customHeight="1" x14ac:dyDescent="0.2">
      <c r="A222" s="441" t="s">
        <v>437</v>
      </c>
      <c r="B222" s="442" t="s">
        <v>438</v>
      </c>
      <c r="C222" s="443" t="s">
        <v>444</v>
      </c>
      <c r="D222" s="444" t="s">
        <v>445</v>
      </c>
      <c r="E222" s="443" t="s">
        <v>754</v>
      </c>
      <c r="F222" s="444" t="s">
        <v>755</v>
      </c>
      <c r="G222" s="443" t="s">
        <v>1030</v>
      </c>
      <c r="H222" s="443" t="s">
        <v>1031</v>
      </c>
      <c r="I222" s="446">
        <v>7200</v>
      </c>
      <c r="J222" s="446">
        <v>2</v>
      </c>
      <c r="K222" s="447">
        <v>14400</v>
      </c>
    </row>
    <row r="223" spans="1:11" ht="14.45" customHeight="1" x14ac:dyDescent="0.2">
      <c r="A223" s="441" t="s">
        <v>437</v>
      </c>
      <c r="B223" s="442" t="s">
        <v>438</v>
      </c>
      <c r="C223" s="443" t="s">
        <v>444</v>
      </c>
      <c r="D223" s="444" t="s">
        <v>445</v>
      </c>
      <c r="E223" s="443" t="s">
        <v>754</v>
      </c>
      <c r="F223" s="444" t="s">
        <v>755</v>
      </c>
      <c r="G223" s="443" t="s">
        <v>1032</v>
      </c>
      <c r="H223" s="443" t="s">
        <v>1033</v>
      </c>
      <c r="I223" s="446">
        <v>7200</v>
      </c>
      <c r="J223" s="446">
        <v>2</v>
      </c>
      <c r="K223" s="447">
        <v>14400</v>
      </c>
    </row>
    <row r="224" spans="1:11" ht="14.45" customHeight="1" x14ac:dyDescent="0.2">
      <c r="A224" s="441" t="s">
        <v>437</v>
      </c>
      <c r="B224" s="442" t="s">
        <v>438</v>
      </c>
      <c r="C224" s="443" t="s">
        <v>444</v>
      </c>
      <c r="D224" s="444" t="s">
        <v>445</v>
      </c>
      <c r="E224" s="443" t="s">
        <v>754</v>
      </c>
      <c r="F224" s="444" t="s">
        <v>755</v>
      </c>
      <c r="G224" s="443" t="s">
        <v>1034</v>
      </c>
      <c r="H224" s="443" t="s">
        <v>1035</v>
      </c>
      <c r="I224" s="446">
        <v>7200</v>
      </c>
      <c r="J224" s="446">
        <v>2</v>
      </c>
      <c r="K224" s="447">
        <v>14400</v>
      </c>
    </row>
    <row r="225" spans="1:11" ht="14.45" customHeight="1" x14ac:dyDescent="0.2">
      <c r="A225" s="441" t="s">
        <v>437</v>
      </c>
      <c r="B225" s="442" t="s">
        <v>438</v>
      </c>
      <c r="C225" s="443" t="s">
        <v>444</v>
      </c>
      <c r="D225" s="444" t="s">
        <v>445</v>
      </c>
      <c r="E225" s="443" t="s">
        <v>754</v>
      </c>
      <c r="F225" s="444" t="s">
        <v>755</v>
      </c>
      <c r="G225" s="443" t="s">
        <v>1036</v>
      </c>
      <c r="H225" s="443" t="s">
        <v>1037</v>
      </c>
      <c r="I225" s="446">
        <v>7200</v>
      </c>
      <c r="J225" s="446">
        <v>2</v>
      </c>
      <c r="K225" s="447">
        <v>14400</v>
      </c>
    </row>
    <row r="226" spans="1:11" ht="14.45" customHeight="1" x14ac:dyDescent="0.2">
      <c r="A226" s="441" t="s">
        <v>437</v>
      </c>
      <c r="B226" s="442" t="s">
        <v>438</v>
      </c>
      <c r="C226" s="443" t="s">
        <v>444</v>
      </c>
      <c r="D226" s="444" t="s">
        <v>445</v>
      </c>
      <c r="E226" s="443" t="s">
        <v>754</v>
      </c>
      <c r="F226" s="444" t="s">
        <v>755</v>
      </c>
      <c r="G226" s="443" t="s">
        <v>1038</v>
      </c>
      <c r="H226" s="443" t="s">
        <v>1039</v>
      </c>
      <c r="I226" s="446">
        <v>7200</v>
      </c>
      <c r="J226" s="446">
        <v>1</v>
      </c>
      <c r="K226" s="447">
        <v>7200</v>
      </c>
    </row>
    <row r="227" spans="1:11" ht="14.45" customHeight="1" x14ac:dyDescent="0.2">
      <c r="A227" s="441" t="s">
        <v>437</v>
      </c>
      <c r="B227" s="442" t="s">
        <v>438</v>
      </c>
      <c r="C227" s="443" t="s">
        <v>444</v>
      </c>
      <c r="D227" s="444" t="s">
        <v>445</v>
      </c>
      <c r="E227" s="443" t="s">
        <v>754</v>
      </c>
      <c r="F227" s="444" t="s">
        <v>755</v>
      </c>
      <c r="G227" s="443" t="s">
        <v>1040</v>
      </c>
      <c r="H227" s="443" t="s">
        <v>1041</v>
      </c>
      <c r="I227" s="446">
        <v>7200</v>
      </c>
      <c r="J227" s="446">
        <v>1</v>
      </c>
      <c r="K227" s="447">
        <v>7200</v>
      </c>
    </row>
    <row r="228" spans="1:11" ht="14.45" customHeight="1" x14ac:dyDescent="0.2">
      <c r="A228" s="441" t="s">
        <v>437</v>
      </c>
      <c r="B228" s="442" t="s">
        <v>438</v>
      </c>
      <c r="C228" s="443" t="s">
        <v>444</v>
      </c>
      <c r="D228" s="444" t="s">
        <v>445</v>
      </c>
      <c r="E228" s="443" t="s">
        <v>754</v>
      </c>
      <c r="F228" s="444" t="s">
        <v>755</v>
      </c>
      <c r="G228" s="443" t="s">
        <v>1042</v>
      </c>
      <c r="H228" s="443" t="s">
        <v>1043</v>
      </c>
      <c r="I228" s="446">
        <v>6785</v>
      </c>
      <c r="J228" s="446">
        <v>2</v>
      </c>
      <c r="K228" s="447">
        <v>13570</v>
      </c>
    </row>
    <row r="229" spans="1:11" ht="14.45" customHeight="1" x14ac:dyDescent="0.2">
      <c r="A229" s="441" t="s">
        <v>437</v>
      </c>
      <c r="B229" s="442" t="s">
        <v>438</v>
      </c>
      <c r="C229" s="443" t="s">
        <v>444</v>
      </c>
      <c r="D229" s="444" t="s">
        <v>445</v>
      </c>
      <c r="E229" s="443" t="s">
        <v>754</v>
      </c>
      <c r="F229" s="444" t="s">
        <v>755</v>
      </c>
      <c r="G229" s="443" t="s">
        <v>1044</v>
      </c>
      <c r="H229" s="443" t="s">
        <v>1045</v>
      </c>
      <c r="I229" s="446">
        <v>6785</v>
      </c>
      <c r="J229" s="446">
        <v>1</v>
      </c>
      <c r="K229" s="447">
        <v>6785</v>
      </c>
    </row>
    <row r="230" spans="1:11" ht="14.45" customHeight="1" x14ac:dyDescent="0.2">
      <c r="A230" s="441" t="s">
        <v>437</v>
      </c>
      <c r="B230" s="442" t="s">
        <v>438</v>
      </c>
      <c r="C230" s="443" t="s">
        <v>444</v>
      </c>
      <c r="D230" s="444" t="s">
        <v>445</v>
      </c>
      <c r="E230" s="443" t="s">
        <v>754</v>
      </c>
      <c r="F230" s="444" t="s">
        <v>755</v>
      </c>
      <c r="G230" s="443" t="s">
        <v>1046</v>
      </c>
      <c r="H230" s="443" t="s">
        <v>1047</v>
      </c>
      <c r="I230" s="446">
        <v>6785</v>
      </c>
      <c r="J230" s="446">
        <v>1</v>
      </c>
      <c r="K230" s="447">
        <v>6785</v>
      </c>
    </row>
    <row r="231" spans="1:11" ht="14.45" customHeight="1" x14ac:dyDescent="0.2">
      <c r="A231" s="441" t="s">
        <v>437</v>
      </c>
      <c r="B231" s="442" t="s">
        <v>438</v>
      </c>
      <c r="C231" s="443" t="s">
        <v>444</v>
      </c>
      <c r="D231" s="444" t="s">
        <v>445</v>
      </c>
      <c r="E231" s="443" t="s">
        <v>754</v>
      </c>
      <c r="F231" s="444" t="s">
        <v>755</v>
      </c>
      <c r="G231" s="443" t="s">
        <v>1048</v>
      </c>
      <c r="H231" s="443" t="s">
        <v>1049</v>
      </c>
      <c r="I231" s="446">
        <v>734.06667073567712</v>
      </c>
      <c r="J231" s="446">
        <v>3</v>
      </c>
      <c r="K231" s="447">
        <v>2202.2000122070313</v>
      </c>
    </row>
    <row r="232" spans="1:11" ht="14.45" customHeight="1" x14ac:dyDescent="0.2">
      <c r="A232" s="441" t="s">
        <v>437</v>
      </c>
      <c r="B232" s="442" t="s">
        <v>438</v>
      </c>
      <c r="C232" s="443" t="s">
        <v>444</v>
      </c>
      <c r="D232" s="444" t="s">
        <v>445</v>
      </c>
      <c r="E232" s="443" t="s">
        <v>754</v>
      </c>
      <c r="F232" s="444" t="s">
        <v>755</v>
      </c>
      <c r="G232" s="443" t="s">
        <v>1050</v>
      </c>
      <c r="H232" s="443" t="s">
        <v>1051</v>
      </c>
      <c r="I232" s="446">
        <v>439.79998779296875</v>
      </c>
      <c r="J232" s="446">
        <v>5</v>
      </c>
      <c r="K232" s="447">
        <v>2199</v>
      </c>
    </row>
    <row r="233" spans="1:11" ht="14.45" customHeight="1" x14ac:dyDescent="0.2">
      <c r="A233" s="441" t="s">
        <v>437</v>
      </c>
      <c r="B233" s="442" t="s">
        <v>438</v>
      </c>
      <c r="C233" s="443" t="s">
        <v>444</v>
      </c>
      <c r="D233" s="444" t="s">
        <v>445</v>
      </c>
      <c r="E233" s="443" t="s">
        <v>754</v>
      </c>
      <c r="F233" s="444" t="s">
        <v>755</v>
      </c>
      <c r="G233" s="443" t="s">
        <v>1052</v>
      </c>
      <c r="H233" s="443" t="s">
        <v>1053</v>
      </c>
      <c r="I233" s="446">
        <v>2843.340087890625</v>
      </c>
      <c r="J233" s="446">
        <v>2</v>
      </c>
      <c r="K233" s="447">
        <v>5686.68017578125</v>
      </c>
    </row>
    <row r="234" spans="1:11" ht="14.45" customHeight="1" x14ac:dyDescent="0.2">
      <c r="A234" s="441" t="s">
        <v>437</v>
      </c>
      <c r="B234" s="442" t="s">
        <v>438</v>
      </c>
      <c r="C234" s="443" t="s">
        <v>444</v>
      </c>
      <c r="D234" s="444" t="s">
        <v>445</v>
      </c>
      <c r="E234" s="443" t="s">
        <v>754</v>
      </c>
      <c r="F234" s="444" t="s">
        <v>755</v>
      </c>
      <c r="G234" s="443" t="s">
        <v>1054</v>
      </c>
      <c r="H234" s="443" t="s">
        <v>1055</v>
      </c>
      <c r="I234" s="446">
        <v>435.57998657226563</v>
      </c>
      <c r="J234" s="446">
        <v>4</v>
      </c>
      <c r="K234" s="447">
        <v>1742.3099670410156</v>
      </c>
    </row>
    <row r="235" spans="1:11" ht="14.45" customHeight="1" x14ac:dyDescent="0.2">
      <c r="A235" s="441" t="s">
        <v>437</v>
      </c>
      <c r="B235" s="442" t="s">
        <v>438</v>
      </c>
      <c r="C235" s="443" t="s">
        <v>444</v>
      </c>
      <c r="D235" s="444" t="s">
        <v>445</v>
      </c>
      <c r="E235" s="443" t="s">
        <v>754</v>
      </c>
      <c r="F235" s="444" t="s">
        <v>755</v>
      </c>
      <c r="G235" s="443" t="s">
        <v>1056</v>
      </c>
      <c r="H235" s="443" t="s">
        <v>1057</v>
      </c>
      <c r="I235" s="446">
        <v>156.07000732421875</v>
      </c>
      <c r="J235" s="446">
        <v>2</v>
      </c>
      <c r="K235" s="447">
        <v>312.1300048828125</v>
      </c>
    </row>
    <row r="236" spans="1:11" ht="14.45" customHeight="1" x14ac:dyDescent="0.2">
      <c r="A236" s="441" t="s">
        <v>437</v>
      </c>
      <c r="B236" s="442" t="s">
        <v>438</v>
      </c>
      <c r="C236" s="443" t="s">
        <v>444</v>
      </c>
      <c r="D236" s="444" t="s">
        <v>445</v>
      </c>
      <c r="E236" s="443" t="s">
        <v>754</v>
      </c>
      <c r="F236" s="444" t="s">
        <v>755</v>
      </c>
      <c r="G236" s="443" t="s">
        <v>1058</v>
      </c>
      <c r="H236" s="443" t="s">
        <v>1059</v>
      </c>
      <c r="I236" s="446">
        <v>6648.56982421875</v>
      </c>
      <c r="J236" s="446">
        <v>2</v>
      </c>
      <c r="K236" s="447">
        <v>13297.1396484375</v>
      </c>
    </row>
    <row r="237" spans="1:11" ht="14.45" customHeight="1" x14ac:dyDescent="0.2">
      <c r="A237" s="441" t="s">
        <v>437</v>
      </c>
      <c r="B237" s="442" t="s">
        <v>438</v>
      </c>
      <c r="C237" s="443" t="s">
        <v>444</v>
      </c>
      <c r="D237" s="444" t="s">
        <v>445</v>
      </c>
      <c r="E237" s="443" t="s">
        <v>754</v>
      </c>
      <c r="F237" s="444" t="s">
        <v>755</v>
      </c>
      <c r="G237" s="443" t="s">
        <v>1060</v>
      </c>
      <c r="H237" s="443" t="s">
        <v>1061</v>
      </c>
      <c r="I237" s="446">
        <v>1300.6800537109375</v>
      </c>
      <c r="J237" s="446">
        <v>1</v>
      </c>
      <c r="K237" s="447">
        <v>1300.6800537109375</v>
      </c>
    </row>
    <row r="238" spans="1:11" ht="14.45" customHeight="1" x14ac:dyDescent="0.2">
      <c r="A238" s="441" t="s">
        <v>437</v>
      </c>
      <c r="B238" s="442" t="s">
        <v>438</v>
      </c>
      <c r="C238" s="443" t="s">
        <v>444</v>
      </c>
      <c r="D238" s="444" t="s">
        <v>445</v>
      </c>
      <c r="E238" s="443" t="s">
        <v>754</v>
      </c>
      <c r="F238" s="444" t="s">
        <v>755</v>
      </c>
      <c r="G238" s="443" t="s">
        <v>1062</v>
      </c>
      <c r="H238" s="443" t="s">
        <v>1063</v>
      </c>
      <c r="I238" s="446">
        <v>3.2899999618530273</v>
      </c>
      <c r="J238" s="446">
        <v>400</v>
      </c>
      <c r="K238" s="447">
        <v>1316</v>
      </c>
    </row>
    <row r="239" spans="1:11" ht="14.45" customHeight="1" x14ac:dyDescent="0.2">
      <c r="A239" s="441" t="s">
        <v>437</v>
      </c>
      <c r="B239" s="442" t="s">
        <v>438</v>
      </c>
      <c r="C239" s="443" t="s">
        <v>444</v>
      </c>
      <c r="D239" s="444" t="s">
        <v>445</v>
      </c>
      <c r="E239" s="443" t="s">
        <v>754</v>
      </c>
      <c r="F239" s="444" t="s">
        <v>755</v>
      </c>
      <c r="G239" s="443" t="s">
        <v>1064</v>
      </c>
      <c r="H239" s="443" t="s">
        <v>1065</v>
      </c>
      <c r="I239" s="446">
        <v>843.3699951171875</v>
      </c>
      <c r="J239" s="446">
        <v>5</v>
      </c>
      <c r="K239" s="447">
        <v>4216.8499755859375</v>
      </c>
    </row>
    <row r="240" spans="1:11" ht="14.45" customHeight="1" x14ac:dyDescent="0.2">
      <c r="A240" s="441" t="s">
        <v>437</v>
      </c>
      <c r="B240" s="442" t="s">
        <v>438</v>
      </c>
      <c r="C240" s="443" t="s">
        <v>444</v>
      </c>
      <c r="D240" s="444" t="s">
        <v>445</v>
      </c>
      <c r="E240" s="443" t="s">
        <v>754</v>
      </c>
      <c r="F240" s="444" t="s">
        <v>755</v>
      </c>
      <c r="G240" s="443" t="s">
        <v>1066</v>
      </c>
      <c r="H240" s="443" t="s">
        <v>1067</v>
      </c>
      <c r="I240" s="446">
        <v>843.3699951171875</v>
      </c>
      <c r="J240" s="446">
        <v>2</v>
      </c>
      <c r="K240" s="447">
        <v>1686.739990234375</v>
      </c>
    </row>
    <row r="241" spans="1:11" ht="14.45" customHeight="1" x14ac:dyDescent="0.2">
      <c r="A241" s="441" t="s">
        <v>437</v>
      </c>
      <c r="B241" s="442" t="s">
        <v>438</v>
      </c>
      <c r="C241" s="443" t="s">
        <v>444</v>
      </c>
      <c r="D241" s="444" t="s">
        <v>445</v>
      </c>
      <c r="E241" s="443" t="s">
        <v>754</v>
      </c>
      <c r="F241" s="444" t="s">
        <v>755</v>
      </c>
      <c r="G241" s="443" t="s">
        <v>1068</v>
      </c>
      <c r="H241" s="443" t="s">
        <v>1069</v>
      </c>
      <c r="I241" s="446">
        <v>811.92000325520837</v>
      </c>
      <c r="J241" s="446">
        <v>4</v>
      </c>
      <c r="K241" s="447">
        <v>3279.1300048828125</v>
      </c>
    </row>
    <row r="242" spans="1:11" ht="14.45" customHeight="1" x14ac:dyDescent="0.2">
      <c r="A242" s="441" t="s">
        <v>437</v>
      </c>
      <c r="B242" s="442" t="s">
        <v>438</v>
      </c>
      <c r="C242" s="443" t="s">
        <v>444</v>
      </c>
      <c r="D242" s="444" t="s">
        <v>445</v>
      </c>
      <c r="E242" s="443" t="s">
        <v>754</v>
      </c>
      <c r="F242" s="444" t="s">
        <v>755</v>
      </c>
      <c r="G242" s="443" t="s">
        <v>1070</v>
      </c>
      <c r="H242" s="443" t="s">
        <v>1071</v>
      </c>
      <c r="I242" s="446">
        <v>843.3699951171875</v>
      </c>
      <c r="J242" s="446">
        <v>3</v>
      </c>
      <c r="K242" s="447">
        <v>2530.1099853515625</v>
      </c>
    </row>
    <row r="243" spans="1:11" ht="14.45" customHeight="1" x14ac:dyDescent="0.2">
      <c r="A243" s="441" t="s">
        <v>437</v>
      </c>
      <c r="B243" s="442" t="s">
        <v>438</v>
      </c>
      <c r="C243" s="443" t="s">
        <v>444</v>
      </c>
      <c r="D243" s="444" t="s">
        <v>445</v>
      </c>
      <c r="E243" s="443" t="s">
        <v>754</v>
      </c>
      <c r="F243" s="444" t="s">
        <v>755</v>
      </c>
      <c r="G243" s="443" t="s">
        <v>1072</v>
      </c>
      <c r="H243" s="443" t="s">
        <v>1073</v>
      </c>
      <c r="I243" s="446">
        <v>843.3900146484375</v>
      </c>
      <c r="J243" s="446">
        <v>1</v>
      </c>
      <c r="K243" s="447">
        <v>843.3900146484375</v>
      </c>
    </row>
    <row r="244" spans="1:11" ht="14.45" customHeight="1" x14ac:dyDescent="0.2">
      <c r="A244" s="441" t="s">
        <v>437</v>
      </c>
      <c r="B244" s="442" t="s">
        <v>438</v>
      </c>
      <c r="C244" s="443" t="s">
        <v>444</v>
      </c>
      <c r="D244" s="444" t="s">
        <v>445</v>
      </c>
      <c r="E244" s="443" t="s">
        <v>754</v>
      </c>
      <c r="F244" s="444" t="s">
        <v>755</v>
      </c>
      <c r="G244" s="443" t="s">
        <v>1074</v>
      </c>
      <c r="H244" s="443" t="s">
        <v>1075</v>
      </c>
      <c r="I244" s="446">
        <v>843.385009765625</v>
      </c>
      <c r="J244" s="446">
        <v>3</v>
      </c>
      <c r="K244" s="447">
        <v>2530.1600341796875</v>
      </c>
    </row>
    <row r="245" spans="1:11" ht="14.45" customHeight="1" x14ac:dyDescent="0.2">
      <c r="A245" s="441" t="s">
        <v>437</v>
      </c>
      <c r="B245" s="442" t="s">
        <v>438</v>
      </c>
      <c r="C245" s="443" t="s">
        <v>444</v>
      </c>
      <c r="D245" s="444" t="s">
        <v>445</v>
      </c>
      <c r="E245" s="443" t="s">
        <v>754</v>
      </c>
      <c r="F245" s="444" t="s">
        <v>755</v>
      </c>
      <c r="G245" s="443" t="s">
        <v>1076</v>
      </c>
      <c r="H245" s="443" t="s">
        <v>1077</v>
      </c>
      <c r="I245" s="446">
        <v>843.3699951171875</v>
      </c>
      <c r="J245" s="446">
        <v>3</v>
      </c>
      <c r="K245" s="447">
        <v>2530.1099853515625</v>
      </c>
    </row>
    <row r="246" spans="1:11" ht="14.45" customHeight="1" x14ac:dyDescent="0.2">
      <c r="A246" s="441" t="s">
        <v>437</v>
      </c>
      <c r="B246" s="442" t="s">
        <v>438</v>
      </c>
      <c r="C246" s="443" t="s">
        <v>444</v>
      </c>
      <c r="D246" s="444" t="s">
        <v>445</v>
      </c>
      <c r="E246" s="443" t="s">
        <v>754</v>
      </c>
      <c r="F246" s="444" t="s">
        <v>755</v>
      </c>
      <c r="G246" s="443" t="s">
        <v>1078</v>
      </c>
      <c r="H246" s="443" t="s">
        <v>1079</v>
      </c>
      <c r="I246" s="446">
        <v>15.270000457763672</v>
      </c>
      <c r="J246" s="446">
        <v>120</v>
      </c>
      <c r="K246" s="447">
        <v>1832.010009765625</v>
      </c>
    </row>
    <row r="247" spans="1:11" ht="14.45" customHeight="1" x14ac:dyDescent="0.2">
      <c r="A247" s="441" t="s">
        <v>437</v>
      </c>
      <c r="B247" s="442" t="s">
        <v>438</v>
      </c>
      <c r="C247" s="443" t="s">
        <v>444</v>
      </c>
      <c r="D247" s="444" t="s">
        <v>445</v>
      </c>
      <c r="E247" s="443" t="s">
        <v>754</v>
      </c>
      <c r="F247" s="444" t="s">
        <v>755</v>
      </c>
      <c r="G247" s="443" t="s">
        <v>1080</v>
      </c>
      <c r="H247" s="443" t="s">
        <v>1081</v>
      </c>
      <c r="I247" s="446">
        <v>28.459999084472656</v>
      </c>
      <c r="J247" s="446">
        <v>40</v>
      </c>
      <c r="K247" s="447">
        <v>1138.56005859375</v>
      </c>
    </row>
    <row r="248" spans="1:11" ht="14.45" customHeight="1" x14ac:dyDescent="0.2">
      <c r="A248" s="441" t="s">
        <v>437</v>
      </c>
      <c r="B248" s="442" t="s">
        <v>438</v>
      </c>
      <c r="C248" s="443" t="s">
        <v>444</v>
      </c>
      <c r="D248" s="444" t="s">
        <v>445</v>
      </c>
      <c r="E248" s="443" t="s">
        <v>754</v>
      </c>
      <c r="F248" s="444" t="s">
        <v>755</v>
      </c>
      <c r="G248" s="443" t="s">
        <v>1082</v>
      </c>
      <c r="H248" s="443" t="s">
        <v>1083</v>
      </c>
      <c r="I248" s="446">
        <v>268.8074951171875</v>
      </c>
      <c r="J248" s="446">
        <v>25</v>
      </c>
      <c r="K248" s="447">
        <v>6686.5201416015625</v>
      </c>
    </row>
    <row r="249" spans="1:11" ht="14.45" customHeight="1" x14ac:dyDescent="0.2">
      <c r="A249" s="441" t="s">
        <v>437</v>
      </c>
      <c r="B249" s="442" t="s">
        <v>438</v>
      </c>
      <c r="C249" s="443" t="s">
        <v>444</v>
      </c>
      <c r="D249" s="444" t="s">
        <v>445</v>
      </c>
      <c r="E249" s="443" t="s">
        <v>754</v>
      </c>
      <c r="F249" s="444" t="s">
        <v>755</v>
      </c>
      <c r="G249" s="443" t="s">
        <v>1084</v>
      </c>
      <c r="H249" s="443" t="s">
        <v>1085</v>
      </c>
      <c r="I249" s="446">
        <v>72.480003356933594</v>
      </c>
      <c r="J249" s="446">
        <v>160</v>
      </c>
      <c r="K249" s="447">
        <v>11596.809814453125</v>
      </c>
    </row>
    <row r="250" spans="1:11" ht="14.45" customHeight="1" x14ac:dyDescent="0.2">
      <c r="A250" s="441" t="s">
        <v>437</v>
      </c>
      <c r="B250" s="442" t="s">
        <v>438</v>
      </c>
      <c r="C250" s="443" t="s">
        <v>444</v>
      </c>
      <c r="D250" s="444" t="s">
        <v>445</v>
      </c>
      <c r="E250" s="443" t="s">
        <v>754</v>
      </c>
      <c r="F250" s="444" t="s">
        <v>755</v>
      </c>
      <c r="G250" s="443" t="s">
        <v>1086</v>
      </c>
      <c r="H250" s="443" t="s">
        <v>1087</v>
      </c>
      <c r="I250" s="446">
        <v>120</v>
      </c>
      <c r="J250" s="446">
        <v>15</v>
      </c>
      <c r="K250" s="447">
        <v>1799.989990234375</v>
      </c>
    </row>
    <row r="251" spans="1:11" ht="14.45" customHeight="1" x14ac:dyDescent="0.2">
      <c r="A251" s="441" t="s">
        <v>437</v>
      </c>
      <c r="B251" s="442" t="s">
        <v>438</v>
      </c>
      <c r="C251" s="443" t="s">
        <v>444</v>
      </c>
      <c r="D251" s="444" t="s">
        <v>445</v>
      </c>
      <c r="E251" s="443" t="s">
        <v>754</v>
      </c>
      <c r="F251" s="444" t="s">
        <v>755</v>
      </c>
      <c r="G251" s="443" t="s">
        <v>1088</v>
      </c>
      <c r="H251" s="443" t="s">
        <v>1089</v>
      </c>
      <c r="I251" s="446">
        <v>120</v>
      </c>
      <c r="J251" s="446">
        <v>15</v>
      </c>
      <c r="K251" s="447">
        <v>1799.989990234375</v>
      </c>
    </row>
    <row r="252" spans="1:11" ht="14.45" customHeight="1" x14ac:dyDescent="0.2">
      <c r="A252" s="441" t="s">
        <v>437</v>
      </c>
      <c r="B252" s="442" t="s">
        <v>438</v>
      </c>
      <c r="C252" s="443" t="s">
        <v>444</v>
      </c>
      <c r="D252" s="444" t="s">
        <v>445</v>
      </c>
      <c r="E252" s="443" t="s">
        <v>754</v>
      </c>
      <c r="F252" s="444" t="s">
        <v>755</v>
      </c>
      <c r="G252" s="443" t="s">
        <v>1090</v>
      </c>
      <c r="H252" s="443" t="s">
        <v>1091</v>
      </c>
      <c r="I252" s="446">
        <v>120</v>
      </c>
      <c r="J252" s="446">
        <v>15</v>
      </c>
      <c r="K252" s="447">
        <v>1799.989990234375</v>
      </c>
    </row>
    <row r="253" spans="1:11" ht="14.45" customHeight="1" x14ac:dyDescent="0.2">
      <c r="A253" s="441" t="s">
        <v>437</v>
      </c>
      <c r="B253" s="442" t="s">
        <v>438</v>
      </c>
      <c r="C253" s="443" t="s">
        <v>444</v>
      </c>
      <c r="D253" s="444" t="s">
        <v>445</v>
      </c>
      <c r="E253" s="443" t="s">
        <v>754</v>
      </c>
      <c r="F253" s="444" t="s">
        <v>755</v>
      </c>
      <c r="G253" s="443" t="s">
        <v>1092</v>
      </c>
      <c r="H253" s="443" t="s">
        <v>1093</v>
      </c>
      <c r="I253" s="446">
        <v>120</v>
      </c>
      <c r="J253" s="446">
        <v>15</v>
      </c>
      <c r="K253" s="447">
        <v>1799.989990234375</v>
      </c>
    </row>
    <row r="254" spans="1:11" ht="14.45" customHeight="1" x14ac:dyDescent="0.2">
      <c r="A254" s="441" t="s">
        <v>437</v>
      </c>
      <c r="B254" s="442" t="s">
        <v>438</v>
      </c>
      <c r="C254" s="443" t="s">
        <v>444</v>
      </c>
      <c r="D254" s="444" t="s">
        <v>445</v>
      </c>
      <c r="E254" s="443" t="s">
        <v>754</v>
      </c>
      <c r="F254" s="444" t="s">
        <v>755</v>
      </c>
      <c r="G254" s="443" t="s">
        <v>1094</v>
      </c>
      <c r="H254" s="443" t="s">
        <v>1095</v>
      </c>
      <c r="I254" s="446">
        <v>120</v>
      </c>
      <c r="J254" s="446">
        <v>25</v>
      </c>
      <c r="K254" s="447">
        <v>2999.97998046875</v>
      </c>
    </row>
    <row r="255" spans="1:11" ht="14.45" customHeight="1" x14ac:dyDescent="0.2">
      <c r="A255" s="441" t="s">
        <v>437</v>
      </c>
      <c r="B255" s="442" t="s">
        <v>438</v>
      </c>
      <c r="C255" s="443" t="s">
        <v>444</v>
      </c>
      <c r="D255" s="444" t="s">
        <v>445</v>
      </c>
      <c r="E255" s="443" t="s">
        <v>754</v>
      </c>
      <c r="F255" s="444" t="s">
        <v>755</v>
      </c>
      <c r="G255" s="443" t="s">
        <v>1096</v>
      </c>
      <c r="H255" s="443" t="s">
        <v>1097</v>
      </c>
      <c r="I255" s="446">
        <v>120</v>
      </c>
      <c r="J255" s="446">
        <v>25</v>
      </c>
      <c r="K255" s="447">
        <v>2999.97998046875</v>
      </c>
    </row>
    <row r="256" spans="1:11" ht="14.45" customHeight="1" x14ac:dyDescent="0.2">
      <c r="A256" s="441" t="s">
        <v>437</v>
      </c>
      <c r="B256" s="442" t="s">
        <v>438</v>
      </c>
      <c r="C256" s="443" t="s">
        <v>444</v>
      </c>
      <c r="D256" s="444" t="s">
        <v>445</v>
      </c>
      <c r="E256" s="443" t="s">
        <v>754</v>
      </c>
      <c r="F256" s="444" t="s">
        <v>755</v>
      </c>
      <c r="G256" s="443" t="s">
        <v>1098</v>
      </c>
      <c r="H256" s="443" t="s">
        <v>1099</v>
      </c>
      <c r="I256" s="446">
        <v>120</v>
      </c>
      <c r="J256" s="446">
        <v>25</v>
      </c>
      <c r="K256" s="447">
        <v>2999.97998046875</v>
      </c>
    </row>
    <row r="257" spans="1:11" ht="14.45" customHeight="1" x14ac:dyDescent="0.2">
      <c r="A257" s="441" t="s">
        <v>437</v>
      </c>
      <c r="B257" s="442" t="s">
        <v>438</v>
      </c>
      <c r="C257" s="443" t="s">
        <v>444</v>
      </c>
      <c r="D257" s="444" t="s">
        <v>445</v>
      </c>
      <c r="E257" s="443" t="s">
        <v>754</v>
      </c>
      <c r="F257" s="444" t="s">
        <v>755</v>
      </c>
      <c r="G257" s="443" t="s">
        <v>1100</v>
      </c>
      <c r="H257" s="443" t="s">
        <v>1101</v>
      </c>
      <c r="I257" s="446">
        <v>120</v>
      </c>
      <c r="J257" s="446">
        <v>25</v>
      </c>
      <c r="K257" s="447">
        <v>2999.97998046875</v>
      </c>
    </row>
    <row r="258" spans="1:11" ht="14.45" customHeight="1" x14ac:dyDescent="0.2">
      <c r="A258" s="441" t="s">
        <v>437</v>
      </c>
      <c r="B258" s="442" t="s">
        <v>438</v>
      </c>
      <c r="C258" s="443" t="s">
        <v>444</v>
      </c>
      <c r="D258" s="444" t="s">
        <v>445</v>
      </c>
      <c r="E258" s="443" t="s">
        <v>754</v>
      </c>
      <c r="F258" s="444" t="s">
        <v>755</v>
      </c>
      <c r="G258" s="443" t="s">
        <v>1102</v>
      </c>
      <c r="H258" s="443" t="s">
        <v>1103</v>
      </c>
      <c r="I258" s="446">
        <v>92.424999237060547</v>
      </c>
      <c r="J258" s="446">
        <v>2</v>
      </c>
      <c r="K258" s="447">
        <v>184.84999847412109</v>
      </c>
    </row>
    <row r="259" spans="1:11" ht="14.45" customHeight="1" x14ac:dyDescent="0.2">
      <c r="A259" s="441" t="s">
        <v>437</v>
      </c>
      <c r="B259" s="442" t="s">
        <v>438</v>
      </c>
      <c r="C259" s="443" t="s">
        <v>444</v>
      </c>
      <c r="D259" s="444" t="s">
        <v>445</v>
      </c>
      <c r="E259" s="443" t="s">
        <v>754</v>
      </c>
      <c r="F259" s="444" t="s">
        <v>755</v>
      </c>
      <c r="G259" s="443" t="s">
        <v>1104</v>
      </c>
      <c r="H259" s="443" t="s">
        <v>1105</v>
      </c>
      <c r="I259" s="446">
        <v>69.989997863769531</v>
      </c>
      <c r="J259" s="446">
        <v>1</v>
      </c>
      <c r="K259" s="447">
        <v>69.989997863769531</v>
      </c>
    </row>
    <row r="260" spans="1:11" ht="14.45" customHeight="1" x14ac:dyDescent="0.2">
      <c r="A260" s="441" t="s">
        <v>437</v>
      </c>
      <c r="B260" s="442" t="s">
        <v>438</v>
      </c>
      <c r="C260" s="443" t="s">
        <v>444</v>
      </c>
      <c r="D260" s="444" t="s">
        <v>445</v>
      </c>
      <c r="E260" s="443" t="s">
        <v>754</v>
      </c>
      <c r="F260" s="444" t="s">
        <v>755</v>
      </c>
      <c r="G260" s="443" t="s">
        <v>1106</v>
      </c>
      <c r="H260" s="443" t="s">
        <v>1107</v>
      </c>
      <c r="I260" s="446">
        <v>26.020000457763672</v>
      </c>
      <c r="J260" s="446">
        <v>25</v>
      </c>
      <c r="K260" s="447">
        <v>650.3800048828125</v>
      </c>
    </row>
    <row r="261" spans="1:11" ht="14.45" customHeight="1" x14ac:dyDescent="0.2">
      <c r="A261" s="441" t="s">
        <v>437</v>
      </c>
      <c r="B261" s="442" t="s">
        <v>438</v>
      </c>
      <c r="C261" s="443" t="s">
        <v>444</v>
      </c>
      <c r="D261" s="444" t="s">
        <v>445</v>
      </c>
      <c r="E261" s="443" t="s">
        <v>754</v>
      </c>
      <c r="F261" s="444" t="s">
        <v>755</v>
      </c>
      <c r="G261" s="443" t="s">
        <v>1108</v>
      </c>
      <c r="H261" s="443" t="s">
        <v>1109</v>
      </c>
      <c r="I261" s="446">
        <v>1380.9788682725693</v>
      </c>
      <c r="J261" s="446">
        <v>29</v>
      </c>
      <c r="K261" s="447">
        <v>40048.350830078125</v>
      </c>
    </row>
    <row r="262" spans="1:11" ht="14.45" customHeight="1" x14ac:dyDescent="0.2">
      <c r="A262" s="441" t="s">
        <v>437</v>
      </c>
      <c r="B262" s="442" t="s">
        <v>438</v>
      </c>
      <c r="C262" s="443" t="s">
        <v>444</v>
      </c>
      <c r="D262" s="444" t="s">
        <v>445</v>
      </c>
      <c r="E262" s="443" t="s">
        <v>754</v>
      </c>
      <c r="F262" s="444" t="s">
        <v>755</v>
      </c>
      <c r="G262" s="443" t="s">
        <v>1110</v>
      </c>
      <c r="H262" s="443" t="s">
        <v>1111</v>
      </c>
      <c r="I262" s="446">
        <v>1553.6400146484375</v>
      </c>
      <c r="J262" s="446">
        <v>1</v>
      </c>
      <c r="K262" s="447">
        <v>1553.6400146484375</v>
      </c>
    </row>
    <row r="263" spans="1:11" ht="14.45" customHeight="1" x14ac:dyDescent="0.2">
      <c r="A263" s="441" t="s">
        <v>437</v>
      </c>
      <c r="B263" s="442" t="s">
        <v>438</v>
      </c>
      <c r="C263" s="443" t="s">
        <v>444</v>
      </c>
      <c r="D263" s="444" t="s">
        <v>445</v>
      </c>
      <c r="E263" s="443" t="s">
        <v>754</v>
      </c>
      <c r="F263" s="444" t="s">
        <v>755</v>
      </c>
      <c r="G263" s="443" t="s">
        <v>1112</v>
      </c>
      <c r="H263" s="443" t="s">
        <v>1113</v>
      </c>
      <c r="I263" s="446">
        <v>452.489990234375</v>
      </c>
      <c r="J263" s="446">
        <v>6</v>
      </c>
      <c r="K263" s="447">
        <v>2714.949951171875</v>
      </c>
    </row>
    <row r="264" spans="1:11" ht="14.45" customHeight="1" x14ac:dyDescent="0.2">
      <c r="A264" s="441" t="s">
        <v>437</v>
      </c>
      <c r="B264" s="442" t="s">
        <v>438</v>
      </c>
      <c r="C264" s="443" t="s">
        <v>444</v>
      </c>
      <c r="D264" s="444" t="s">
        <v>445</v>
      </c>
      <c r="E264" s="443" t="s">
        <v>754</v>
      </c>
      <c r="F264" s="444" t="s">
        <v>755</v>
      </c>
      <c r="G264" s="443" t="s">
        <v>1114</v>
      </c>
      <c r="H264" s="443" t="s">
        <v>1115</v>
      </c>
      <c r="I264" s="446">
        <v>692</v>
      </c>
      <c r="J264" s="446">
        <v>1</v>
      </c>
      <c r="K264" s="447">
        <v>692</v>
      </c>
    </row>
    <row r="265" spans="1:11" ht="14.45" customHeight="1" x14ac:dyDescent="0.2">
      <c r="A265" s="441" t="s">
        <v>437</v>
      </c>
      <c r="B265" s="442" t="s">
        <v>438</v>
      </c>
      <c r="C265" s="443" t="s">
        <v>444</v>
      </c>
      <c r="D265" s="444" t="s">
        <v>445</v>
      </c>
      <c r="E265" s="443" t="s">
        <v>754</v>
      </c>
      <c r="F265" s="444" t="s">
        <v>755</v>
      </c>
      <c r="G265" s="443" t="s">
        <v>1116</v>
      </c>
      <c r="H265" s="443" t="s">
        <v>1117</v>
      </c>
      <c r="I265" s="446">
        <v>686.4000244140625</v>
      </c>
      <c r="J265" s="446">
        <v>2</v>
      </c>
      <c r="K265" s="447">
        <v>1372.800048828125</v>
      </c>
    </row>
    <row r="266" spans="1:11" ht="14.45" customHeight="1" x14ac:dyDescent="0.2">
      <c r="A266" s="441" t="s">
        <v>437</v>
      </c>
      <c r="B266" s="442" t="s">
        <v>438</v>
      </c>
      <c r="C266" s="443" t="s">
        <v>444</v>
      </c>
      <c r="D266" s="444" t="s">
        <v>445</v>
      </c>
      <c r="E266" s="443" t="s">
        <v>754</v>
      </c>
      <c r="F266" s="444" t="s">
        <v>755</v>
      </c>
      <c r="G266" s="443" t="s">
        <v>1118</v>
      </c>
      <c r="H266" s="443" t="s">
        <v>1119</v>
      </c>
      <c r="I266" s="446">
        <v>1049</v>
      </c>
      <c r="J266" s="446">
        <v>1</v>
      </c>
      <c r="K266" s="447">
        <v>1049</v>
      </c>
    </row>
    <row r="267" spans="1:11" ht="14.45" customHeight="1" x14ac:dyDescent="0.2">
      <c r="A267" s="441" t="s">
        <v>437</v>
      </c>
      <c r="B267" s="442" t="s">
        <v>438</v>
      </c>
      <c r="C267" s="443" t="s">
        <v>444</v>
      </c>
      <c r="D267" s="444" t="s">
        <v>445</v>
      </c>
      <c r="E267" s="443" t="s">
        <v>754</v>
      </c>
      <c r="F267" s="444" t="s">
        <v>755</v>
      </c>
      <c r="G267" s="443" t="s">
        <v>1120</v>
      </c>
      <c r="H267" s="443" t="s">
        <v>1121</v>
      </c>
      <c r="I267" s="446">
        <v>1049</v>
      </c>
      <c r="J267" s="446">
        <v>1</v>
      </c>
      <c r="K267" s="447">
        <v>1049</v>
      </c>
    </row>
    <row r="268" spans="1:11" ht="14.45" customHeight="1" x14ac:dyDescent="0.2">
      <c r="A268" s="441" t="s">
        <v>437</v>
      </c>
      <c r="B268" s="442" t="s">
        <v>438</v>
      </c>
      <c r="C268" s="443" t="s">
        <v>444</v>
      </c>
      <c r="D268" s="444" t="s">
        <v>445</v>
      </c>
      <c r="E268" s="443" t="s">
        <v>754</v>
      </c>
      <c r="F268" s="444" t="s">
        <v>755</v>
      </c>
      <c r="G268" s="443" t="s">
        <v>1122</v>
      </c>
      <c r="H268" s="443" t="s">
        <v>1123</v>
      </c>
      <c r="I268" s="446">
        <v>1049</v>
      </c>
      <c r="J268" s="446">
        <v>1</v>
      </c>
      <c r="K268" s="447">
        <v>1049</v>
      </c>
    </row>
    <row r="269" spans="1:11" ht="14.45" customHeight="1" x14ac:dyDescent="0.2">
      <c r="A269" s="441" t="s">
        <v>437</v>
      </c>
      <c r="B269" s="442" t="s">
        <v>438</v>
      </c>
      <c r="C269" s="443" t="s">
        <v>444</v>
      </c>
      <c r="D269" s="444" t="s">
        <v>445</v>
      </c>
      <c r="E269" s="443" t="s">
        <v>754</v>
      </c>
      <c r="F269" s="444" t="s">
        <v>755</v>
      </c>
      <c r="G269" s="443" t="s">
        <v>1124</v>
      </c>
      <c r="H269" s="443" t="s">
        <v>1125</v>
      </c>
      <c r="I269" s="446">
        <v>1049</v>
      </c>
      <c r="J269" s="446">
        <v>1</v>
      </c>
      <c r="K269" s="447">
        <v>1049</v>
      </c>
    </row>
    <row r="270" spans="1:11" ht="14.45" customHeight="1" x14ac:dyDescent="0.2">
      <c r="A270" s="441" t="s">
        <v>437</v>
      </c>
      <c r="B270" s="442" t="s">
        <v>438</v>
      </c>
      <c r="C270" s="443" t="s">
        <v>444</v>
      </c>
      <c r="D270" s="444" t="s">
        <v>445</v>
      </c>
      <c r="E270" s="443" t="s">
        <v>754</v>
      </c>
      <c r="F270" s="444" t="s">
        <v>755</v>
      </c>
      <c r="G270" s="443" t="s">
        <v>1126</v>
      </c>
      <c r="H270" s="443" t="s">
        <v>1127</v>
      </c>
      <c r="I270" s="446">
        <v>1049</v>
      </c>
      <c r="J270" s="446">
        <v>1</v>
      </c>
      <c r="K270" s="447">
        <v>1049</v>
      </c>
    </row>
    <row r="271" spans="1:11" ht="14.45" customHeight="1" x14ac:dyDescent="0.2">
      <c r="A271" s="441" t="s">
        <v>437</v>
      </c>
      <c r="B271" s="442" t="s">
        <v>438</v>
      </c>
      <c r="C271" s="443" t="s">
        <v>444</v>
      </c>
      <c r="D271" s="444" t="s">
        <v>445</v>
      </c>
      <c r="E271" s="443" t="s">
        <v>754</v>
      </c>
      <c r="F271" s="444" t="s">
        <v>755</v>
      </c>
      <c r="G271" s="443" t="s">
        <v>1128</v>
      </c>
      <c r="H271" s="443" t="s">
        <v>1129</v>
      </c>
      <c r="I271" s="446">
        <v>1049</v>
      </c>
      <c r="J271" s="446">
        <v>1</v>
      </c>
      <c r="K271" s="447">
        <v>1049</v>
      </c>
    </row>
    <row r="272" spans="1:11" ht="14.45" customHeight="1" x14ac:dyDescent="0.2">
      <c r="A272" s="441" t="s">
        <v>437</v>
      </c>
      <c r="B272" s="442" t="s">
        <v>438</v>
      </c>
      <c r="C272" s="443" t="s">
        <v>444</v>
      </c>
      <c r="D272" s="444" t="s">
        <v>445</v>
      </c>
      <c r="E272" s="443" t="s">
        <v>754</v>
      </c>
      <c r="F272" s="444" t="s">
        <v>755</v>
      </c>
      <c r="G272" s="443" t="s">
        <v>1130</v>
      </c>
      <c r="H272" s="443" t="s">
        <v>1131</v>
      </c>
      <c r="I272" s="446">
        <v>1049</v>
      </c>
      <c r="J272" s="446">
        <v>1</v>
      </c>
      <c r="K272" s="447">
        <v>1049</v>
      </c>
    </row>
    <row r="273" spans="1:11" ht="14.45" customHeight="1" x14ac:dyDescent="0.2">
      <c r="A273" s="441" t="s">
        <v>437</v>
      </c>
      <c r="B273" s="442" t="s">
        <v>438</v>
      </c>
      <c r="C273" s="443" t="s">
        <v>444</v>
      </c>
      <c r="D273" s="444" t="s">
        <v>445</v>
      </c>
      <c r="E273" s="443" t="s">
        <v>754</v>
      </c>
      <c r="F273" s="444" t="s">
        <v>755</v>
      </c>
      <c r="G273" s="443" t="s">
        <v>1132</v>
      </c>
      <c r="H273" s="443" t="s">
        <v>1133</v>
      </c>
      <c r="I273" s="446">
        <v>1049</v>
      </c>
      <c r="J273" s="446">
        <v>1</v>
      </c>
      <c r="K273" s="447">
        <v>1049</v>
      </c>
    </row>
    <row r="274" spans="1:11" ht="14.45" customHeight="1" x14ac:dyDescent="0.2">
      <c r="A274" s="441" t="s">
        <v>437</v>
      </c>
      <c r="B274" s="442" t="s">
        <v>438</v>
      </c>
      <c r="C274" s="443" t="s">
        <v>444</v>
      </c>
      <c r="D274" s="444" t="s">
        <v>445</v>
      </c>
      <c r="E274" s="443" t="s">
        <v>754</v>
      </c>
      <c r="F274" s="444" t="s">
        <v>755</v>
      </c>
      <c r="G274" s="443" t="s">
        <v>1134</v>
      </c>
      <c r="H274" s="443" t="s">
        <v>1135</v>
      </c>
      <c r="I274" s="446">
        <v>1049</v>
      </c>
      <c r="J274" s="446">
        <v>1</v>
      </c>
      <c r="K274" s="447">
        <v>1049</v>
      </c>
    </row>
    <row r="275" spans="1:11" ht="14.45" customHeight="1" x14ac:dyDescent="0.2">
      <c r="A275" s="441" t="s">
        <v>437</v>
      </c>
      <c r="B275" s="442" t="s">
        <v>438</v>
      </c>
      <c r="C275" s="443" t="s">
        <v>444</v>
      </c>
      <c r="D275" s="444" t="s">
        <v>445</v>
      </c>
      <c r="E275" s="443" t="s">
        <v>754</v>
      </c>
      <c r="F275" s="444" t="s">
        <v>755</v>
      </c>
      <c r="G275" s="443" t="s">
        <v>1136</v>
      </c>
      <c r="H275" s="443" t="s">
        <v>1137</v>
      </c>
      <c r="I275" s="446">
        <v>1049</v>
      </c>
      <c r="J275" s="446">
        <v>1</v>
      </c>
      <c r="K275" s="447">
        <v>1049</v>
      </c>
    </row>
    <row r="276" spans="1:11" ht="14.45" customHeight="1" x14ac:dyDescent="0.2">
      <c r="A276" s="441" t="s">
        <v>437</v>
      </c>
      <c r="B276" s="442" t="s">
        <v>438</v>
      </c>
      <c r="C276" s="443" t="s">
        <v>444</v>
      </c>
      <c r="D276" s="444" t="s">
        <v>445</v>
      </c>
      <c r="E276" s="443" t="s">
        <v>754</v>
      </c>
      <c r="F276" s="444" t="s">
        <v>755</v>
      </c>
      <c r="G276" s="443" t="s">
        <v>1138</v>
      </c>
      <c r="H276" s="443" t="s">
        <v>1139</v>
      </c>
      <c r="I276" s="446">
        <v>949</v>
      </c>
      <c r="J276" s="446">
        <v>1</v>
      </c>
      <c r="K276" s="447">
        <v>949</v>
      </c>
    </row>
    <row r="277" spans="1:11" ht="14.45" customHeight="1" x14ac:dyDescent="0.2">
      <c r="A277" s="441" t="s">
        <v>437</v>
      </c>
      <c r="B277" s="442" t="s">
        <v>438</v>
      </c>
      <c r="C277" s="443" t="s">
        <v>444</v>
      </c>
      <c r="D277" s="444" t="s">
        <v>445</v>
      </c>
      <c r="E277" s="443" t="s">
        <v>754</v>
      </c>
      <c r="F277" s="444" t="s">
        <v>755</v>
      </c>
      <c r="G277" s="443" t="s">
        <v>1140</v>
      </c>
      <c r="H277" s="443" t="s">
        <v>1141</v>
      </c>
      <c r="I277" s="446">
        <v>949</v>
      </c>
      <c r="J277" s="446">
        <v>1</v>
      </c>
      <c r="K277" s="447">
        <v>949</v>
      </c>
    </row>
    <row r="278" spans="1:11" ht="14.45" customHeight="1" x14ac:dyDescent="0.2">
      <c r="A278" s="441" t="s">
        <v>437</v>
      </c>
      <c r="B278" s="442" t="s">
        <v>438</v>
      </c>
      <c r="C278" s="443" t="s">
        <v>444</v>
      </c>
      <c r="D278" s="444" t="s">
        <v>445</v>
      </c>
      <c r="E278" s="443" t="s">
        <v>754</v>
      </c>
      <c r="F278" s="444" t="s">
        <v>755</v>
      </c>
      <c r="G278" s="443" t="s">
        <v>1142</v>
      </c>
      <c r="H278" s="443" t="s">
        <v>1143</v>
      </c>
      <c r="I278" s="446">
        <v>949</v>
      </c>
      <c r="J278" s="446">
        <v>1</v>
      </c>
      <c r="K278" s="447">
        <v>949</v>
      </c>
    </row>
    <row r="279" spans="1:11" ht="14.45" customHeight="1" x14ac:dyDescent="0.2">
      <c r="A279" s="441" t="s">
        <v>437</v>
      </c>
      <c r="B279" s="442" t="s">
        <v>438</v>
      </c>
      <c r="C279" s="443" t="s">
        <v>444</v>
      </c>
      <c r="D279" s="444" t="s">
        <v>445</v>
      </c>
      <c r="E279" s="443" t="s">
        <v>754</v>
      </c>
      <c r="F279" s="444" t="s">
        <v>755</v>
      </c>
      <c r="G279" s="443" t="s">
        <v>1144</v>
      </c>
      <c r="H279" s="443" t="s">
        <v>1145</v>
      </c>
      <c r="I279" s="446">
        <v>949</v>
      </c>
      <c r="J279" s="446">
        <v>1</v>
      </c>
      <c r="K279" s="447">
        <v>949</v>
      </c>
    </row>
    <row r="280" spans="1:11" ht="14.45" customHeight="1" x14ac:dyDescent="0.2">
      <c r="A280" s="441" t="s">
        <v>437</v>
      </c>
      <c r="B280" s="442" t="s">
        <v>438</v>
      </c>
      <c r="C280" s="443" t="s">
        <v>444</v>
      </c>
      <c r="D280" s="444" t="s">
        <v>445</v>
      </c>
      <c r="E280" s="443" t="s">
        <v>754</v>
      </c>
      <c r="F280" s="444" t="s">
        <v>755</v>
      </c>
      <c r="G280" s="443" t="s">
        <v>1146</v>
      </c>
      <c r="H280" s="443" t="s">
        <v>1147</v>
      </c>
      <c r="I280" s="446">
        <v>949</v>
      </c>
      <c r="J280" s="446">
        <v>1</v>
      </c>
      <c r="K280" s="447">
        <v>949</v>
      </c>
    </row>
    <row r="281" spans="1:11" ht="14.45" customHeight="1" x14ac:dyDescent="0.2">
      <c r="A281" s="441" t="s">
        <v>437</v>
      </c>
      <c r="B281" s="442" t="s">
        <v>438</v>
      </c>
      <c r="C281" s="443" t="s">
        <v>444</v>
      </c>
      <c r="D281" s="444" t="s">
        <v>445</v>
      </c>
      <c r="E281" s="443" t="s">
        <v>754</v>
      </c>
      <c r="F281" s="444" t="s">
        <v>755</v>
      </c>
      <c r="G281" s="443" t="s">
        <v>1148</v>
      </c>
      <c r="H281" s="443" t="s">
        <v>1149</v>
      </c>
      <c r="I281" s="446">
        <v>949</v>
      </c>
      <c r="J281" s="446">
        <v>1</v>
      </c>
      <c r="K281" s="447">
        <v>949</v>
      </c>
    </row>
    <row r="282" spans="1:11" ht="14.45" customHeight="1" x14ac:dyDescent="0.2">
      <c r="A282" s="441" t="s">
        <v>437</v>
      </c>
      <c r="B282" s="442" t="s">
        <v>438</v>
      </c>
      <c r="C282" s="443" t="s">
        <v>444</v>
      </c>
      <c r="D282" s="444" t="s">
        <v>445</v>
      </c>
      <c r="E282" s="443" t="s">
        <v>754</v>
      </c>
      <c r="F282" s="444" t="s">
        <v>755</v>
      </c>
      <c r="G282" s="443" t="s">
        <v>1150</v>
      </c>
      <c r="H282" s="443" t="s">
        <v>1151</v>
      </c>
      <c r="I282" s="446">
        <v>709</v>
      </c>
      <c r="J282" s="446">
        <v>1</v>
      </c>
      <c r="K282" s="447">
        <v>709</v>
      </c>
    </row>
    <row r="283" spans="1:11" ht="14.45" customHeight="1" x14ac:dyDescent="0.2">
      <c r="A283" s="441" t="s">
        <v>437</v>
      </c>
      <c r="B283" s="442" t="s">
        <v>438</v>
      </c>
      <c r="C283" s="443" t="s">
        <v>444</v>
      </c>
      <c r="D283" s="444" t="s">
        <v>445</v>
      </c>
      <c r="E283" s="443" t="s">
        <v>754</v>
      </c>
      <c r="F283" s="444" t="s">
        <v>755</v>
      </c>
      <c r="G283" s="443" t="s">
        <v>1152</v>
      </c>
      <c r="H283" s="443" t="s">
        <v>1153</v>
      </c>
      <c r="I283" s="446">
        <v>709</v>
      </c>
      <c r="J283" s="446">
        <v>1</v>
      </c>
      <c r="K283" s="447">
        <v>709</v>
      </c>
    </row>
    <row r="284" spans="1:11" ht="14.45" customHeight="1" x14ac:dyDescent="0.2">
      <c r="A284" s="441" t="s">
        <v>437</v>
      </c>
      <c r="B284" s="442" t="s">
        <v>438</v>
      </c>
      <c r="C284" s="443" t="s">
        <v>444</v>
      </c>
      <c r="D284" s="444" t="s">
        <v>445</v>
      </c>
      <c r="E284" s="443" t="s">
        <v>754</v>
      </c>
      <c r="F284" s="444" t="s">
        <v>755</v>
      </c>
      <c r="G284" s="443" t="s">
        <v>1154</v>
      </c>
      <c r="H284" s="443" t="s">
        <v>1155</v>
      </c>
      <c r="I284" s="446">
        <v>709</v>
      </c>
      <c r="J284" s="446">
        <v>1</v>
      </c>
      <c r="K284" s="447">
        <v>709</v>
      </c>
    </row>
    <row r="285" spans="1:11" ht="14.45" customHeight="1" x14ac:dyDescent="0.2">
      <c r="A285" s="441" t="s">
        <v>437</v>
      </c>
      <c r="B285" s="442" t="s">
        <v>438</v>
      </c>
      <c r="C285" s="443" t="s">
        <v>444</v>
      </c>
      <c r="D285" s="444" t="s">
        <v>445</v>
      </c>
      <c r="E285" s="443" t="s">
        <v>754</v>
      </c>
      <c r="F285" s="444" t="s">
        <v>755</v>
      </c>
      <c r="G285" s="443" t="s">
        <v>1156</v>
      </c>
      <c r="H285" s="443" t="s">
        <v>1157</v>
      </c>
      <c r="I285" s="446">
        <v>709</v>
      </c>
      <c r="J285" s="446">
        <v>1</v>
      </c>
      <c r="K285" s="447">
        <v>709</v>
      </c>
    </row>
    <row r="286" spans="1:11" ht="14.45" customHeight="1" x14ac:dyDescent="0.2">
      <c r="A286" s="441" t="s">
        <v>437</v>
      </c>
      <c r="B286" s="442" t="s">
        <v>438</v>
      </c>
      <c r="C286" s="443" t="s">
        <v>444</v>
      </c>
      <c r="D286" s="444" t="s">
        <v>445</v>
      </c>
      <c r="E286" s="443" t="s">
        <v>754</v>
      </c>
      <c r="F286" s="444" t="s">
        <v>755</v>
      </c>
      <c r="G286" s="443" t="s">
        <v>1158</v>
      </c>
      <c r="H286" s="443" t="s">
        <v>1159</v>
      </c>
      <c r="I286" s="446">
        <v>709</v>
      </c>
      <c r="J286" s="446">
        <v>1</v>
      </c>
      <c r="K286" s="447">
        <v>709</v>
      </c>
    </row>
    <row r="287" spans="1:11" ht="14.45" customHeight="1" x14ac:dyDescent="0.2">
      <c r="A287" s="441" t="s">
        <v>437</v>
      </c>
      <c r="B287" s="442" t="s">
        <v>438</v>
      </c>
      <c r="C287" s="443" t="s">
        <v>444</v>
      </c>
      <c r="D287" s="444" t="s">
        <v>445</v>
      </c>
      <c r="E287" s="443" t="s">
        <v>754</v>
      </c>
      <c r="F287" s="444" t="s">
        <v>755</v>
      </c>
      <c r="G287" s="443" t="s">
        <v>1160</v>
      </c>
      <c r="H287" s="443" t="s">
        <v>1161</v>
      </c>
      <c r="I287" s="446">
        <v>619</v>
      </c>
      <c r="J287" s="446">
        <v>1</v>
      </c>
      <c r="K287" s="447">
        <v>619</v>
      </c>
    </row>
    <row r="288" spans="1:11" ht="14.45" customHeight="1" x14ac:dyDescent="0.2">
      <c r="A288" s="441" t="s">
        <v>437</v>
      </c>
      <c r="B288" s="442" t="s">
        <v>438</v>
      </c>
      <c r="C288" s="443" t="s">
        <v>444</v>
      </c>
      <c r="D288" s="444" t="s">
        <v>445</v>
      </c>
      <c r="E288" s="443" t="s">
        <v>754</v>
      </c>
      <c r="F288" s="444" t="s">
        <v>755</v>
      </c>
      <c r="G288" s="443" t="s">
        <v>1162</v>
      </c>
      <c r="H288" s="443" t="s">
        <v>1163</v>
      </c>
      <c r="I288" s="446">
        <v>619</v>
      </c>
      <c r="J288" s="446">
        <v>1</v>
      </c>
      <c r="K288" s="447">
        <v>619</v>
      </c>
    </row>
    <row r="289" spans="1:11" ht="14.45" customHeight="1" x14ac:dyDescent="0.2">
      <c r="A289" s="441" t="s">
        <v>437</v>
      </c>
      <c r="B289" s="442" t="s">
        <v>438</v>
      </c>
      <c r="C289" s="443" t="s">
        <v>444</v>
      </c>
      <c r="D289" s="444" t="s">
        <v>445</v>
      </c>
      <c r="E289" s="443" t="s">
        <v>754</v>
      </c>
      <c r="F289" s="444" t="s">
        <v>755</v>
      </c>
      <c r="G289" s="443" t="s">
        <v>1164</v>
      </c>
      <c r="H289" s="443" t="s">
        <v>1165</v>
      </c>
      <c r="I289" s="446">
        <v>619</v>
      </c>
      <c r="J289" s="446">
        <v>1</v>
      </c>
      <c r="K289" s="447">
        <v>619</v>
      </c>
    </row>
    <row r="290" spans="1:11" ht="14.45" customHeight="1" x14ac:dyDescent="0.2">
      <c r="A290" s="441" t="s">
        <v>437</v>
      </c>
      <c r="B290" s="442" t="s">
        <v>438</v>
      </c>
      <c r="C290" s="443" t="s">
        <v>444</v>
      </c>
      <c r="D290" s="444" t="s">
        <v>445</v>
      </c>
      <c r="E290" s="443" t="s">
        <v>754</v>
      </c>
      <c r="F290" s="444" t="s">
        <v>755</v>
      </c>
      <c r="G290" s="443" t="s">
        <v>1166</v>
      </c>
      <c r="H290" s="443" t="s">
        <v>1167</v>
      </c>
      <c r="I290" s="446">
        <v>619</v>
      </c>
      <c r="J290" s="446">
        <v>1</v>
      </c>
      <c r="K290" s="447">
        <v>619</v>
      </c>
    </row>
    <row r="291" spans="1:11" ht="14.45" customHeight="1" x14ac:dyDescent="0.2">
      <c r="A291" s="441" t="s">
        <v>437</v>
      </c>
      <c r="B291" s="442" t="s">
        <v>438</v>
      </c>
      <c r="C291" s="443" t="s">
        <v>444</v>
      </c>
      <c r="D291" s="444" t="s">
        <v>445</v>
      </c>
      <c r="E291" s="443" t="s">
        <v>754</v>
      </c>
      <c r="F291" s="444" t="s">
        <v>755</v>
      </c>
      <c r="G291" s="443" t="s">
        <v>1168</v>
      </c>
      <c r="H291" s="443" t="s">
        <v>1169</v>
      </c>
      <c r="I291" s="446">
        <v>719</v>
      </c>
      <c r="J291" s="446">
        <v>1</v>
      </c>
      <c r="K291" s="447">
        <v>719</v>
      </c>
    </row>
    <row r="292" spans="1:11" ht="14.45" customHeight="1" x14ac:dyDescent="0.2">
      <c r="A292" s="441" t="s">
        <v>437</v>
      </c>
      <c r="B292" s="442" t="s">
        <v>438</v>
      </c>
      <c r="C292" s="443" t="s">
        <v>444</v>
      </c>
      <c r="D292" s="444" t="s">
        <v>445</v>
      </c>
      <c r="E292" s="443" t="s">
        <v>754</v>
      </c>
      <c r="F292" s="444" t="s">
        <v>755</v>
      </c>
      <c r="G292" s="443" t="s">
        <v>1170</v>
      </c>
      <c r="H292" s="443" t="s">
        <v>1171</v>
      </c>
      <c r="I292" s="446">
        <v>692</v>
      </c>
      <c r="J292" s="446">
        <v>1</v>
      </c>
      <c r="K292" s="447">
        <v>692</v>
      </c>
    </row>
    <row r="293" spans="1:11" ht="14.45" customHeight="1" x14ac:dyDescent="0.2">
      <c r="A293" s="441" t="s">
        <v>437</v>
      </c>
      <c r="B293" s="442" t="s">
        <v>438</v>
      </c>
      <c r="C293" s="443" t="s">
        <v>444</v>
      </c>
      <c r="D293" s="444" t="s">
        <v>445</v>
      </c>
      <c r="E293" s="443" t="s">
        <v>754</v>
      </c>
      <c r="F293" s="444" t="s">
        <v>755</v>
      </c>
      <c r="G293" s="443" t="s">
        <v>1172</v>
      </c>
      <c r="H293" s="443" t="s">
        <v>1173</v>
      </c>
      <c r="I293" s="446">
        <v>921.969970703125</v>
      </c>
      <c r="J293" s="446">
        <v>2</v>
      </c>
      <c r="K293" s="447">
        <v>1843.93994140625</v>
      </c>
    </row>
    <row r="294" spans="1:11" ht="14.45" customHeight="1" x14ac:dyDescent="0.2">
      <c r="A294" s="441" t="s">
        <v>437</v>
      </c>
      <c r="B294" s="442" t="s">
        <v>438</v>
      </c>
      <c r="C294" s="443" t="s">
        <v>444</v>
      </c>
      <c r="D294" s="444" t="s">
        <v>445</v>
      </c>
      <c r="E294" s="443" t="s">
        <v>754</v>
      </c>
      <c r="F294" s="444" t="s">
        <v>755</v>
      </c>
      <c r="G294" s="443" t="s">
        <v>1174</v>
      </c>
      <c r="H294" s="443" t="s">
        <v>1175</v>
      </c>
      <c r="I294" s="446">
        <v>937.75</v>
      </c>
      <c r="J294" s="446">
        <v>2</v>
      </c>
      <c r="K294" s="447">
        <v>1875.5</v>
      </c>
    </row>
    <row r="295" spans="1:11" ht="14.45" customHeight="1" x14ac:dyDescent="0.2">
      <c r="A295" s="441" t="s">
        <v>437</v>
      </c>
      <c r="B295" s="442" t="s">
        <v>438</v>
      </c>
      <c r="C295" s="443" t="s">
        <v>444</v>
      </c>
      <c r="D295" s="444" t="s">
        <v>445</v>
      </c>
      <c r="E295" s="443" t="s">
        <v>754</v>
      </c>
      <c r="F295" s="444" t="s">
        <v>755</v>
      </c>
      <c r="G295" s="443" t="s">
        <v>1176</v>
      </c>
      <c r="H295" s="443" t="s">
        <v>1177</v>
      </c>
      <c r="I295" s="446">
        <v>937.75</v>
      </c>
      <c r="J295" s="446">
        <v>1</v>
      </c>
      <c r="K295" s="447">
        <v>937.75</v>
      </c>
    </row>
    <row r="296" spans="1:11" ht="14.45" customHeight="1" x14ac:dyDescent="0.2">
      <c r="A296" s="441" t="s">
        <v>437</v>
      </c>
      <c r="B296" s="442" t="s">
        <v>438</v>
      </c>
      <c r="C296" s="443" t="s">
        <v>444</v>
      </c>
      <c r="D296" s="444" t="s">
        <v>445</v>
      </c>
      <c r="E296" s="443" t="s">
        <v>754</v>
      </c>
      <c r="F296" s="444" t="s">
        <v>755</v>
      </c>
      <c r="G296" s="443" t="s">
        <v>1178</v>
      </c>
      <c r="H296" s="443" t="s">
        <v>1179</v>
      </c>
      <c r="I296" s="446">
        <v>937.75</v>
      </c>
      <c r="J296" s="446">
        <v>1</v>
      </c>
      <c r="K296" s="447">
        <v>937.75</v>
      </c>
    </row>
    <row r="297" spans="1:11" ht="14.45" customHeight="1" x14ac:dyDescent="0.2">
      <c r="A297" s="441" t="s">
        <v>437</v>
      </c>
      <c r="B297" s="442" t="s">
        <v>438</v>
      </c>
      <c r="C297" s="443" t="s">
        <v>444</v>
      </c>
      <c r="D297" s="444" t="s">
        <v>445</v>
      </c>
      <c r="E297" s="443" t="s">
        <v>754</v>
      </c>
      <c r="F297" s="444" t="s">
        <v>755</v>
      </c>
      <c r="G297" s="443" t="s">
        <v>1180</v>
      </c>
      <c r="H297" s="443" t="s">
        <v>1181</v>
      </c>
      <c r="I297" s="446">
        <v>544.5</v>
      </c>
      <c r="J297" s="446">
        <v>2</v>
      </c>
      <c r="K297" s="447">
        <v>1089</v>
      </c>
    </row>
    <row r="298" spans="1:11" ht="14.45" customHeight="1" x14ac:dyDescent="0.2">
      <c r="A298" s="441" t="s">
        <v>437</v>
      </c>
      <c r="B298" s="442" t="s">
        <v>438</v>
      </c>
      <c r="C298" s="443" t="s">
        <v>444</v>
      </c>
      <c r="D298" s="444" t="s">
        <v>445</v>
      </c>
      <c r="E298" s="443" t="s">
        <v>754</v>
      </c>
      <c r="F298" s="444" t="s">
        <v>755</v>
      </c>
      <c r="G298" s="443" t="s">
        <v>1182</v>
      </c>
      <c r="H298" s="443" t="s">
        <v>1183</v>
      </c>
      <c r="I298" s="446">
        <v>814.77001953125</v>
      </c>
      <c r="J298" s="446">
        <v>1</v>
      </c>
      <c r="K298" s="447">
        <v>814.77001953125</v>
      </c>
    </row>
    <row r="299" spans="1:11" ht="14.45" customHeight="1" x14ac:dyDescent="0.2">
      <c r="A299" s="441" t="s">
        <v>437</v>
      </c>
      <c r="B299" s="442" t="s">
        <v>438</v>
      </c>
      <c r="C299" s="443" t="s">
        <v>444</v>
      </c>
      <c r="D299" s="444" t="s">
        <v>445</v>
      </c>
      <c r="E299" s="443" t="s">
        <v>754</v>
      </c>
      <c r="F299" s="444" t="s">
        <v>755</v>
      </c>
      <c r="G299" s="443" t="s">
        <v>1184</v>
      </c>
      <c r="H299" s="443" t="s">
        <v>1185</v>
      </c>
      <c r="I299" s="446">
        <v>2390</v>
      </c>
      <c r="J299" s="446">
        <v>1</v>
      </c>
      <c r="K299" s="447">
        <v>2390</v>
      </c>
    </row>
    <row r="300" spans="1:11" ht="14.45" customHeight="1" x14ac:dyDescent="0.2">
      <c r="A300" s="441" t="s">
        <v>437</v>
      </c>
      <c r="B300" s="442" t="s">
        <v>438</v>
      </c>
      <c r="C300" s="443" t="s">
        <v>444</v>
      </c>
      <c r="D300" s="444" t="s">
        <v>445</v>
      </c>
      <c r="E300" s="443" t="s">
        <v>754</v>
      </c>
      <c r="F300" s="444" t="s">
        <v>755</v>
      </c>
      <c r="G300" s="443" t="s">
        <v>1186</v>
      </c>
      <c r="H300" s="443" t="s">
        <v>1187</v>
      </c>
      <c r="I300" s="446">
        <v>5.6999998092651367</v>
      </c>
      <c r="J300" s="446">
        <v>100</v>
      </c>
      <c r="K300" s="447">
        <v>569.99998760223389</v>
      </c>
    </row>
    <row r="301" spans="1:11" ht="14.45" customHeight="1" x14ac:dyDescent="0.2">
      <c r="A301" s="441" t="s">
        <v>437</v>
      </c>
      <c r="B301" s="442" t="s">
        <v>438</v>
      </c>
      <c r="C301" s="443" t="s">
        <v>444</v>
      </c>
      <c r="D301" s="444" t="s">
        <v>445</v>
      </c>
      <c r="E301" s="443" t="s">
        <v>754</v>
      </c>
      <c r="F301" s="444" t="s">
        <v>755</v>
      </c>
      <c r="G301" s="443" t="s">
        <v>1188</v>
      </c>
      <c r="H301" s="443" t="s">
        <v>1189</v>
      </c>
      <c r="I301" s="446">
        <v>2.619999885559082</v>
      </c>
      <c r="J301" s="446">
        <v>800</v>
      </c>
      <c r="K301" s="447">
        <v>2098</v>
      </c>
    </row>
    <row r="302" spans="1:11" ht="14.45" customHeight="1" x14ac:dyDescent="0.2">
      <c r="A302" s="441" t="s">
        <v>437</v>
      </c>
      <c r="B302" s="442" t="s">
        <v>438</v>
      </c>
      <c r="C302" s="443" t="s">
        <v>444</v>
      </c>
      <c r="D302" s="444" t="s">
        <v>445</v>
      </c>
      <c r="E302" s="443" t="s">
        <v>754</v>
      </c>
      <c r="F302" s="444" t="s">
        <v>755</v>
      </c>
      <c r="G302" s="443" t="s">
        <v>1190</v>
      </c>
      <c r="H302" s="443" t="s">
        <v>1191</v>
      </c>
      <c r="I302" s="446">
        <v>59</v>
      </c>
      <c r="J302" s="446">
        <v>10</v>
      </c>
      <c r="K302" s="447">
        <v>590</v>
      </c>
    </row>
    <row r="303" spans="1:11" ht="14.45" customHeight="1" x14ac:dyDescent="0.2">
      <c r="A303" s="441" t="s">
        <v>437</v>
      </c>
      <c r="B303" s="442" t="s">
        <v>438</v>
      </c>
      <c r="C303" s="443" t="s">
        <v>444</v>
      </c>
      <c r="D303" s="444" t="s">
        <v>445</v>
      </c>
      <c r="E303" s="443" t="s">
        <v>754</v>
      </c>
      <c r="F303" s="444" t="s">
        <v>755</v>
      </c>
      <c r="G303" s="443" t="s">
        <v>1192</v>
      </c>
      <c r="H303" s="443" t="s">
        <v>1193</v>
      </c>
      <c r="I303" s="446">
        <v>255</v>
      </c>
      <c r="J303" s="446">
        <v>15</v>
      </c>
      <c r="K303" s="447">
        <v>3825</v>
      </c>
    </row>
    <row r="304" spans="1:11" ht="14.45" customHeight="1" x14ac:dyDescent="0.2">
      <c r="A304" s="441" t="s">
        <v>437</v>
      </c>
      <c r="B304" s="442" t="s">
        <v>438</v>
      </c>
      <c r="C304" s="443" t="s">
        <v>444</v>
      </c>
      <c r="D304" s="444" t="s">
        <v>445</v>
      </c>
      <c r="E304" s="443" t="s">
        <v>754</v>
      </c>
      <c r="F304" s="444" t="s">
        <v>755</v>
      </c>
      <c r="G304" s="443" t="s">
        <v>1194</v>
      </c>
      <c r="H304" s="443" t="s">
        <v>1195</v>
      </c>
      <c r="I304" s="446">
        <v>151</v>
      </c>
      <c r="J304" s="446">
        <v>5</v>
      </c>
      <c r="K304" s="447">
        <v>755</v>
      </c>
    </row>
    <row r="305" spans="1:11" ht="14.45" customHeight="1" x14ac:dyDescent="0.2">
      <c r="A305" s="441" t="s">
        <v>437</v>
      </c>
      <c r="B305" s="442" t="s">
        <v>438</v>
      </c>
      <c r="C305" s="443" t="s">
        <v>444</v>
      </c>
      <c r="D305" s="444" t="s">
        <v>445</v>
      </c>
      <c r="E305" s="443" t="s">
        <v>754</v>
      </c>
      <c r="F305" s="444" t="s">
        <v>755</v>
      </c>
      <c r="G305" s="443" t="s">
        <v>1196</v>
      </c>
      <c r="H305" s="443" t="s">
        <v>1197</v>
      </c>
      <c r="I305" s="446">
        <v>151</v>
      </c>
      <c r="J305" s="446">
        <v>5</v>
      </c>
      <c r="K305" s="447">
        <v>755</v>
      </c>
    </row>
    <row r="306" spans="1:11" ht="14.45" customHeight="1" x14ac:dyDescent="0.2">
      <c r="A306" s="441" t="s">
        <v>437</v>
      </c>
      <c r="B306" s="442" t="s">
        <v>438</v>
      </c>
      <c r="C306" s="443" t="s">
        <v>444</v>
      </c>
      <c r="D306" s="444" t="s">
        <v>445</v>
      </c>
      <c r="E306" s="443" t="s">
        <v>754</v>
      </c>
      <c r="F306" s="444" t="s">
        <v>755</v>
      </c>
      <c r="G306" s="443" t="s">
        <v>1198</v>
      </c>
      <c r="H306" s="443" t="s">
        <v>1199</v>
      </c>
      <c r="I306" s="446">
        <v>887.0419799804688</v>
      </c>
      <c r="J306" s="446">
        <v>7</v>
      </c>
      <c r="K306" s="447">
        <v>6209.2898559570313</v>
      </c>
    </row>
    <row r="307" spans="1:11" ht="14.45" customHeight="1" x14ac:dyDescent="0.2">
      <c r="A307" s="441" t="s">
        <v>437</v>
      </c>
      <c r="B307" s="442" t="s">
        <v>438</v>
      </c>
      <c r="C307" s="443" t="s">
        <v>444</v>
      </c>
      <c r="D307" s="444" t="s">
        <v>445</v>
      </c>
      <c r="E307" s="443" t="s">
        <v>754</v>
      </c>
      <c r="F307" s="444" t="s">
        <v>755</v>
      </c>
      <c r="G307" s="443" t="s">
        <v>1200</v>
      </c>
      <c r="H307" s="443" t="s">
        <v>1201</v>
      </c>
      <c r="I307" s="446">
        <v>62.060001373291016</v>
      </c>
      <c r="J307" s="446">
        <v>12</v>
      </c>
      <c r="K307" s="447">
        <v>744.739990234375</v>
      </c>
    </row>
    <row r="308" spans="1:11" ht="14.45" customHeight="1" x14ac:dyDescent="0.2">
      <c r="A308" s="441" t="s">
        <v>437</v>
      </c>
      <c r="B308" s="442" t="s">
        <v>438</v>
      </c>
      <c r="C308" s="443" t="s">
        <v>444</v>
      </c>
      <c r="D308" s="444" t="s">
        <v>445</v>
      </c>
      <c r="E308" s="443" t="s">
        <v>754</v>
      </c>
      <c r="F308" s="444" t="s">
        <v>755</v>
      </c>
      <c r="G308" s="443" t="s">
        <v>1202</v>
      </c>
      <c r="H308" s="443" t="s">
        <v>1203</v>
      </c>
      <c r="I308" s="446">
        <v>59.840000152587891</v>
      </c>
      <c r="J308" s="446">
        <v>30</v>
      </c>
      <c r="K308" s="447">
        <v>1795.0699462890625</v>
      </c>
    </row>
    <row r="309" spans="1:11" ht="14.45" customHeight="1" x14ac:dyDescent="0.2">
      <c r="A309" s="441" t="s">
        <v>437</v>
      </c>
      <c r="B309" s="442" t="s">
        <v>438</v>
      </c>
      <c r="C309" s="443" t="s">
        <v>444</v>
      </c>
      <c r="D309" s="444" t="s">
        <v>445</v>
      </c>
      <c r="E309" s="443" t="s">
        <v>754</v>
      </c>
      <c r="F309" s="444" t="s">
        <v>755</v>
      </c>
      <c r="G309" s="443" t="s">
        <v>1204</v>
      </c>
      <c r="H309" s="443" t="s">
        <v>1205</v>
      </c>
      <c r="I309" s="446">
        <v>53.240001678466797</v>
      </c>
      <c r="J309" s="446">
        <v>30</v>
      </c>
      <c r="K309" s="447">
        <v>1597.2000732421875</v>
      </c>
    </row>
    <row r="310" spans="1:11" ht="14.45" customHeight="1" x14ac:dyDescent="0.2">
      <c r="A310" s="441" t="s">
        <v>437</v>
      </c>
      <c r="B310" s="442" t="s">
        <v>438</v>
      </c>
      <c r="C310" s="443" t="s">
        <v>444</v>
      </c>
      <c r="D310" s="444" t="s">
        <v>445</v>
      </c>
      <c r="E310" s="443" t="s">
        <v>754</v>
      </c>
      <c r="F310" s="444" t="s">
        <v>755</v>
      </c>
      <c r="G310" s="443" t="s">
        <v>1206</v>
      </c>
      <c r="H310" s="443" t="s">
        <v>1207</v>
      </c>
      <c r="I310" s="446">
        <v>180.27999877929688</v>
      </c>
      <c r="J310" s="446">
        <v>112</v>
      </c>
      <c r="K310" s="447">
        <v>20191.139984130859</v>
      </c>
    </row>
    <row r="311" spans="1:11" ht="14.45" customHeight="1" x14ac:dyDescent="0.2">
      <c r="A311" s="441" t="s">
        <v>437</v>
      </c>
      <c r="B311" s="442" t="s">
        <v>438</v>
      </c>
      <c r="C311" s="443" t="s">
        <v>444</v>
      </c>
      <c r="D311" s="444" t="s">
        <v>445</v>
      </c>
      <c r="E311" s="443" t="s">
        <v>754</v>
      </c>
      <c r="F311" s="444" t="s">
        <v>755</v>
      </c>
      <c r="G311" s="443" t="s">
        <v>1208</v>
      </c>
      <c r="H311" s="443" t="s">
        <v>1209</v>
      </c>
      <c r="I311" s="446">
        <v>14.880000114440918</v>
      </c>
      <c r="J311" s="446">
        <v>200</v>
      </c>
      <c r="K311" s="447">
        <v>2976.3900146484375</v>
      </c>
    </row>
    <row r="312" spans="1:11" ht="14.45" customHeight="1" x14ac:dyDescent="0.2">
      <c r="A312" s="441" t="s">
        <v>437</v>
      </c>
      <c r="B312" s="442" t="s">
        <v>438</v>
      </c>
      <c r="C312" s="443" t="s">
        <v>444</v>
      </c>
      <c r="D312" s="444" t="s">
        <v>445</v>
      </c>
      <c r="E312" s="443" t="s">
        <v>754</v>
      </c>
      <c r="F312" s="444" t="s">
        <v>755</v>
      </c>
      <c r="G312" s="443" t="s">
        <v>1210</v>
      </c>
      <c r="H312" s="443" t="s">
        <v>1211</v>
      </c>
      <c r="I312" s="446">
        <v>14.880000114440918</v>
      </c>
      <c r="J312" s="446">
        <v>100</v>
      </c>
      <c r="K312" s="447">
        <v>1488.219970703125</v>
      </c>
    </row>
    <row r="313" spans="1:11" ht="14.45" customHeight="1" x14ac:dyDescent="0.2">
      <c r="A313" s="441" t="s">
        <v>437</v>
      </c>
      <c r="B313" s="442" t="s">
        <v>438</v>
      </c>
      <c r="C313" s="443" t="s">
        <v>444</v>
      </c>
      <c r="D313" s="444" t="s">
        <v>445</v>
      </c>
      <c r="E313" s="443" t="s">
        <v>754</v>
      </c>
      <c r="F313" s="444" t="s">
        <v>755</v>
      </c>
      <c r="G313" s="443" t="s">
        <v>1212</v>
      </c>
      <c r="H313" s="443" t="s">
        <v>1213</v>
      </c>
      <c r="I313" s="446">
        <v>996</v>
      </c>
      <c r="J313" s="446">
        <v>3</v>
      </c>
      <c r="K313" s="447">
        <v>2988.010009765625</v>
      </c>
    </row>
    <row r="314" spans="1:11" ht="14.45" customHeight="1" x14ac:dyDescent="0.2">
      <c r="A314" s="441" t="s">
        <v>437</v>
      </c>
      <c r="B314" s="442" t="s">
        <v>438</v>
      </c>
      <c r="C314" s="443" t="s">
        <v>444</v>
      </c>
      <c r="D314" s="444" t="s">
        <v>445</v>
      </c>
      <c r="E314" s="443" t="s">
        <v>754</v>
      </c>
      <c r="F314" s="444" t="s">
        <v>755</v>
      </c>
      <c r="G314" s="443" t="s">
        <v>1214</v>
      </c>
      <c r="H314" s="443" t="s">
        <v>1215</v>
      </c>
      <c r="I314" s="446">
        <v>996</v>
      </c>
      <c r="J314" s="446">
        <v>3</v>
      </c>
      <c r="K314" s="447">
        <v>2988.010009765625</v>
      </c>
    </row>
    <row r="315" spans="1:11" ht="14.45" customHeight="1" x14ac:dyDescent="0.2">
      <c r="A315" s="441" t="s">
        <v>437</v>
      </c>
      <c r="B315" s="442" t="s">
        <v>438</v>
      </c>
      <c r="C315" s="443" t="s">
        <v>444</v>
      </c>
      <c r="D315" s="444" t="s">
        <v>445</v>
      </c>
      <c r="E315" s="443" t="s">
        <v>754</v>
      </c>
      <c r="F315" s="444" t="s">
        <v>755</v>
      </c>
      <c r="G315" s="443" t="s">
        <v>1216</v>
      </c>
      <c r="H315" s="443" t="s">
        <v>1217</v>
      </c>
      <c r="I315" s="446">
        <v>996</v>
      </c>
      <c r="J315" s="446">
        <v>3</v>
      </c>
      <c r="K315" s="447">
        <v>2988.010009765625</v>
      </c>
    </row>
    <row r="316" spans="1:11" ht="14.45" customHeight="1" x14ac:dyDescent="0.2">
      <c r="A316" s="441" t="s">
        <v>437</v>
      </c>
      <c r="B316" s="442" t="s">
        <v>438</v>
      </c>
      <c r="C316" s="443" t="s">
        <v>444</v>
      </c>
      <c r="D316" s="444" t="s">
        <v>445</v>
      </c>
      <c r="E316" s="443" t="s">
        <v>754</v>
      </c>
      <c r="F316" s="444" t="s">
        <v>755</v>
      </c>
      <c r="G316" s="443" t="s">
        <v>1218</v>
      </c>
      <c r="H316" s="443" t="s">
        <v>1219</v>
      </c>
      <c r="I316" s="446">
        <v>996</v>
      </c>
      <c r="J316" s="446">
        <v>3</v>
      </c>
      <c r="K316" s="447">
        <v>2988.010009765625</v>
      </c>
    </row>
    <row r="317" spans="1:11" ht="14.45" customHeight="1" x14ac:dyDescent="0.2">
      <c r="A317" s="441" t="s">
        <v>437</v>
      </c>
      <c r="B317" s="442" t="s">
        <v>438</v>
      </c>
      <c r="C317" s="443" t="s">
        <v>444</v>
      </c>
      <c r="D317" s="444" t="s">
        <v>445</v>
      </c>
      <c r="E317" s="443" t="s">
        <v>754</v>
      </c>
      <c r="F317" s="444" t="s">
        <v>755</v>
      </c>
      <c r="G317" s="443" t="s">
        <v>1220</v>
      </c>
      <c r="H317" s="443" t="s">
        <v>1221</v>
      </c>
      <c r="I317" s="446">
        <v>996</v>
      </c>
      <c r="J317" s="446">
        <v>3</v>
      </c>
      <c r="K317" s="447">
        <v>2988</v>
      </c>
    </row>
    <row r="318" spans="1:11" ht="14.45" customHeight="1" x14ac:dyDescent="0.2">
      <c r="A318" s="441" t="s">
        <v>437</v>
      </c>
      <c r="B318" s="442" t="s">
        <v>438</v>
      </c>
      <c r="C318" s="443" t="s">
        <v>444</v>
      </c>
      <c r="D318" s="444" t="s">
        <v>445</v>
      </c>
      <c r="E318" s="443" t="s">
        <v>754</v>
      </c>
      <c r="F318" s="444" t="s">
        <v>755</v>
      </c>
      <c r="G318" s="443" t="s">
        <v>1222</v>
      </c>
      <c r="H318" s="443" t="s">
        <v>1223</v>
      </c>
      <c r="I318" s="446">
        <v>617.05999755859375</v>
      </c>
      <c r="J318" s="446">
        <v>15</v>
      </c>
      <c r="K318" s="447">
        <v>9255.9599609375</v>
      </c>
    </row>
    <row r="319" spans="1:11" ht="14.45" customHeight="1" x14ac:dyDescent="0.2">
      <c r="A319" s="441" t="s">
        <v>437</v>
      </c>
      <c r="B319" s="442" t="s">
        <v>438</v>
      </c>
      <c r="C319" s="443" t="s">
        <v>444</v>
      </c>
      <c r="D319" s="444" t="s">
        <v>445</v>
      </c>
      <c r="E319" s="443" t="s">
        <v>754</v>
      </c>
      <c r="F319" s="444" t="s">
        <v>755</v>
      </c>
      <c r="G319" s="443" t="s">
        <v>1224</v>
      </c>
      <c r="H319" s="443" t="s">
        <v>1225</v>
      </c>
      <c r="I319" s="446">
        <v>751.19000244140625</v>
      </c>
      <c r="J319" s="446">
        <v>10</v>
      </c>
      <c r="K319" s="447">
        <v>7511.919921875</v>
      </c>
    </row>
    <row r="320" spans="1:11" ht="14.45" customHeight="1" x14ac:dyDescent="0.2">
      <c r="A320" s="441" t="s">
        <v>437</v>
      </c>
      <c r="B320" s="442" t="s">
        <v>438</v>
      </c>
      <c r="C320" s="443" t="s">
        <v>444</v>
      </c>
      <c r="D320" s="444" t="s">
        <v>445</v>
      </c>
      <c r="E320" s="443" t="s">
        <v>754</v>
      </c>
      <c r="F320" s="444" t="s">
        <v>755</v>
      </c>
      <c r="G320" s="443" t="s">
        <v>1226</v>
      </c>
      <c r="H320" s="443" t="s">
        <v>1227</v>
      </c>
      <c r="I320" s="446">
        <v>1003.010009765625</v>
      </c>
      <c r="J320" s="446">
        <v>1</v>
      </c>
      <c r="K320" s="447">
        <v>1003.010009765625</v>
      </c>
    </row>
    <row r="321" spans="1:11" ht="14.45" customHeight="1" x14ac:dyDescent="0.2">
      <c r="A321" s="441" t="s">
        <v>437</v>
      </c>
      <c r="B321" s="442" t="s">
        <v>438</v>
      </c>
      <c r="C321" s="443" t="s">
        <v>444</v>
      </c>
      <c r="D321" s="444" t="s">
        <v>445</v>
      </c>
      <c r="E321" s="443" t="s">
        <v>754</v>
      </c>
      <c r="F321" s="444" t="s">
        <v>755</v>
      </c>
      <c r="G321" s="443" t="s">
        <v>1228</v>
      </c>
      <c r="H321" s="443" t="s">
        <v>1229</v>
      </c>
      <c r="I321" s="446">
        <v>1087.7099609375</v>
      </c>
      <c r="J321" s="446">
        <v>1</v>
      </c>
      <c r="K321" s="447">
        <v>1087.7099609375</v>
      </c>
    </row>
    <row r="322" spans="1:11" ht="14.45" customHeight="1" x14ac:dyDescent="0.2">
      <c r="A322" s="441" t="s">
        <v>437</v>
      </c>
      <c r="B322" s="442" t="s">
        <v>438</v>
      </c>
      <c r="C322" s="443" t="s">
        <v>444</v>
      </c>
      <c r="D322" s="444" t="s">
        <v>445</v>
      </c>
      <c r="E322" s="443" t="s">
        <v>754</v>
      </c>
      <c r="F322" s="444" t="s">
        <v>755</v>
      </c>
      <c r="G322" s="443" t="s">
        <v>1230</v>
      </c>
      <c r="H322" s="443" t="s">
        <v>1231</v>
      </c>
      <c r="I322" s="446">
        <v>2.5699999332427979</v>
      </c>
      <c r="J322" s="446">
        <v>2000</v>
      </c>
      <c r="K322" s="447">
        <v>5142.19970703125</v>
      </c>
    </row>
    <row r="323" spans="1:11" ht="14.45" customHeight="1" x14ac:dyDescent="0.2">
      <c r="A323" s="441" t="s">
        <v>437</v>
      </c>
      <c r="B323" s="442" t="s">
        <v>438</v>
      </c>
      <c r="C323" s="443" t="s">
        <v>444</v>
      </c>
      <c r="D323" s="444" t="s">
        <v>445</v>
      </c>
      <c r="E323" s="443" t="s">
        <v>754</v>
      </c>
      <c r="F323" s="444" t="s">
        <v>755</v>
      </c>
      <c r="G323" s="443" t="s">
        <v>1232</v>
      </c>
      <c r="H323" s="443" t="s">
        <v>1233</v>
      </c>
      <c r="I323" s="446">
        <v>3.309999942779541</v>
      </c>
      <c r="J323" s="446">
        <v>100</v>
      </c>
      <c r="K323" s="447">
        <v>330.739990234375</v>
      </c>
    </row>
    <row r="324" spans="1:11" ht="14.45" customHeight="1" x14ac:dyDescent="0.2">
      <c r="A324" s="441" t="s">
        <v>437</v>
      </c>
      <c r="B324" s="442" t="s">
        <v>438</v>
      </c>
      <c r="C324" s="443" t="s">
        <v>444</v>
      </c>
      <c r="D324" s="444" t="s">
        <v>445</v>
      </c>
      <c r="E324" s="443" t="s">
        <v>754</v>
      </c>
      <c r="F324" s="444" t="s">
        <v>755</v>
      </c>
      <c r="G324" s="443" t="s">
        <v>1234</v>
      </c>
      <c r="H324" s="443" t="s">
        <v>1235</v>
      </c>
      <c r="I324" s="446">
        <v>133.08999633789063</v>
      </c>
      <c r="J324" s="446">
        <v>10</v>
      </c>
      <c r="K324" s="447">
        <v>1330.8800048828125</v>
      </c>
    </row>
    <row r="325" spans="1:11" ht="14.45" customHeight="1" x14ac:dyDescent="0.2">
      <c r="A325" s="441" t="s">
        <v>437</v>
      </c>
      <c r="B325" s="442" t="s">
        <v>438</v>
      </c>
      <c r="C325" s="443" t="s">
        <v>444</v>
      </c>
      <c r="D325" s="444" t="s">
        <v>445</v>
      </c>
      <c r="E325" s="443" t="s">
        <v>754</v>
      </c>
      <c r="F325" s="444" t="s">
        <v>755</v>
      </c>
      <c r="G325" s="443" t="s">
        <v>1236</v>
      </c>
      <c r="H325" s="443" t="s">
        <v>1237</v>
      </c>
      <c r="I325" s="446">
        <v>194.80999755859375</v>
      </c>
      <c r="J325" s="446">
        <v>1</v>
      </c>
      <c r="K325" s="447">
        <v>194.80999755859375</v>
      </c>
    </row>
    <row r="326" spans="1:11" ht="14.45" customHeight="1" x14ac:dyDescent="0.2">
      <c r="A326" s="441" t="s">
        <v>437</v>
      </c>
      <c r="B326" s="442" t="s">
        <v>438</v>
      </c>
      <c r="C326" s="443" t="s">
        <v>444</v>
      </c>
      <c r="D326" s="444" t="s">
        <v>445</v>
      </c>
      <c r="E326" s="443" t="s">
        <v>754</v>
      </c>
      <c r="F326" s="444" t="s">
        <v>755</v>
      </c>
      <c r="G326" s="443" t="s">
        <v>1238</v>
      </c>
      <c r="H326" s="443" t="s">
        <v>1239</v>
      </c>
      <c r="I326" s="446">
        <v>612</v>
      </c>
      <c r="J326" s="446">
        <v>6</v>
      </c>
      <c r="K326" s="447">
        <v>3672</v>
      </c>
    </row>
    <row r="327" spans="1:11" ht="14.45" customHeight="1" x14ac:dyDescent="0.2">
      <c r="A327" s="441" t="s">
        <v>437</v>
      </c>
      <c r="B327" s="442" t="s">
        <v>438</v>
      </c>
      <c r="C327" s="443" t="s">
        <v>444</v>
      </c>
      <c r="D327" s="444" t="s">
        <v>445</v>
      </c>
      <c r="E327" s="443" t="s">
        <v>754</v>
      </c>
      <c r="F327" s="444" t="s">
        <v>755</v>
      </c>
      <c r="G327" s="443" t="s">
        <v>1240</v>
      </c>
      <c r="H327" s="443" t="s">
        <v>1241</v>
      </c>
      <c r="I327" s="446">
        <v>0.69999998807907104</v>
      </c>
      <c r="J327" s="446">
        <v>1000</v>
      </c>
      <c r="K327" s="447">
        <v>699.8900146484375</v>
      </c>
    </row>
    <row r="328" spans="1:11" ht="14.45" customHeight="1" x14ac:dyDescent="0.2">
      <c r="A328" s="441" t="s">
        <v>437</v>
      </c>
      <c r="B328" s="442" t="s">
        <v>438</v>
      </c>
      <c r="C328" s="443" t="s">
        <v>444</v>
      </c>
      <c r="D328" s="444" t="s">
        <v>445</v>
      </c>
      <c r="E328" s="443" t="s">
        <v>754</v>
      </c>
      <c r="F328" s="444" t="s">
        <v>755</v>
      </c>
      <c r="G328" s="443" t="s">
        <v>1242</v>
      </c>
      <c r="H328" s="443" t="s">
        <v>1243</v>
      </c>
      <c r="I328" s="446">
        <v>0.69999998807907104</v>
      </c>
      <c r="J328" s="446">
        <v>1000</v>
      </c>
      <c r="K328" s="447">
        <v>699.8900146484375</v>
      </c>
    </row>
    <row r="329" spans="1:11" ht="14.45" customHeight="1" x14ac:dyDescent="0.2">
      <c r="A329" s="441" t="s">
        <v>437</v>
      </c>
      <c r="B329" s="442" t="s">
        <v>438</v>
      </c>
      <c r="C329" s="443" t="s">
        <v>444</v>
      </c>
      <c r="D329" s="444" t="s">
        <v>445</v>
      </c>
      <c r="E329" s="443" t="s">
        <v>754</v>
      </c>
      <c r="F329" s="444" t="s">
        <v>755</v>
      </c>
      <c r="G329" s="443" t="s">
        <v>1244</v>
      </c>
      <c r="H329" s="443" t="s">
        <v>1245</v>
      </c>
      <c r="I329" s="446">
        <v>0.69999998807907104</v>
      </c>
      <c r="J329" s="446">
        <v>1000</v>
      </c>
      <c r="K329" s="447">
        <v>699.8900146484375</v>
      </c>
    </row>
    <row r="330" spans="1:11" ht="14.45" customHeight="1" x14ac:dyDescent="0.2">
      <c r="A330" s="441" t="s">
        <v>437</v>
      </c>
      <c r="B330" s="442" t="s">
        <v>438</v>
      </c>
      <c r="C330" s="443" t="s">
        <v>444</v>
      </c>
      <c r="D330" s="444" t="s">
        <v>445</v>
      </c>
      <c r="E330" s="443" t="s">
        <v>754</v>
      </c>
      <c r="F330" s="444" t="s">
        <v>755</v>
      </c>
      <c r="G330" s="443" t="s">
        <v>1246</v>
      </c>
      <c r="H330" s="443" t="s">
        <v>1247</v>
      </c>
      <c r="I330" s="446">
        <v>0.69999998807907104</v>
      </c>
      <c r="J330" s="446">
        <v>1000</v>
      </c>
      <c r="K330" s="447">
        <v>699.8900146484375</v>
      </c>
    </row>
    <row r="331" spans="1:11" ht="14.45" customHeight="1" x14ac:dyDescent="0.2">
      <c r="A331" s="441" t="s">
        <v>437</v>
      </c>
      <c r="B331" s="442" t="s">
        <v>438</v>
      </c>
      <c r="C331" s="443" t="s">
        <v>444</v>
      </c>
      <c r="D331" s="444" t="s">
        <v>445</v>
      </c>
      <c r="E331" s="443" t="s">
        <v>754</v>
      </c>
      <c r="F331" s="444" t="s">
        <v>755</v>
      </c>
      <c r="G331" s="443" t="s">
        <v>1248</v>
      </c>
      <c r="H331" s="443" t="s">
        <v>1249</v>
      </c>
      <c r="I331" s="446">
        <v>7</v>
      </c>
      <c r="J331" s="446">
        <v>100</v>
      </c>
      <c r="K331" s="447">
        <v>699.8900146484375</v>
      </c>
    </row>
    <row r="332" spans="1:11" ht="14.45" customHeight="1" x14ac:dyDescent="0.2">
      <c r="A332" s="441" t="s">
        <v>437</v>
      </c>
      <c r="B332" s="442" t="s">
        <v>438</v>
      </c>
      <c r="C332" s="443" t="s">
        <v>444</v>
      </c>
      <c r="D332" s="444" t="s">
        <v>445</v>
      </c>
      <c r="E332" s="443" t="s">
        <v>754</v>
      </c>
      <c r="F332" s="444" t="s">
        <v>755</v>
      </c>
      <c r="G332" s="443" t="s">
        <v>1250</v>
      </c>
      <c r="H332" s="443" t="s">
        <v>1251</v>
      </c>
      <c r="I332" s="446">
        <v>0.69999998807907104</v>
      </c>
      <c r="J332" s="446">
        <v>1000</v>
      </c>
      <c r="K332" s="447">
        <v>699.8900146484375</v>
      </c>
    </row>
    <row r="333" spans="1:11" ht="14.45" customHeight="1" x14ac:dyDescent="0.2">
      <c r="A333" s="441" t="s">
        <v>437</v>
      </c>
      <c r="B333" s="442" t="s">
        <v>438</v>
      </c>
      <c r="C333" s="443" t="s">
        <v>444</v>
      </c>
      <c r="D333" s="444" t="s">
        <v>445</v>
      </c>
      <c r="E333" s="443" t="s">
        <v>754</v>
      </c>
      <c r="F333" s="444" t="s">
        <v>755</v>
      </c>
      <c r="G333" s="443" t="s">
        <v>1252</v>
      </c>
      <c r="H333" s="443" t="s">
        <v>1253</v>
      </c>
      <c r="I333" s="446">
        <v>7.7950000762939453</v>
      </c>
      <c r="J333" s="446">
        <v>200</v>
      </c>
      <c r="K333" s="447">
        <v>1559.0599975585938</v>
      </c>
    </row>
    <row r="334" spans="1:11" ht="14.45" customHeight="1" x14ac:dyDescent="0.2">
      <c r="A334" s="441" t="s">
        <v>437</v>
      </c>
      <c r="B334" s="442" t="s">
        <v>438</v>
      </c>
      <c r="C334" s="443" t="s">
        <v>444</v>
      </c>
      <c r="D334" s="444" t="s">
        <v>445</v>
      </c>
      <c r="E334" s="443" t="s">
        <v>754</v>
      </c>
      <c r="F334" s="444" t="s">
        <v>755</v>
      </c>
      <c r="G334" s="443" t="s">
        <v>1254</v>
      </c>
      <c r="H334" s="443" t="s">
        <v>1255</v>
      </c>
      <c r="I334" s="446">
        <v>686.9</v>
      </c>
      <c r="J334" s="446">
        <v>15</v>
      </c>
      <c r="K334" s="447">
        <v>10778.490234375</v>
      </c>
    </row>
    <row r="335" spans="1:11" ht="14.45" customHeight="1" x14ac:dyDescent="0.2">
      <c r="A335" s="441" t="s">
        <v>437</v>
      </c>
      <c r="B335" s="442" t="s">
        <v>438</v>
      </c>
      <c r="C335" s="443" t="s">
        <v>444</v>
      </c>
      <c r="D335" s="444" t="s">
        <v>445</v>
      </c>
      <c r="E335" s="443" t="s">
        <v>754</v>
      </c>
      <c r="F335" s="444" t="s">
        <v>755</v>
      </c>
      <c r="G335" s="443" t="s">
        <v>1256</v>
      </c>
      <c r="H335" s="443" t="s">
        <v>1257</v>
      </c>
      <c r="I335" s="446">
        <v>296.45001220703125</v>
      </c>
      <c r="J335" s="446">
        <v>2</v>
      </c>
      <c r="K335" s="447">
        <v>592.9000244140625</v>
      </c>
    </row>
    <row r="336" spans="1:11" ht="14.45" customHeight="1" x14ac:dyDescent="0.2">
      <c r="A336" s="441" t="s">
        <v>437</v>
      </c>
      <c r="B336" s="442" t="s">
        <v>438</v>
      </c>
      <c r="C336" s="443" t="s">
        <v>444</v>
      </c>
      <c r="D336" s="444" t="s">
        <v>445</v>
      </c>
      <c r="E336" s="443" t="s">
        <v>754</v>
      </c>
      <c r="F336" s="444" t="s">
        <v>755</v>
      </c>
      <c r="G336" s="443" t="s">
        <v>1258</v>
      </c>
      <c r="H336" s="443" t="s">
        <v>1259</v>
      </c>
      <c r="I336" s="446">
        <v>824.489990234375</v>
      </c>
      <c r="J336" s="446">
        <v>1</v>
      </c>
      <c r="K336" s="447">
        <v>824.489990234375</v>
      </c>
    </row>
    <row r="337" spans="1:11" ht="14.45" customHeight="1" x14ac:dyDescent="0.2">
      <c r="A337" s="441" t="s">
        <v>437</v>
      </c>
      <c r="B337" s="442" t="s">
        <v>438</v>
      </c>
      <c r="C337" s="443" t="s">
        <v>444</v>
      </c>
      <c r="D337" s="444" t="s">
        <v>445</v>
      </c>
      <c r="E337" s="443" t="s">
        <v>754</v>
      </c>
      <c r="F337" s="444" t="s">
        <v>755</v>
      </c>
      <c r="G337" s="443" t="s">
        <v>1260</v>
      </c>
      <c r="H337" s="443" t="s">
        <v>1261</v>
      </c>
      <c r="I337" s="446">
        <v>598.40997314453125</v>
      </c>
      <c r="J337" s="446">
        <v>1</v>
      </c>
      <c r="K337" s="447">
        <v>598.40997314453125</v>
      </c>
    </row>
    <row r="338" spans="1:11" ht="14.45" customHeight="1" x14ac:dyDescent="0.2">
      <c r="A338" s="441" t="s">
        <v>437</v>
      </c>
      <c r="B338" s="442" t="s">
        <v>438</v>
      </c>
      <c r="C338" s="443" t="s">
        <v>444</v>
      </c>
      <c r="D338" s="444" t="s">
        <v>445</v>
      </c>
      <c r="E338" s="443" t="s">
        <v>754</v>
      </c>
      <c r="F338" s="444" t="s">
        <v>755</v>
      </c>
      <c r="G338" s="443" t="s">
        <v>1262</v>
      </c>
      <c r="H338" s="443" t="s">
        <v>1263</v>
      </c>
      <c r="I338" s="446">
        <v>970</v>
      </c>
      <c r="J338" s="446">
        <v>1</v>
      </c>
      <c r="K338" s="447">
        <v>970</v>
      </c>
    </row>
    <row r="339" spans="1:11" ht="14.45" customHeight="1" x14ac:dyDescent="0.2">
      <c r="A339" s="441" t="s">
        <v>437</v>
      </c>
      <c r="B339" s="442" t="s">
        <v>438</v>
      </c>
      <c r="C339" s="443" t="s">
        <v>444</v>
      </c>
      <c r="D339" s="444" t="s">
        <v>445</v>
      </c>
      <c r="E339" s="443" t="s">
        <v>754</v>
      </c>
      <c r="F339" s="444" t="s">
        <v>755</v>
      </c>
      <c r="G339" s="443" t="s">
        <v>1264</v>
      </c>
      <c r="H339" s="443" t="s">
        <v>1265</v>
      </c>
      <c r="I339" s="446">
        <v>645.989990234375</v>
      </c>
      <c r="J339" s="446">
        <v>1</v>
      </c>
      <c r="K339" s="447">
        <v>645.989990234375</v>
      </c>
    </row>
    <row r="340" spans="1:11" ht="14.45" customHeight="1" x14ac:dyDescent="0.2">
      <c r="A340" s="441" t="s">
        <v>437</v>
      </c>
      <c r="B340" s="442" t="s">
        <v>438</v>
      </c>
      <c r="C340" s="443" t="s">
        <v>444</v>
      </c>
      <c r="D340" s="444" t="s">
        <v>445</v>
      </c>
      <c r="E340" s="443" t="s">
        <v>754</v>
      </c>
      <c r="F340" s="444" t="s">
        <v>755</v>
      </c>
      <c r="G340" s="443" t="s">
        <v>1266</v>
      </c>
      <c r="H340" s="443" t="s">
        <v>1267</v>
      </c>
      <c r="I340" s="446">
        <v>824.489990234375</v>
      </c>
      <c r="J340" s="446">
        <v>1</v>
      </c>
      <c r="K340" s="447">
        <v>824.489990234375</v>
      </c>
    </row>
    <row r="341" spans="1:11" ht="14.45" customHeight="1" x14ac:dyDescent="0.2">
      <c r="A341" s="441" t="s">
        <v>437</v>
      </c>
      <c r="B341" s="442" t="s">
        <v>438</v>
      </c>
      <c r="C341" s="443" t="s">
        <v>444</v>
      </c>
      <c r="D341" s="444" t="s">
        <v>445</v>
      </c>
      <c r="E341" s="443" t="s">
        <v>754</v>
      </c>
      <c r="F341" s="444" t="s">
        <v>755</v>
      </c>
      <c r="G341" s="443" t="s">
        <v>1268</v>
      </c>
      <c r="H341" s="443" t="s">
        <v>1269</v>
      </c>
      <c r="I341" s="446">
        <v>824.489990234375</v>
      </c>
      <c r="J341" s="446">
        <v>1</v>
      </c>
      <c r="K341" s="447">
        <v>824.489990234375</v>
      </c>
    </row>
    <row r="342" spans="1:11" ht="14.45" customHeight="1" x14ac:dyDescent="0.2">
      <c r="A342" s="441" t="s">
        <v>437</v>
      </c>
      <c r="B342" s="442" t="s">
        <v>438</v>
      </c>
      <c r="C342" s="443" t="s">
        <v>444</v>
      </c>
      <c r="D342" s="444" t="s">
        <v>445</v>
      </c>
      <c r="E342" s="443" t="s">
        <v>754</v>
      </c>
      <c r="F342" s="444" t="s">
        <v>755</v>
      </c>
      <c r="G342" s="443" t="s">
        <v>1270</v>
      </c>
      <c r="H342" s="443" t="s">
        <v>1271</v>
      </c>
      <c r="I342" s="446">
        <v>2969</v>
      </c>
      <c r="J342" s="446">
        <v>3</v>
      </c>
      <c r="K342" s="447">
        <v>8907</v>
      </c>
    </row>
    <row r="343" spans="1:11" ht="14.45" customHeight="1" x14ac:dyDescent="0.2">
      <c r="A343" s="441" t="s">
        <v>437</v>
      </c>
      <c r="B343" s="442" t="s">
        <v>438</v>
      </c>
      <c r="C343" s="443" t="s">
        <v>444</v>
      </c>
      <c r="D343" s="444" t="s">
        <v>445</v>
      </c>
      <c r="E343" s="443" t="s">
        <v>754</v>
      </c>
      <c r="F343" s="444" t="s">
        <v>755</v>
      </c>
      <c r="G343" s="443" t="s">
        <v>1272</v>
      </c>
      <c r="H343" s="443" t="s">
        <v>1273</v>
      </c>
      <c r="I343" s="446">
        <v>730.010009765625</v>
      </c>
      <c r="J343" s="446">
        <v>1</v>
      </c>
      <c r="K343" s="447">
        <v>730.010009765625</v>
      </c>
    </row>
    <row r="344" spans="1:11" ht="14.45" customHeight="1" x14ac:dyDescent="0.2">
      <c r="A344" s="441" t="s">
        <v>437</v>
      </c>
      <c r="B344" s="442" t="s">
        <v>438</v>
      </c>
      <c r="C344" s="443" t="s">
        <v>444</v>
      </c>
      <c r="D344" s="444" t="s">
        <v>445</v>
      </c>
      <c r="E344" s="443" t="s">
        <v>754</v>
      </c>
      <c r="F344" s="444" t="s">
        <v>755</v>
      </c>
      <c r="G344" s="443" t="s">
        <v>1274</v>
      </c>
      <c r="H344" s="443" t="s">
        <v>1275</v>
      </c>
      <c r="I344" s="446">
        <v>2362</v>
      </c>
      <c r="J344" s="446">
        <v>3</v>
      </c>
      <c r="K344" s="447">
        <v>7086</v>
      </c>
    </row>
    <row r="345" spans="1:11" ht="14.45" customHeight="1" x14ac:dyDescent="0.2">
      <c r="A345" s="441" t="s">
        <v>437</v>
      </c>
      <c r="B345" s="442" t="s">
        <v>438</v>
      </c>
      <c r="C345" s="443" t="s">
        <v>444</v>
      </c>
      <c r="D345" s="444" t="s">
        <v>445</v>
      </c>
      <c r="E345" s="443" t="s">
        <v>754</v>
      </c>
      <c r="F345" s="444" t="s">
        <v>755</v>
      </c>
      <c r="G345" s="443" t="s">
        <v>1276</v>
      </c>
      <c r="H345" s="443" t="s">
        <v>1277</v>
      </c>
      <c r="I345" s="446">
        <v>1096</v>
      </c>
      <c r="J345" s="446">
        <v>4</v>
      </c>
      <c r="K345" s="447">
        <v>4383.989990234375</v>
      </c>
    </row>
    <row r="346" spans="1:11" ht="14.45" customHeight="1" x14ac:dyDescent="0.2">
      <c r="A346" s="441" t="s">
        <v>437</v>
      </c>
      <c r="B346" s="442" t="s">
        <v>438</v>
      </c>
      <c r="C346" s="443" t="s">
        <v>444</v>
      </c>
      <c r="D346" s="444" t="s">
        <v>445</v>
      </c>
      <c r="E346" s="443" t="s">
        <v>754</v>
      </c>
      <c r="F346" s="444" t="s">
        <v>755</v>
      </c>
      <c r="G346" s="443" t="s">
        <v>1278</v>
      </c>
      <c r="H346" s="443" t="s">
        <v>1279</v>
      </c>
      <c r="I346" s="446">
        <v>1096</v>
      </c>
      <c r="J346" s="446">
        <v>2</v>
      </c>
      <c r="K346" s="447">
        <v>2191.989990234375</v>
      </c>
    </row>
    <row r="347" spans="1:11" ht="14.45" customHeight="1" x14ac:dyDescent="0.2">
      <c r="A347" s="441" t="s">
        <v>437</v>
      </c>
      <c r="B347" s="442" t="s">
        <v>438</v>
      </c>
      <c r="C347" s="443" t="s">
        <v>444</v>
      </c>
      <c r="D347" s="444" t="s">
        <v>445</v>
      </c>
      <c r="E347" s="443" t="s">
        <v>754</v>
      </c>
      <c r="F347" s="444" t="s">
        <v>755</v>
      </c>
      <c r="G347" s="443" t="s">
        <v>1280</v>
      </c>
      <c r="H347" s="443" t="s">
        <v>1281</v>
      </c>
      <c r="I347" s="446">
        <v>1471.6800537109375</v>
      </c>
      <c r="J347" s="446">
        <v>2</v>
      </c>
      <c r="K347" s="447">
        <v>2943.360107421875</v>
      </c>
    </row>
    <row r="348" spans="1:11" ht="14.45" customHeight="1" x14ac:dyDescent="0.2">
      <c r="A348" s="441" t="s">
        <v>437</v>
      </c>
      <c r="B348" s="442" t="s">
        <v>438</v>
      </c>
      <c r="C348" s="443" t="s">
        <v>444</v>
      </c>
      <c r="D348" s="444" t="s">
        <v>445</v>
      </c>
      <c r="E348" s="443" t="s">
        <v>754</v>
      </c>
      <c r="F348" s="444" t="s">
        <v>755</v>
      </c>
      <c r="G348" s="443" t="s">
        <v>1282</v>
      </c>
      <c r="H348" s="443" t="s">
        <v>1283</v>
      </c>
      <c r="I348" s="446">
        <v>26.405000686645508</v>
      </c>
      <c r="J348" s="446">
        <v>108</v>
      </c>
      <c r="K348" s="447">
        <v>2832.4000244140625</v>
      </c>
    </row>
    <row r="349" spans="1:11" ht="14.45" customHeight="1" x14ac:dyDescent="0.2">
      <c r="A349" s="441" t="s">
        <v>437</v>
      </c>
      <c r="B349" s="442" t="s">
        <v>438</v>
      </c>
      <c r="C349" s="443" t="s">
        <v>444</v>
      </c>
      <c r="D349" s="444" t="s">
        <v>445</v>
      </c>
      <c r="E349" s="443" t="s">
        <v>754</v>
      </c>
      <c r="F349" s="444" t="s">
        <v>755</v>
      </c>
      <c r="G349" s="443" t="s">
        <v>1284</v>
      </c>
      <c r="H349" s="443" t="s">
        <v>1285</v>
      </c>
      <c r="I349" s="446">
        <v>6.619999885559082</v>
      </c>
      <c r="J349" s="446">
        <v>150</v>
      </c>
      <c r="K349" s="447">
        <v>993.5999755859375</v>
      </c>
    </row>
    <row r="350" spans="1:11" ht="14.45" customHeight="1" x14ac:dyDescent="0.2">
      <c r="A350" s="441" t="s">
        <v>437</v>
      </c>
      <c r="B350" s="442" t="s">
        <v>438</v>
      </c>
      <c r="C350" s="443" t="s">
        <v>444</v>
      </c>
      <c r="D350" s="444" t="s">
        <v>445</v>
      </c>
      <c r="E350" s="443" t="s">
        <v>754</v>
      </c>
      <c r="F350" s="444" t="s">
        <v>755</v>
      </c>
      <c r="G350" s="443" t="s">
        <v>1286</v>
      </c>
      <c r="H350" s="443" t="s">
        <v>1287</v>
      </c>
      <c r="I350" s="446">
        <v>6.5</v>
      </c>
      <c r="J350" s="446">
        <v>180</v>
      </c>
      <c r="K350" s="447">
        <v>1170</v>
      </c>
    </row>
    <row r="351" spans="1:11" ht="14.45" customHeight="1" x14ac:dyDescent="0.2">
      <c r="A351" s="441" t="s">
        <v>437</v>
      </c>
      <c r="B351" s="442" t="s">
        <v>438</v>
      </c>
      <c r="C351" s="443" t="s">
        <v>444</v>
      </c>
      <c r="D351" s="444" t="s">
        <v>445</v>
      </c>
      <c r="E351" s="443" t="s">
        <v>754</v>
      </c>
      <c r="F351" s="444" t="s">
        <v>755</v>
      </c>
      <c r="G351" s="443" t="s">
        <v>1288</v>
      </c>
      <c r="H351" s="443" t="s">
        <v>1289</v>
      </c>
      <c r="I351" s="446">
        <v>6.5799999237060547</v>
      </c>
      <c r="J351" s="446">
        <v>330</v>
      </c>
      <c r="K351" s="447">
        <v>2167.3299865722656</v>
      </c>
    </row>
    <row r="352" spans="1:11" ht="14.45" customHeight="1" x14ac:dyDescent="0.2">
      <c r="A352" s="441" t="s">
        <v>437</v>
      </c>
      <c r="B352" s="442" t="s">
        <v>438</v>
      </c>
      <c r="C352" s="443" t="s">
        <v>444</v>
      </c>
      <c r="D352" s="444" t="s">
        <v>445</v>
      </c>
      <c r="E352" s="443" t="s">
        <v>754</v>
      </c>
      <c r="F352" s="444" t="s">
        <v>755</v>
      </c>
      <c r="G352" s="443" t="s">
        <v>1290</v>
      </c>
      <c r="H352" s="443" t="s">
        <v>1291</v>
      </c>
      <c r="I352" s="446">
        <v>6.6600000381469728</v>
      </c>
      <c r="J352" s="446">
        <v>600</v>
      </c>
      <c r="K352" s="447">
        <v>3959.9900054931641</v>
      </c>
    </row>
    <row r="353" spans="1:11" ht="14.45" customHeight="1" x14ac:dyDescent="0.2">
      <c r="A353" s="441" t="s">
        <v>437</v>
      </c>
      <c r="B353" s="442" t="s">
        <v>438</v>
      </c>
      <c r="C353" s="443" t="s">
        <v>444</v>
      </c>
      <c r="D353" s="444" t="s">
        <v>445</v>
      </c>
      <c r="E353" s="443" t="s">
        <v>754</v>
      </c>
      <c r="F353" s="444" t="s">
        <v>755</v>
      </c>
      <c r="G353" s="443" t="s">
        <v>1292</v>
      </c>
      <c r="H353" s="443" t="s">
        <v>1293</v>
      </c>
      <c r="I353" s="446">
        <v>5.9600000381469727</v>
      </c>
      <c r="J353" s="446">
        <v>180</v>
      </c>
      <c r="K353" s="447">
        <v>993.58999633789063</v>
      </c>
    </row>
    <row r="354" spans="1:11" ht="14.45" customHeight="1" x14ac:dyDescent="0.2">
      <c r="A354" s="441" t="s">
        <v>437</v>
      </c>
      <c r="B354" s="442" t="s">
        <v>438</v>
      </c>
      <c r="C354" s="443" t="s">
        <v>444</v>
      </c>
      <c r="D354" s="444" t="s">
        <v>445</v>
      </c>
      <c r="E354" s="443" t="s">
        <v>754</v>
      </c>
      <c r="F354" s="444" t="s">
        <v>755</v>
      </c>
      <c r="G354" s="443" t="s">
        <v>1294</v>
      </c>
      <c r="H354" s="443" t="s">
        <v>1295</v>
      </c>
      <c r="I354" s="446">
        <v>360.58000691731769</v>
      </c>
      <c r="J354" s="446">
        <v>6</v>
      </c>
      <c r="K354" s="447">
        <v>2163.4800415039063</v>
      </c>
    </row>
    <row r="355" spans="1:11" ht="14.45" customHeight="1" x14ac:dyDescent="0.2">
      <c r="A355" s="441" t="s">
        <v>437</v>
      </c>
      <c r="B355" s="442" t="s">
        <v>438</v>
      </c>
      <c r="C355" s="443" t="s">
        <v>444</v>
      </c>
      <c r="D355" s="444" t="s">
        <v>445</v>
      </c>
      <c r="E355" s="443" t="s">
        <v>754</v>
      </c>
      <c r="F355" s="444" t="s">
        <v>755</v>
      </c>
      <c r="G355" s="443" t="s">
        <v>1296</v>
      </c>
      <c r="H355" s="443" t="s">
        <v>1297</v>
      </c>
      <c r="I355" s="446">
        <v>369.92749786376953</v>
      </c>
      <c r="J355" s="446">
        <v>5</v>
      </c>
      <c r="K355" s="447">
        <v>1855.1699829101563</v>
      </c>
    </row>
    <row r="356" spans="1:11" ht="14.45" customHeight="1" x14ac:dyDescent="0.2">
      <c r="A356" s="441" t="s">
        <v>437</v>
      </c>
      <c r="B356" s="442" t="s">
        <v>438</v>
      </c>
      <c r="C356" s="443" t="s">
        <v>444</v>
      </c>
      <c r="D356" s="444" t="s">
        <v>445</v>
      </c>
      <c r="E356" s="443" t="s">
        <v>754</v>
      </c>
      <c r="F356" s="444" t="s">
        <v>755</v>
      </c>
      <c r="G356" s="443" t="s">
        <v>1298</v>
      </c>
      <c r="H356" s="443" t="s">
        <v>1299</v>
      </c>
      <c r="I356" s="446">
        <v>369</v>
      </c>
      <c r="J356" s="446">
        <v>5</v>
      </c>
      <c r="K356" s="447">
        <v>1845.010009765625</v>
      </c>
    </row>
    <row r="357" spans="1:11" ht="14.45" customHeight="1" x14ac:dyDescent="0.2">
      <c r="A357" s="441" t="s">
        <v>437</v>
      </c>
      <c r="B357" s="442" t="s">
        <v>438</v>
      </c>
      <c r="C357" s="443" t="s">
        <v>444</v>
      </c>
      <c r="D357" s="444" t="s">
        <v>445</v>
      </c>
      <c r="E357" s="443" t="s">
        <v>754</v>
      </c>
      <c r="F357" s="444" t="s">
        <v>755</v>
      </c>
      <c r="G357" s="443" t="s">
        <v>1300</v>
      </c>
      <c r="H357" s="443" t="s">
        <v>1301</v>
      </c>
      <c r="I357" s="446">
        <v>369</v>
      </c>
      <c r="J357" s="446">
        <v>5</v>
      </c>
      <c r="K357" s="447">
        <v>1845.010009765625</v>
      </c>
    </row>
    <row r="358" spans="1:11" ht="14.45" customHeight="1" x14ac:dyDescent="0.2">
      <c r="A358" s="441" t="s">
        <v>437</v>
      </c>
      <c r="B358" s="442" t="s">
        <v>438</v>
      </c>
      <c r="C358" s="443" t="s">
        <v>444</v>
      </c>
      <c r="D358" s="444" t="s">
        <v>445</v>
      </c>
      <c r="E358" s="443" t="s">
        <v>754</v>
      </c>
      <c r="F358" s="444" t="s">
        <v>755</v>
      </c>
      <c r="G358" s="443" t="s">
        <v>1302</v>
      </c>
      <c r="H358" s="443" t="s">
        <v>1303</v>
      </c>
      <c r="I358" s="446">
        <v>368.989990234375</v>
      </c>
      <c r="J358" s="446">
        <v>3</v>
      </c>
      <c r="K358" s="447">
        <v>1106.97998046875</v>
      </c>
    </row>
    <row r="359" spans="1:11" ht="14.45" customHeight="1" x14ac:dyDescent="0.2">
      <c r="A359" s="441" t="s">
        <v>437</v>
      </c>
      <c r="B359" s="442" t="s">
        <v>438</v>
      </c>
      <c r="C359" s="443" t="s">
        <v>444</v>
      </c>
      <c r="D359" s="444" t="s">
        <v>445</v>
      </c>
      <c r="E359" s="443" t="s">
        <v>754</v>
      </c>
      <c r="F359" s="444" t="s">
        <v>755</v>
      </c>
      <c r="G359" s="443" t="s">
        <v>1304</v>
      </c>
      <c r="H359" s="443" t="s">
        <v>1305</v>
      </c>
      <c r="I359" s="446">
        <v>252</v>
      </c>
      <c r="J359" s="446">
        <v>4</v>
      </c>
      <c r="K359" s="447">
        <v>1008</v>
      </c>
    </row>
    <row r="360" spans="1:11" ht="14.45" customHeight="1" x14ac:dyDescent="0.2">
      <c r="A360" s="441" t="s">
        <v>437</v>
      </c>
      <c r="B360" s="442" t="s">
        <v>438</v>
      </c>
      <c r="C360" s="443" t="s">
        <v>444</v>
      </c>
      <c r="D360" s="444" t="s">
        <v>445</v>
      </c>
      <c r="E360" s="443" t="s">
        <v>754</v>
      </c>
      <c r="F360" s="444" t="s">
        <v>755</v>
      </c>
      <c r="G360" s="443" t="s">
        <v>1306</v>
      </c>
      <c r="H360" s="443" t="s">
        <v>1307</v>
      </c>
      <c r="I360" s="446">
        <v>252</v>
      </c>
      <c r="J360" s="446">
        <v>4</v>
      </c>
      <c r="K360" s="447">
        <v>1008</v>
      </c>
    </row>
    <row r="361" spans="1:11" ht="14.45" customHeight="1" x14ac:dyDescent="0.2">
      <c r="A361" s="441" t="s">
        <v>437</v>
      </c>
      <c r="B361" s="442" t="s">
        <v>438</v>
      </c>
      <c r="C361" s="443" t="s">
        <v>444</v>
      </c>
      <c r="D361" s="444" t="s">
        <v>445</v>
      </c>
      <c r="E361" s="443" t="s">
        <v>754</v>
      </c>
      <c r="F361" s="444" t="s">
        <v>755</v>
      </c>
      <c r="G361" s="443" t="s">
        <v>1308</v>
      </c>
      <c r="H361" s="443" t="s">
        <v>1309</v>
      </c>
      <c r="I361" s="446">
        <v>1420</v>
      </c>
      <c r="J361" s="446">
        <v>5</v>
      </c>
      <c r="K361" s="447">
        <v>7100.009765625</v>
      </c>
    </row>
    <row r="362" spans="1:11" ht="14.45" customHeight="1" x14ac:dyDescent="0.2">
      <c r="A362" s="441" t="s">
        <v>437</v>
      </c>
      <c r="B362" s="442" t="s">
        <v>438</v>
      </c>
      <c r="C362" s="443" t="s">
        <v>444</v>
      </c>
      <c r="D362" s="444" t="s">
        <v>445</v>
      </c>
      <c r="E362" s="443" t="s">
        <v>754</v>
      </c>
      <c r="F362" s="444" t="s">
        <v>755</v>
      </c>
      <c r="G362" s="443" t="s">
        <v>1310</v>
      </c>
      <c r="H362" s="443" t="s">
        <v>1311</v>
      </c>
      <c r="I362" s="446">
        <v>3729.72998046875</v>
      </c>
      <c r="J362" s="446">
        <v>4</v>
      </c>
      <c r="K362" s="447">
        <v>14918.91015625</v>
      </c>
    </row>
    <row r="363" spans="1:11" ht="14.45" customHeight="1" x14ac:dyDescent="0.2">
      <c r="A363" s="441" t="s">
        <v>437</v>
      </c>
      <c r="B363" s="442" t="s">
        <v>438</v>
      </c>
      <c r="C363" s="443" t="s">
        <v>444</v>
      </c>
      <c r="D363" s="444" t="s">
        <v>445</v>
      </c>
      <c r="E363" s="443" t="s">
        <v>754</v>
      </c>
      <c r="F363" s="444" t="s">
        <v>755</v>
      </c>
      <c r="G363" s="443" t="s">
        <v>1312</v>
      </c>
      <c r="H363" s="443" t="s">
        <v>1313</v>
      </c>
      <c r="I363" s="446">
        <v>302.45001220703125</v>
      </c>
      <c r="J363" s="446">
        <v>10</v>
      </c>
      <c r="K363" s="447">
        <v>3024.5</v>
      </c>
    </row>
    <row r="364" spans="1:11" ht="14.45" customHeight="1" x14ac:dyDescent="0.2">
      <c r="A364" s="441" t="s">
        <v>437</v>
      </c>
      <c r="B364" s="442" t="s">
        <v>438</v>
      </c>
      <c r="C364" s="443" t="s">
        <v>444</v>
      </c>
      <c r="D364" s="444" t="s">
        <v>445</v>
      </c>
      <c r="E364" s="443" t="s">
        <v>754</v>
      </c>
      <c r="F364" s="444" t="s">
        <v>755</v>
      </c>
      <c r="G364" s="443" t="s">
        <v>1314</v>
      </c>
      <c r="H364" s="443" t="s">
        <v>1315</v>
      </c>
      <c r="I364" s="446">
        <v>169.38999938964844</v>
      </c>
      <c r="J364" s="446">
        <v>2</v>
      </c>
      <c r="K364" s="447">
        <v>338.77999877929688</v>
      </c>
    </row>
    <row r="365" spans="1:11" ht="14.45" customHeight="1" x14ac:dyDescent="0.2">
      <c r="A365" s="441" t="s">
        <v>437</v>
      </c>
      <c r="B365" s="442" t="s">
        <v>438</v>
      </c>
      <c r="C365" s="443" t="s">
        <v>444</v>
      </c>
      <c r="D365" s="444" t="s">
        <v>445</v>
      </c>
      <c r="E365" s="443" t="s">
        <v>754</v>
      </c>
      <c r="F365" s="444" t="s">
        <v>755</v>
      </c>
      <c r="G365" s="443" t="s">
        <v>1316</v>
      </c>
      <c r="H365" s="443" t="s">
        <v>1317</v>
      </c>
      <c r="I365" s="446">
        <v>514.22998046875</v>
      </c>
      <c r="J365" s="446">
        <v>2</v>
      </c>
      <c r="K365" s="447">
        <v>1028.4599609375</v>
      </c>
    </row>
    <row r="366" spans="1:11" ht="14.45" customHeight="1" x14ac:dyDescent="0.2">
      <c r="A366" s="441" t="s">
        <v>437</v>
      </c>
      <c r="B366" s="442" t="s">
        <v>438</v>
      </c>
      <c r="C366" s="443" t="s">
        <v>444</v>
      </c>
      <c r="D366" s="444" t="s">
        <v>445</v>
      </c>
      <c r="E366" s="443" t="s">
        <v>754</v>
      </c>
      <c r="F366" s="444" t="s">
        <v>755</v>
      </c>
      <c r="G366" s="443" t="s">
        <v>1318</v>
      </c>
      <c r="H366" s="443" t="s">
        <v>1319</v>
      </c>
      <c r="I366" s="446">
        <v>635.219970703125</v>
      </c>
      <c r="J366" s="446">
        <v>2</v>
      </c>
      <c r="K366" s="447">
        <v>1270.4300537109375</v>
      </c>
    </row>
    <row r="367" spans="1:11" ht="14.45" customHeight="1" x14ac:dyDescent="0.2">
      <c r="A367" s="441" t="s">
        <v>437</v>
      </c>
      <c r="B367" s="442" t="s">
        <v>438</v>
      </c>
      <c r="C367" s="443" t="s">
        <v>444</v>
      </c>
      <c r="D367" s="444" t="s">
        <v>445</v>
      </c>
      <c r="E367" s="443" t="s">
        <v>754</v>
      </c>
      <c r="F367" s="444" t="s">
        <v>755</v>
      </c>
      <c r="G367" s="443" t="s">
        <v>1320</v>
      </c>
      <c r="H367" s="443" t="s">
        <v>1321</v>
      </c>
      <c r="I367" s="446">
        <v>262.08999633789063</v>
      </c>
      <c r="J367" s="446">
        <v>2</v>
      </c>
      <c r="K367" s="447">
        <v>524.16998291015625</v>
      </c>
    </row>
    <row r="368" spans="1:11" ht="14.45" customHeight="1" x14ac:dyDescent="0.2">
      <c r="A368" s="441" t="s">
        <v>437</v>
      </c>
      <c r="B368" s="442" t="s">
        <v>438</v>
      </c>
      <c r="C368" s="443" t="s">
        <v>444</v>
      </c>
      <c r="D368" s="444" t="s">
        <v>445</v>
      </c>
      <c r="E368" s="443" t="s">
        <v>754</v>
      </c>
      <c r="F368" s="444" t="s">
        <v>755</v>
      </c>
      <c r="G368" s="443" t="s">
        <v>1322</v>
      </c>
      <c r="H368" s="443" t="s">
        <v>1323</v>
      </c>
      <c r="I368" s="446">
        <v>544.5</v>
      </c>
      <c r="J368" s="446">
        <v>2</v>
      </c>
      <c r="K368" s="447">
        <v>1089</v>
      </c>
    </row>
    <row r="369" spans="1:11" ht="14.45" customHeight="1" x14ac:dyDescent="0.2">
      <c r="A369" s="441" t="s">
        <v>437</v>
      </c>
      <c r="B369" s="442" t="s">
        <v>438</v>
      </c>
      <c r="C369" s="443" t="s">
        <v>444</v>
      </c>
      <c r="D369" s="444" t="s">
        <v>445</v>
      </c>
      <c r="E369" s="443" t="s">
        <v>754</v>
      </c>
      <c r="F369" s="444" t="s">
        <v>755</v>
      </c>
      <c r="G369" s="443" t="s">
        <v>1324</v>
      </c>
      <c r="H369" s="443" t="s">
        <v>1325</v>
      </c>
      <c r="I369" s="446">
        <v>655.219970703125</v>
      </c>
      <c r="J369" s="446">
        <v>2</v>
      </c>
      <c r="K369" s="447">
        <v>1310.4300537109375</v>
      </c>
    </row>
    <row r="370" spans="1:11" ht="14.45" customHeight="1" x14ac:dyDescent="0.2">
      <c r="A370" s="441" t="s">
        <v>437</v>
      </c>
      <c r="B370" s="442" t="s">
        <v>438</v>
      </c>
      <c r="C370" s="443" t="s">
        <v>444</v>
      </c>
      <c r="D370" s="444" t="s">
        <v>445</v>
      </c>
      <c r="E370" s="443" t="s">
        <v>754</v>
      </c>
      <c r="F370" s="444" t="s">
        <v>755</v>
      </c>
      <c r="G370" s="443" t="s">
        <v>1326</v>
      </c>
      <c r="H370" s="443" t="s">
        <v>1327</v>
      </c>
      <c r="I370" s="446">
        <v>231.11000061035156</v>
      </c>
      <c r="J370" s="446">
        <v>15</v>
      </c>
      <c r="K370" s="447">
        <v>3466.64990234375</v>
      </c>
    </row>
    <row r="371" spans="1:11" ht="14.45" customHeight="1" x14ac:dyDescent="0.2">
      <c r="A371" s="441" t="s">
        <v>437</v>
      </c>
      <c r="B371" s="442" t="s">
        <v>438</v>
      </c>
      <c r="C371" s="443" t="s">
        <v>444</v>
      </c>
      <c r="D371" s="444" t="s">
        <v>445</v>
      </c>
      <c r="E371" s="443" t="s">
        <v>754</v>
      </c>
      <c r="F371" s="444" t="s">
        <v>755</v>
      </c>
      <c r="G371" s="443" t="s">
        <v>1328</v>
      </c>
      <c r="H371" s="443" t="s">
        <v>1329</v>
      </c>
      <c r="I371" s="446">
        <v>1.5199999809265137</v>
      </c>
      <c r="J371" s="446">
        <v>500</v>
      </c>
      <c r="K371" s="447">
        <v>760.32000732421875</v>
      </c>
    </row>
    <row r="372" spans="1:11" ht="14.45" customHeight="1" x14ac:dyDescent="0.2">
      <c r="A372" s="441" t="s">
        <v>437</v>
      </c>
      <c r="B372" s="442" t="s">
        <v>438</v>
      </c>
      <c r="C372" s="443" t="s">
        <v>444</v>
      </c>
      <c r="D372" s="444" t="s">
        <v>445</v>
      </c>
      <c r="E372" s="443" t="s">
        <v>754</v>
      </c>
      <c r="F372" s="444" t="s">
        <v>755</v>
      </c>
      <c r="G372" s="443" t="s">
        <v>1330</v>
      </c>
      <c r="H372" s="443" t="s">
        <v>1331</v>
      </c>
      <c r="I372" s="446">
        <v>385.97000122070313</v>
      </c>
      <c r="J372" s="446">
        <v>43</v>
      </c>
      <c r="K372" s="447">
        <v>16596.519897460938</v>
      </c>
    </row>
    <row r="373" spans="1:11" ht="14.45" customHeight="1" x14ac:dyDescent="0.2">
      <c r="A373" s="441" t="s">
        <v>437</v>
      </c>
      <c r="B373" s="442" t="s">
        <v>438</v>
      </c>
      <c r="C373" s="443" t="s">
        <v>444</v>
      </c>
      <c r="D373" s="444" t="s">
        <v>445</v>
      </c>
      <c r="E373" s="443" t="s">
        <v>754</v>
      </c>
      <c r="F373" s="444" t="s">
        <v>755</v>
      </c>
      <c r="G373" s="443" t="s">
        <v>1332</v>
      </c>
      <c r="H373" s="443" t="s">
        <v>1333</v>
      </c>
      <c r="I373" s="446">
        <v>598.5</v>
      </c>
      <c r="J373" s="446">
        <v>2</v>
      </c>
      <c r="K373" s="447">
        <v>1197</v>
      </c>
    </row>
    <row r="374" spans="1:11" ht="14.45" customHeight="1" x14ac:dyDescent="0.2">
      <c r="A374" s="441" t="s">
        <v>437</v>
      </c>
      <c r="B374" s="442" t="s">
        <v>438</v>
      </c>
      <c r="C374" s="443" t="s">
        <v>444</v>
      </c>
      <c r="D374" s="444" t="s">
        <v>445</v>
      </c>
      <c r="E374" s="443" t="s">
        <v>754</v>
      </c>
      <c r="F374" s="444" t="s">
        <v>755</v>
      </c>
      <c r="G374" s="443" t="s">
        <v>1334</v>
      </c>
      <c r="H374" s="443" t="s">
        <v>1335</v>
      </c>
      <c r="I374" s="446">
        <v>109</v>
      </c>
      <c r="J374" s="446">
        <v>5</v>
      </c>
      <c r="K374" s="447">
        <v>545</v>
      </c>
    </row>
    <row r="375" spans="1:11" ht="14.45" customHeight="1" x14ac:dyDescent="0.2">
      <c r="A375" s="441" t="s">
        <v>437</v>
      </c>
      <c r="B375" s="442" t="s">
        <v>438</v>
      </c>
      <c r="C375" s="443" t="s">
        <v>444</v>
      </c>
      <c r="D375" s="444" t="s">
        <v>445</v>
      </c>
      <c r="E375" s="443" t="s">
        <v>754</v>
      </c>
      <c r="F375" s="444" t="s">
        <v>755</v>
      </c>
      <c r="G375" s="443" t="s">
        <v>1336</v>
      </c>
      <c r="H375" s="443" t="s">
        <v>1337</v>
      </c>
      <c r="I375" s="446">
        <v>53.360000610351563</v>
      </c>
      <c r="J375" s="446">
        <v>3</v>
      </c>
      <c r="K375" s="447">
        <v>160.08000183105469</v>
      </c>
    </row>
    <row r="376" spans="1:11" ht="14.45" customHeight="1" x14ac:dyDescent="0.2">
      <c r="A376" s="441" t="s">
        <v>437</v>
      </c>
      <c r="B376" s="442" t="s">
        <v>438</v>
      </c>
      <c r="C376" s="443" t="s">
        <v>444</v>
      </c>
      <c r="D376" s="444" t="s">
        <v>445</v>
      </c>
      <c r="E376" s="443" t="s">
        <v>754</v>
      </c>
      <c r="F376" s="444" t="s">
        <v>755</v>
      </c>
      <c r="G376" s="443" t="s">
        <v>1338</v>
      </c>
      <c r="H376" s="443" t="s">
        <v>1339</v>
      </c>
      <c r="I376" s="446">
        <v>163.35000610351563</v>
      </c>
      <c r="J376" s="446">
        <v>2</v>
      </c>
      <c r="K376" s="447">
        <v>326.70001220703125</v>
      </c>
    </row>
    <row r="377" spans="1:11" ht="14.45" customHeight="1" x14ac:dyDescent="0.2">
      <c r="A377" s="441" t="s">
        <v>437</v>
      </c>
      <c r="B377" s="442" t="s">
        <v>438</v>
      </c>
      <c r="C377" s="443" t="s">
        <v>444</v>
      </c>
      <c r="D377" s="444" t="s">
        <v>445</v>
      </c>
      <c r="E377" s="443" t="s">
        <v>754</v>
      </c>
      <c r="F377" s="444" t="s">
        <v>755</v>
      </c>
      <c r="G377" s="443" t="s">
        <v>1340</v>
      </c>
      <c r="H377" s="443" t="s">
        <v>1341</v>
      </c>
      <c r="I377" s="446">
        <v>179.08000183105469</v>
      </c>
      <c r="J377" s="446">
        <v>1</v>
      </c>
      <c r="K377" s="447">
        <v>179.08000183105469</v>
      </c>
    </row>
    <row r="378" spans="1:11" ht="14.45" customHeight="1" x14ac:dyDescent="0.2">
      <c r="A378" s="441" t="s">
        <v>437</v>
      </c>
      <c r="B378" s="442" t="s">
        <v>438</v>
      </c>
      <c r="C378" s="443" t="s">
        <v>444</v>
      </c>
      <c r="D378" s="444" t="s">
        <v>445</v>
      </c>
      <c r="E378" s="443" t="s">
        <v>754</v>
      </c>
      <c r="F378" s="444" t="s">
        <v>755</v>
      </c>
      <c r="G378" s="443" t="s">
        <v>1342</v>
      </c>
      <c r="H378" s="443" t="s">
        <v>1343</v>
      </c>
      <c r="I378" s="446">
        <v>379.33999633789063</v>
      </c>
      <c r="J378" s="446">
        <v>1</v>
      </c>
      <c r="K378" s="447">
        <v>379.33999633789063</v>
      </c>
    </row>
    <row r="379" spans="1:11" ht="14.45" customHeight="1" x14ac:dyDescent="0.2">
      <c r="A379" s="441" t="s">
        <v>437</v>
      </c>
      <c r="B379" s="442" t="s">
        <v>438</v>
      </c>
      <c r="C379" s="443" t="s">
        <v>444</v>
      </c>
      <c r="D379" s="444" t="s">
        <v>445</v>
      </c>
      <c r="E379" s="443" t="s">
        <v>754</v>
      </c>
      <c r="F379" s="444" t="s">
        <v>755</v>
      </c>
      <c r="G379" s="443" t="s">
        <v>1344</v>
      </c>
      <c r="H379" s="443" t="s">
        <v>1345</v>
      </c>
      <c r="I379" s="446">
        <v>56.049999237060547</v>
      </c>
      <c r="J379" s="446">
        <v>10</v>
      </c>
      <c r="K379" s="447">
        <v>560.5</v>
      </c>
    </row>
    <row r="380" spans="1:11" ht="14.45" customHeight="1" x14ac:dyDescent="0.2">
      <c r="A380" s="441" t="s">
        <v>437</v>
      </c>
      <c r="B380" s="442" t="s">
        <v>438</v>
      </c>
      <c r="C380" s="443" t="s">
        <v>444</v>
      </c>
      <c r="D380" s="444" t="s">
        <v>445</v>
      </c>
      <c r="E380" s="443" t="s">
        <v>754</v>
      </c>
      <c r="F380" s="444" t="s">
        <v>755</v>
      </c>
      <c r="G380" s="443" t="s">
        <v>1346</v>
      </c>
      <c r="H380" s="443" t="s">
        <v>1347</v>
      </c>
      <c r="I380" s="446">
        <v>21.479999542236328</v>
      </c>
      <c r="J380" s="446">
        <v>20</v>
      </c>
      <c r="K380" s="447">
        <v>429.52999877929688</v>
      </c>
    </row>
    <row r="381" spans="1:11" ht="14.45" customHeight="1" x14ac:dyDescent="0.2">
      <c r="A381" s="441" t="s">
        <v>437</v>
      </c>
      <c r="B381" s="442" t="s">
        <v>438</v>
      </c>
      <c r="C381" s="443" t="s">
        <v>444</v>
      </c>
      <c r="D381" s="444" t="s">
        <v>445</v>
      </c>
      <c r="E381" s="443" t="s">
        <v>754</v>
      </c>
      <c r="F381" s="444" t="s">
        <v>755</v>
      </c>
      <c r="G381" s="443" t="s">
        <v>1348</v>
      </c>
      <c r="H381" s="443" t="s">
        <v>1349</v>
      </c>
      <c r="I381" s="446">
        <v>387.17999267578125</v>
      </c>
      <c r="J381" s="446">
        <v>8</v>
      </c>
      <c r="K381" s="447">
        <v>3097.39990234375</v>
      </c>
    </row>
    <row r="382" spans="1:11" ht="14.45" customHeight="1" x14ac:dyDescent="0.2">
      <c r="A382" s="441" t="s">
        <v>437</v>
      </c>
      <c r="B382" s="442" t="s">
        <v>438</v>
      </c>
      <c r="C382" s="443" t="s">
        <v>444</v>
      </c>
      <c r="D382" s="444" t="s">
        <v>445</v>
      </c>
      <c r="E382" s="443" t="s">
        <v>754</v>
      </c>
      <c r="F382" s="444" t="s">
        <v>755</v>
      </c>
      <c r="G382" s="443" t="s">
        <v>1350</v>
      </c>
      <c r="H382" s="443" t="s">
        <v>1351</v>
      </c>
      <c r="I382" s="446">
        <v>1040.5999755859375</v>
      </c>
      <c r="J382" s="446">
        <v>1</v>
      </c>
      <c r="K382" s="447">
        <v>1040.5999755859375</v>
      </c>
    </row>
    <row r="383" spans="1:11" ht="14.45" customHeight="1" x14ac:dyDescent="0.2">
      <c r="A383" s="441" t="s">
        <v>437</v>
      </c>
      <c r="B383" s="442" t="s">
        <v>438</v>
      </c>
      <c r="C383" s="443" t="s">
        <v>444</v>
      </c>
      <c r="D383" s="444" t="s">
        <v>445</v>
      </c>
      <c r="E383" s="443" t="s">
        <v>754</v>
      </c>
      <c r="F383" s="444" t="s">
        <v>755</v>
      </c>
      <c r="G383" s="443" t="s">
        <v>1352</v>
      </c>
      <c r="H383" s="443" t="s">
        <v>1353</v>
      </c>
      <c r="I383" s="446">
        <v>937.75</v>
      </c>
      <c r="J383" s="446">
        <v>1</v>
      </c>
      <c r="K383" s="447">
        <v>937.75</v>
      </c>
    </row>
    <row r="384" spans="1:11" ht="14.45" customHeight="1" x14ac:dyDescent="0.2">
      <c r="A384" s="441" t="s">
        <v>437</v>
      </c>
      <c r="B384" s="442" t="s">
        <v>438</v>
      </c>
      <c r="C384" s="443" t="s">
        <v>444</v>
      </c>
      <c r="D384" s="444" t="s">
        <v>445</v>
      </c>
      <c r="E384" s="443" t="s">
        <v>754</v>
      </c>
      <c r="F384" s="444" t="s">
        <v>755</v>
      </c>
      <c r="G384" s="443" t="s">
        <v>1354</v>
      </c>
      <c r="H384" s="443" t="s">
        <v>1355</v>
      </c>
      <c r="I384" s="446">
        <v>937.75</v>
      </c>
      <c r="J384" s="446">
        <v>1</v>
      </c>
      <c r="K384" s="447">
        <v>937.75</v>
      </c>
    </row>
    <row r="385" spans="1:11" ht="14.45" customHeight="1" x14ac:dyDescent="0.2">
      <c r="A385" s="441" t="s">
        <v>437</v>
      </c>
      <c r="B385" s="442" t="s">
        <v>438</v>
      </c>
      <c r="C385" s="443" t="s">
        <v>444</v>
      </c>
      <c r="D385" s="444" t="s">
        <v>445</v>
      </c>
      <c r="E385" s="443" t="s">
        <v>754</v>
      </c>
      <c r="F385" s="444" t="s">
        <v>755</v>
      </c>
      <c r="G385" s="443" t="s">
        <v>1356</v>
      </c>
      <c r="H385" s="443" t="s">
        <v>1357</v>
      </c>
      <c r="I385" s="446">
        <v>3905.0050048828125</v>
      </c>
      <c r="J385" s="446">
        <v>3</v>
      </c>
      <c r="K385" s="447">
        <v>11715.010009765625</v>
      </c>
    </row>
    <row r="386" spans="1:11" ht="14.45" customHeight="1" x14ac:dyDescent="0.2">
      <c r="A386" s="441" t="s">
        <v>437</v>
      </c>
      <c r="B386" s="442" t="s">
        <v>438</v>
      </c>
      <c r="C386" s="443" t="s">
        <v>444</v>
      </c>
      <c r="D386" s="444" t="s">
        <v>445</v>
      </c>
      <c r="E386" s="443" t="s">
        <v>754</v>
      </c>
      <c r="F386" s="444" t="s">
        <v>755</v>
      </c>
      <c r="G386" s="443" t="s">
        <v>1358</v>
      </c>
      <c r="H386" s="443" t="s">
        <v>1359</v>
      </c>
      <c r="I386" s="446">
        <v>7465.27978515625</v>
      </c>
      <c r="J386" s="446">
        <v>1</v>
      </c>
      <c r="K386" s="447">
        <v>7465.27978515625</v>
      </c>
    </row>
    <row r="387" spans="1:11" ht="14.45" customHeight="1" x14ac:dyDescent="0.2">
      <c r="A387" s="441" t="s">
        <v>437</v>
      </c>
      <c r="B387" s="442" t="s">
        <v>438</v>
      </c>
      <c r="C387" s="443" t="s">
        <v>444</v>
      </c>
      <c r="D387" s="444" t="s">
        <v>445</v>
      </c>
      <c r="E387" s="443" t="s">
        <v>754</v>
      </c>
      <c r="F387" s="444" t="s">
        <v>755</v>
      </c>
      <c r="G387" s="443" t="s">
        <v>1360</v>
      </c>
      <c r="H387" s="443" t="s">
        <v>1361</v>
      </c>
      <c r="I387" s="446">
        <v>419.8699951171875</v>
      </c>
      <c r="J387" s="446">
        <v>1</v>
      </c>
      <c r="K387" s="447">
        <v>419.8699951171875</v>
      </c>
    </row>
    <row r="388" spans="1:11" ht="14.45" customHeight="1" x14ac:dyDescent="0.2">
      <c r="A388" s="441" t="s">
        <v>437</v>
      </c>
      <c r="B388" s="442" t="s">
        <v>438</v>
      </c>
      <c r="C388" s="443" t="s">
        <v>444</v>
      </c>
      <c r="D388" s="444" t="s">
        <v>445</v>
      </c>
      <c r="E388" s="443" t="s">
        <v>754</v>
      </c>
      <c r="F388" s="444" t="s">
        <v>755</v>
      </c>
      <c r="G388" s="443" t="s">
        <v>1362</v>
      </c>
      <c r="H388" s="443" t="s">
        <v>1363</v>
      </c>
      <c r="I388" s="446">
        <v>2153.679931640625</v>
      </c>
      <c r="J388" s="446">
        <v>2</v>
      </c>
      <c r="K388" s="447">
        <v>4307.35986328125</v>
      </c>
    </row>
    <row r="389" spans="1:11" ht="14.45" customHeight="1" x14ac:dyDescent="0.2">
      <c r="A389" s="441" t="s">
        <v>437</v>
      </c>
      <c r="B389" s="442" t="s">
        <v>438</v>
      </c>
      <c r="C389" s="443" t="s">
        <v>444</v>
      </c>
      <c r="D389" s="444" t="s">
        <v>445</v>
      </c>
      <c r="E389" s="443" t="s">
        <v>754</v>
      </c>
      <c r="F389" s="444" t="s">
        <v>755</v>
      </c>
      <c r="G389" s="443" t="s">
        <v>1364</v>
      </c>
      <c r="H389" s="443" t="s">
        <v>1365</v>
      </c>
      <c r="I389" s="446">
        <v>942.53997802734375</v>
      </c>
      <c r="J389" s="446">
        <v>4</v>
      </c>
      <c r="K389" s="447">
        <v>3770.159912109375</v>
      </c>
    </row>
    <row r="390" spans="1:11" ht="14.45" customHeight="1" x14ac:dyDescent="0.2">
      <c r="A390" s="441" t="s">
        <v>437</v>
      </c>
      <c r="B390" s="442" t="s">
        <v>438</v>
      </c>
      <c r="C390" s="443" t="s">
        <v>444</v>
      </c>
      <c r="D390" s="444" t="s">
        <v>445</v>
      </c>
      <c r="E390" s="443" t="s">
        <v>754</v>
      </c>
      <c r="F390" s="444" t="s">
        <v>755</v>
      </c>
      <c r="G390" s="443" t="s">
        <v>1366</v>
      </c>
      <c r="H390" s="443" t="s">
        <v>1367</v>
      </c>
      <c r="I390" s="446">
        <v>426.04000854492188</v>
      </c>
      <c r="J390" s="446">
        <v>3</v>
      </c>
      <c r="K390" s="447">
        <v>1278.1200256347656</v>
      </c>
    </row>
    <row r="391" spans="1:11" ht="14.45" customHeight="1" x14ac:dyDescent="0.2">
      <c r="A391" s="441" t="s">
        <v>437</v>
      </c>
      <c r="B391" s="442" t="s">
        <v>438</v>
      </c>
      <c r="C391" s="443" t="s">
        <v>444</v>
      </c>
      <c r="D391" s="444" t="s">
        <v>445</v>
      </c>
      <c r="E391" s="443" t="s">
        <v>754</v>
      </c>
      <c r="F391" s="444" t="s">
        <v>755</v>
      </c>
      <c r="G391" s="443" t="s">
        <v>1368</v>
      </c>
      <c r="H391" s="443" t="s">
        <v>1369</v>
      </c>
      <c r="I391" s="446">
        <v>617.05999755859375</v>
      </c>
      <c r="J391" s="446">
        <v>1</v>
      </c>
      <c r="K391" s="447">
        <v>617.05999755859375</v>
      </c>
    </row>
    <row r="392" spans="1:11" ht="14.45" customHeight="1" x14ac:dyDescent="0.2">
      <c r="A392" s="441" t="s">
        <v>437</v>
      </c>
      <c r="B392" s="442" t="s">
        <v>438</v>
      </c>
      <c r="C392" s="443" t="s">
        <v>444</v>
      </c>
      <c r="D392" s="444" t="s">
        <v>445</v>
      </c>
      <c r="E392" s="443" t="s">
        <v>754</v>
      </c>
      <c r="F392" s="444" t="s">
        <v>755</v>
      </c>
      <c r="G392" s="443" t="s">
        <v>1370</v>
      </c>
      <c r="H392" s="443" t="s">
        <v>1371</v>
      </c>
      <c r="I392" s="446">
        <v>617.05999755859375</v>
      </c>
      <c r="J392" s="446">
        <v>1</v>
      </c>
      <c r="K392" s="447">
        <v>617.05999755859375</v>
      </c>
    </row>
    <row r="393" spans="1:11" ht="14.45" customHeight="1" x14ac:dyDescent="0.2">
      <c r="A393" s="441" t="s">
        <v>437</v>
      </c>
      <c r="B393" s="442" t="s">
        <v>438</v>
      </c>
      <c r="C393" s="443" t="s">
        <v>444</v>
      </c>
      <c r="D393" s="444" t="s">
        <v>445</v>
      </c>
      <c r="E393" s="443" t="s">
        <v>754</v>
      </c>
      <c r="F393" s="444" t="s">
        <v>755</v>
      </c>
      <c r="G393" s="443" t="s">
        <v>1372</v>
      </c>
      <c r="H393" s="443" t="s">
        <v>1373</v>
      </c>
      <c r="I393" s="446">
        <v>7.4099998474121094</v>
      </c>
      <c r="J393" s="446">
        <v>600</v>
      </c>
      <c r="K393" s="447">
        <v>4445</v>
      </c>
    </row>
    <row r="394" spans="1:11" ht="14.45" customHeight="1" x14ac:dyDescent="0.2">
      <c r="A394" s="441" t="s">
        <v>437</v>
      </c>
      <c r="B394" s="442" t="s">
        <v>438</v>
      </c>
      <c r="C394" s="443" t="s">
        <v>444</v>
      </c>
      <c r="D394" s="444" t="s">
        <v>445</v>
      </c>
      <c r="E394" s="443" t="s">
        <v>754</v>
      </c>
      <c r="F394" s="444" t="s">
        <v>755</v>
      </c>
      <c r="G394" s="443" t="s">
        <v>1374</v>
      </c>
      <c r="H394" s="443" t="s">
        <v>1375</v>
      </c>
      <c r="I394" s="446">
        <v>8.8900003433227539</v>
      </c>
      <c r="J394" s="446">
        <v>500</v>
      </c>
      <c r="K394" s="447">
        <v>4445</v>
      </c>
    </row>
    <row r="395" spans="1:11" ht="14.45" customHeight="1" x14ac:dyDescent="0.2">
      <c r="A395" s="441" t="s">
        <v>437</v>
      </c>
      <c r="B395" s="442" t="s">
        <v>438</v>
      </c>
      <c r="C395" s="443" t="s">
        <v>444</v>
      </c>
      <c r="D395" s="444" t="s">
        <v>445</v>
      </c>
      <c r="E395" s="443" t="s">
        <v>754</v>
      </c>
      <c r="F395" s="444" t="s">
        <v>755</v>
      </c>
      <c r="G395" s="443" t="s">
        <v>1376</v>
      </c>
      <c r="H395" s="443" t="s">
        <v>1377</v>
      </c>
      <c r="I395" s="446">
        <v>54.149999618530273</v>
      </c>
      <c r="J395" s="446">
        <v>60</v>
      </c>
      <c r="K395" s="447">
        <v>3362.9599609375</v>
      </c>
    </row>
    <row r="396" spans="1:11" ht="14.45" customHeight="1" x14ac:dyDescent="0.2">
      <c r="A396" s="441" t="s">
        <v>437</v>
      </c>
      <c r="B396" s="442" t="s">
        <v>438</v>
      </c>
      <c r="C396" s="443" t="s">
        <v>444</v>
      </c>
      <c r="D396" s="444" t="s">
        <v>445</v>
      </c>
      <c r="E396" s="443" t="s">
        <v>754</v>
      </c>
      <c r="F396" s="444" t="s">
        <v>755</v>
      </c>
      <c r="G396" s="443" t="s">
        <v>1378</v>
      </c>
      <c r="H396" s="443" t="s">
        <v>1379</v>
      </c>
      <c r="I396" s="446">
        <v>174.84500122070313</v>
      </c>
      <c r="J396" s="446">
        <v>35</v>
      </c>
      <c r="K396" s="447">
        <v>6080.25</v>
      </c>
    </row>
    <row r="397" spans="1:11" ht="14.45" customHeight="1" x14ac:dyDescent="0.2">
      <c r="A397" s="441" t="s">
        <v>437</v>
      </c>
      <c r="B397" s="442" t="s">
        <v>438</v>
      </c>
      <c r="C397" s="443" t="s">
        <v>444</v>
      </c>
      <c r="D397" s="444" t="s">
        <v>445</v>
      </c>
      <c r="E397" s="443" t="s">
        <v>754</v>
      </c>
      <c r="F397" s="444" t="s">
        <v>755</v>
      </c>
      <c r="G397" s="443" t="s">
        <v>1380</v>
      </c>
      <c r="H397" s="443" t="s">
        <v>1381</v>
      </c>
      <c r="I397" s="446">
        <v>258.92999776204425</v>
      </c>
      <c r="J397" s="446">
        <v>16</v>
      </c>
      <c r="K397" s="447">
        <v>3871.8098754882813</v>
      </c>
    </row>
    <row r="398" spans="1:11" ht="14.45" customHeight="1" x14ac:dyDescent="0.2">
      <c r="A398" s="441" t="s">
        <v>437</v>
      </c>
      <c r="B398" s="442" t="s">
        <v>438</v>
      </c>
      <c r="C398" s="443" t="s">
        <v>444</v>
      </c>
      <c r="D398" s="444" t="s">
        <v>445</v>
      </c>
      <c r="E398" s="443" t="s">
        <v>754</v>
      </c>
      <c r="F398" s="444" t="s">
        <v>755</v>
      </c>
      <c r="G398" s="443" t="s">
        <v>1382</v>
      </c>
      <c r="H398" s="443" t="s">
        <v>1383</v>
      </c>
      <c r="I398" s="446">
        <v>160.63999938964844</v>
      </c>
      <c r="J398" s="446">
        <v>10</v>
      </c>
      <c r="K398" s="447">
        <v>1606.43994140625</v>
      </c>
    </row>
    <row r="399" spans="1:11" ht="14.45" customHeight="1" x14ac:dyDescent="0.2">
      <c r="A399" s="441" t="s">
        <v>437</v>
      </c>
      <c r="B399" s="442" t="s">
        <v>438</v>
      </c>
      <c r="C399" s="443" t="s">
        <v>444</v>
      </c>
      <c r="D399" s="444" t="s">
        <v>445</v>
      </c>
      <c r="E399" s="443" t="s">
        <v>754</v>
      </c>
      <c r="F399" s="444" t="s">
        <v>755</v>
      </c>
      <c r="G399" s="443" t="s">
        <v>1384</v>
      </c>
      <c r="H399" s="443" t="s">
        <v>1385</v>
      </c>
      <c r="I399" s="446">
        <v>107.16000366210938</v>
      </c>
      <c r="J399" s="446">
        <v>49</v>
      </c>
      <c r="K399" s="447">
        <v>5250.9801025390625</v>
      </c>
    </row>
    <row r="400" spans="1:11" ht="14.45" customHeight="1" x14ac:dyDescent="0.2">
      <c r="A400" s="441" t="s">
        <v>437</v>
      </c>
      <c r="B400" s="442" t="s">
        <v>438</v>
      </c>
      <c r="C400" s="443" t="s">
        <v>444</v>
      </c>
      <c r="D400" s="444" t="s">
        <v>445</v>
      </c>
      <c r="E400" s="443" t="s">
        <v>754</v>
      </c>
      <c r="F400" s="444" t="s">
        <v>755</v>
      </c>
      <c r="G400" s="443" t="s">
        <v>1386</v>
      </c>
      <c r="H400" s="443" t="s">
        <v>1387</v>
      </c>
      <c r="I400" s="446">
        <v>91</v>
      </c>
      <c r="J400" s="446">
        <v>180</v>
      </c>
      <c r="K400" s="447">
        <v>16380</v>
      </c>
    </row>
    <row r="401" spans="1:11" ht="14.45" customHeight="1" x14ac:dyDescent="0.2">
      <c r="A401" s="441" t="s">
        <v>437</v>
      </c>
      <c r="B401" s="442" t="s">
        <v>438</v>
      </c>
      <c r="C401" s="443" t="s">
        <v>444</v>
      </c>
      <c r="D401" s="444" t="s">
        <v>445</v>
      </c>
      <c r="E401" s="443" t="s">
        <v>754</v>
      </c>
      <c r="F401" s="444" t="s">
        <v>755</v>
      </c>
      <c r="G401" s="443" t="s">
        <v>1388</v>
      </c>
      <c r="H401" s="443" t="s">
        <v>1389</v>
      </c>
      <c r="I401" s="446">
        <v>181.3699951171875</v>
      </c>
      <c r="J401" s="446">
        <v>5</v>
      </c>
      <c r="K401" s="447">
        <v>906.83001708984375</v>
      </c>
    </row>
    <row r="402" spans="1:11" ht="14.45" customHeight="1" x14ac:dyDescent="0.2">
      <c r="A402" s="441" t="s">
        <v>437</v>
      </c>
      <c r="B402" s="442" t="s">
        <v>438</v>
      </c>
      <c r="C402" s="443" t="s">
        <v>444</v>
      </c>
      <c r="D402" s="444" t="s">
        <v>445</v>
      </c>
      <c r="E402" s="443" t="s">
        <v>754</v>
      </c>
      <c r="F402" s="444" t="s">
        <v>755</v>
      </c>
      <c r="G402" s="443" t="s">
        <v>1390</v>
      </c>
      <c r="H402" s="443" t="s">
        <v>1391</v>
      </c>
      <c r="I402" s="446">
        <v>143.67999267578125</v>
      </c>
      <c r="J402" s="446">
        <v>38</v>
      </c>
      <c r="K402" s="447">
        <v>5459.6700134277344</v>
      </c>
    </row>
    <row r="403" spans="1:11" ht="14.45" customHeight="1" x14ac:dyDescent="0.2">
      <c r="A403" s="441" t="s">
        <v>437</v>
      </c>
      <c r="B403" s="442" t="s">
        <v>438</v>
      </c>
      <c r="C403" s="443" t="s">
        <v>444</v>
      </c>
      <c r="D403" s="444" t="s">
        <v>445</v>
      </c>
      <c r="E403" s="443" t="s">
        <v>754</v>
      </c>
      <c r="F403" s="444" t="s">
        <v>755</v>
      </c>
      <c r="G403" s="443" t="s">
        <v>1392</v>
      </c>
      <c r="H403" s="443" t="s">
        <v>1393</v>
      </c>
      <c r="I403" s="446">
        <v>379.92001342773438</v>
      </c>
      <c r="J403" s="446">
        <v>1</v>
      </c>
      <c r="K403" s="447">
        <v>379.92001342773438</v>
      </c>
    </row>
    <row r="404" spans="1:11" ht="14.45" customHeight="1" x14ac:dyDescent="0.2">
      <c r="A404" s="441" t="s">
        <v>437</v>
      </c>
      <c r="B404" s="442" t="s">
        <v>438</v>
      </c>
      <c r="C404" s="443" t="s">
        <v>444</v>
      </c>
      <c r="D404" s="444" t="s">
        <v>445</v>
      </c>
      <c r="E404" s="443" t="s">
        <v>754</v>
      </c>
      <c r="F404" s="444" t="s">
        <v>755</v>
      </c>
      <c r="G404" s="443" t="s">
        <v>1394</v>
      </c>
      <c r="H404" s="443" t="s">
        <v>1395</v>
      </c>
      <c r="I404" s="446">
        <v>955.8499755859375</v>
      </c>
      <c r="J404" s="446">
        <v>4</v>
      </c>
      <c r="K404" s="447">
        <v>3823.39990234375</v>
      </c>
    </row>
    <row r="405" spans="1:11" ht="14.45" customHeight="1" x14ac:dyDescent="0.2">
      <c r="A405" s="441" t="s">
        <v>437</v>
      </c>
      <c r="B405" s="442" t="s">
        <v>438</v>
      </c>
      <c r="C405" s="443" t="s">
        <v>444</v>
      </c>
      <c r="D405" s="444" t="s">
        <v>445</v>
      </c>
      <c r="E405" s="443" t="s">
        <v>754</v>
      </c>
      <c r="F405" s="444" t="s">
        <v>755</v>
      </c>
      <c r="G405" s="443" t="s">
        <v>1396</v>
      </c>
      <c r="H405" s="443" t="s">
        <v>1397</v>
      </c>
      <c r="I405" s="446">
        <v>1631.0799560546875</v>
      </c>
      <c r="J405" s="446">
        <v>3</v>
      </c>
      <c r="K405" s="447">
        <v>4893.2398681640625</v>
      </c>
    </row>
    <row r="406" spans="1:11" ht="14.45" customHeight="1" x14ac:dyDescent="0.2">
      <c r="A406" s="441" t="s">
        <v>437</v>
      </c>
      <c r="B406" s="442" t="s">
        <v>438</v>
      </c>
      <c r="C406" s="443" t="s">
        <v>444</v>
      </c>
      <c r="D406" s="444" t="s">
        <v>445</v>
      </c>
      <c r="E406" s="443" t="s">
        <v>754</v>
      </c>
      <c r="F406" s="444" t="s">
        <v>755</v>
      </c>
      <c r="G406" s="443" t="s">
        <v>1398</v>
      </c>
      <c r="H406" s="443" t="s">
        <v>1399</v>
      </c>
      <c r="I406" s="446">
        <v>120.75</v>
      </c>
      <c r="J406" s="446">
        <v>10</v>
      </c>
      <c r="K406" s="447">
        <v>1207.5</v>
      </c>
    </row>
    <row r="407" spans="1:11" ht="14.45" customHeight="1" x14ac:dyDescent="0.2">
      <c r="A407" s="441" t="s">
        <v>437</v>
      </c>
      <c r="B407" s="442" t="s">
        <v>438</v>
      </c>
      <c r="C407" s="443" t="s">
        <v>444</v>
      </c>
      <c r="D407" s="444" t="s">
        <v>445</v>
      </c>
      <c r="E407" s="443" t="s">
        <v>754</v>
      </c>
      <c r="F407" s="444" t="s">
        <v>755</v>
      </c>
      <c r="G407" s="443" t="s">
        <v>1400</v>
      </c>
      <c r="H407" s="443" t="s">
        <v>1401</v>
      </c>
      <c r="I407" s="446">
        <v>3290</v>
      </c>
      <c r="J407" s="446">
        <v>1</v>
      </c>
      <c r="K407" s="447">
        <v>3290</v>
      </c>
    </row>
    <row r="408" spans="1:11" ht="14.45" customHeight="1" x14ac:dyDescent="0.2">
      <c r="A408" s="441" t="s">
        <v>437</v>
      </c>
      <c r="B408" s="442" t="s">
        <v>438</v>
      </c>
      <c r="C408" s="443" t="s">
        <v>444</v>
      </c>
      <c r="D408" s="444" t="s">
        <v>445</v>
      </c>
      <c r="E408" s="443" t="s">
        <v>754</v>
      </c>
      <c r="F408" s="444" t="s">
        <v>755</v>
      </c>
      <c r="G408" s="443" t="s">
        <v>1402</v>
      </c>
      <c r="H408" s="443" t="s">
        <v>1403</v>
      </c>
      <c r="I408" s="446">
        <v>2525.93994140625</v>
      </c>
      <c r="J408" s="446">
        <v>2</v>
      </c>
      <c r="K408" s="447">
        <v>5051.8798828125</v>
      </c>
    </row>
    <row r="409" spans="1:11" ht="14.45" customHeight="1" x14ac:dyDescent="0.2">
      <c r="A409" s="441" t="s">
        <v>437</v>
      </c>
      <c r="B409" s="442" t="s">
        <v>438</v>
      </c>
      <c r="C409" s="443" t="s">
        <v>444</v>
      </c>
      <c r="D409" s="444" t="s">
        <v>445</v>
      </c>
      <c r="E409" s="443" t="s">
        <v>754</v>
      </c>
      <c r="F409" s="444" t="s">
        <v>755</v>
      </c>
      <c r="G409" s="443" t="s">
        <v>1404</v>
      </c>
      <c r="H409" s="443" t="s">
        <v>1405</v>
      </c>
      <c r="I409" s="446">
        <v>2129.22998046875</v>
      </c>
      <c r="J409" s="446">
        <v>4</v>
      </c>
      <c r="K409" s="447">
        <v>8516.900390625</v>
      </c>
    </row>
    <row r="410" spans="1:11" ht="14.45" customHeight="1" x14ac:dyDescent="0.2">
      <c r="A410" s="441" t="s">
        <v>437</v>
      </c>
      <c r="B410" s="442" t="s">
        <v>438</v>
      </c>
      <c r="C410" s="443" t="s">
        <v>444</v>
      </c>
      <c r="D410" s="444" t="s">
        <v>445</v>
      </c>
      <c r="E410" s="443" t="s">
        <v>754</v>
      </c>
      <c r="F410" s="444" t="s">
        <v>755</v>
      </c>
      <c r="G410" s="443" t="s">
        <v>1406</v>
      </c>
      <c r="H410" s="443" t="s">
        <v>1407</v>
      </c>
      <c r="I410" s="446">
        <v>44.770000457763672</v>
      </c>
      <c r="J410" s="446">
        <v>36</v>
      </c>
      <c r="K410" s="447">
        <v>1611.719970703125</v>
      </c>
    </row>
    <row r="411" spans="1:11" ht="14.45" customHeight="1" x14ac:dyDescent="0.2">
      <c r="A411" s="441" t="s">
        <v>437</v>
      </c>
      <c r="B411" s="442" t="s">
        <v>438</v>
      </c>
      <c r="C411" s="443" t="s">
        <v>444</v>
      </c>
      <c r="D411" s="444" t="s">
        <v>445</v>
      </c>
      <c r="E411" s="443" t="s">
        <v>754</v>
      </c>
      <c r="F411" s="444" t="s">
        <v>755</v>
      </c>
      <c r="G411" s="443" t="s">
        <v>1408</v>
      </c>
      <c r="H411" s="443" t="s">
        <v>1409</v>
      </c>
      <c r="I411" s="446">
        <v>44.770000457763672</v>
      </c>
      <c r="J411" s="446">
        <v>102</v>
      </c>
      <c r="K411" s="447">
        <v>4566.5400390625</v>
      </c>
    </row>
    <row r="412" spans="1:11" ht="14.45" customHeight="1" x14ac:dyDescent="0.2">
      <c r="A412" s="441" t="s">
        <v>437</v>
      </c>
      <c r="B412" s="442" t="s">
        <v>438</v>
      </c>
      <c r="C412" s="443" t="s">
        <v>444</v>
      </c>
      <c r="D412" s="444" t="s">
        <v>445</v>
      </c>
      <c r="E412" s="443" t="s">
        <v>754</v>
      </c>
      <c r="F412" s="444" t="s">
        <v>755</v>
      </c>
      <c r="G412" s="443" t="s">
        <v>1410</v>
      </c>
      <c r="H412" s="443" t="s">
        <v>1411</v>
      </c>
      <c r="I412" s="446">
        <v>268.6199951171875</v>
      </c>
      <c r="J412" s="446">
        <v>8</v>
      </c>
      <c r="K412" s="447">
        <v>2148.9599609375</v>
      </c>
    </row>
    <row r="413" spans="1:11" ht="14.45" customHeight="1" x14ac:dyDescent="0.2">
      <c r="A413" s="441" t="s">
        <v>437</v>
      </c>
      <c r="B413" s="442" t="s">
        <v>438</v>
      </c>
      <c r="C413" s="443" t="s">
        <v>444</v>
      </c>
      <c r="D413" s="444" t="s">
        <v>445</v>
      </c>
      <c r="E413" s="443" t="s">
        <v>754</v>
      </c>
      <c r="F413" s="444" t="s">
        <v>755</v>
      </c>
      <c r="G413" s="443" t="s">
        <v>1412</v>
      </c>
      <c r="H413" s="443" t="s">
        <v>1413</v>
      </c>
      <c r="I413" s="446">
        <v>44.770000457763672</v>
      </c>
      <c r="J413" s="446">
        <v>60</v>
      </c>
      <c r="K413" s="447">
        <v>2686.199951171875</v>
      </c>
    </row>
    <row r="414" spans="1:11" ht="14.45" customHeight="1" x14ac:dyDescent="0.2">
      <c r="A414" s="441" t="s">
        <v>437</v>
      </c>
      <c r="B414" s="442" t="s">
        <v>438</v>
      </c>
      <c r="C414" s="443" t="s">
        <v>444</v>
      </c>
      <c r="D414" s="444" t="s">
        <v>445</v>
      </c>
      <c r="E414" s="443" t="s">
        <v>754</v>
      </c>
      <c r="F414" s="444" t="s">
        <v>755</v>
      </c>
      <c r="G414" s="443" t="s">
        <v>1414</v>
      </c>
      <c r="H414" s="443" t="s">
        <v>1415</v>
      </c>
      <c r="I414" s="446">
        <v>268.6199951171875</v>
      </c>
      <c r="J414" s="446">
        <v>3</v>
      </c>
      <c r="K414" s="447">
        <v>805.8599853515625</v>
      </c>
    </row>
    <row r="415" spans="1:11" ht="14.45" customHeight="1" x14ac:dyDescent="0.2">
      <c r="A415" s="441" t="s">
        <v>437</v>
      </c>
      <c r="B415" s="442" t="s">
        <v>438</v>
      </c>
      <c r="C415" s="443" t="s">
        <v>444</v>
      </c>
      <c r="D415" s="444" t="s">
        <v>445</v>
      </c>
      <c r="E415" s="443" t="s">
        <v>754</v>
      </c>
      <c r="F415" s="444" t="s">
        <v>755</v>
      </c>
      <c r="G415" s="443" t="s">
        <v>1416</v>
      </c>
      <c r="H415" s="443" t="s">
        <v>1417</v>
      </c>
      <c r="I415" s="446">
        <v>44.770000457763672</v>
      </c>
      <c r="J415" s="446">
        <v>36</v>
      </c>
      <c r="K415" s="447">
        <v>1611.719970703125</v>
      </c>
    </row>
    <row r="416" spans="1:11" ht="14.45" customHeight="1" x14ac:dyDescent="0.2">
      <c r="A416" s="441" t="s">
        <v>437</v>
      </c>
      <c r="B416" s="442" t="s">
        <v>438</v>
      </c>
      <c r="C416" s="443" t="s">
        <v>444</v>
      </c>
      <c r="D416" s="444" t="s">
        <v>445</v>
      </c>
      <c r="E416" s="443" t="s">
        <v>754</v>
      </c>
      <c r="F416" s="444" t="s">
        <v>755</v>
      </c>
      <c r="G416" s="443" t="s">
        <v>1418</v>
      </c>
      <c r="H416" s="443" t="s">
        <v>1419</v>
      </c>
      <c r="I416" s="446">
        <v>60.5</v>
      </c>
      <c r="J416" s="446">
        <v>16</v>
      </c>
      <c r="K416" s="447">
        <v>968</v>
      </c>
    </row>
    <row r="417" spans="1:11" ht="14.45" customHeight="1" x14ac:dyDescent="0.2">
      <c r="A417" s="441" t="s">
        <v>437</v>
      </c>
      <c r="B417" s="442" t="s">
        <v>438</v>
      </c>
      <c r="C417" s="443" t="s">
        <v>444</v>
      </c>
      <c r="D417" s="444" t="s">
        <v>445</v>
      </c>
      <c r="E417" s="443" t="s">
        <v>754</v>
      </c>
      <c r="F417" s="444" t="s">
        <v>755</v>
      </c>
      <c r="G417" s="443" t="s">
        <v>1420</v>
      </c>
      <c r="H417" s="443" t="s">
        <v>1421</v>
      </c>
      <c r="I417" s="446">
        <v>32.439998626708984</v>
      </c>
      <c r="J417" s="446">
        <v>560</v>
      </c>
      <c r="K417" s="447">
        <v>18165.029541015625</v>
      </c>
    </row>
    <row r="418" spans="1:11" ht="14.45" customHeight="1" x14ac:dyDescent="0.2">
      <c r="A418" s="441" t="s">
        <v>437</v>
      </c>
      <c r="B418" s="442" t="s">
        <v>438</v>
      </c>
      <c r="C418" s="443" t="s">
        <v>444</v>
      </c>
      <c r="D418" s="444" t="s">
        <v>445</v>
      </c>
      <c r="E418" s="443" t="s">
        <v>754</v>
      </c>
      <c r="F418" s="444" t="s">
        <v>755</v>
      </c>
      <c r="G418" s="443" t="s">
        <v>1422</v>
      </c>
      <c r="H418" s="443" t="s">
        <v>1423</v>
      </c>
      <c r="I418" s="446">
        <v>32.439998626708984</v>
      </c>
      <c r="J418" s="446">
        <v>160</v>
      </c>
      <c r="K418" s="447">
        <v>5190</v>
      </c>
    </row>
    <row r="419" spans="1:11" ht="14.45" customHeight="1" x14ac:dyDescent="0.2">
      <c r="A419" s="441" t="s">
        <v>437</v>
      </c>
      <c r="B419" s="442" t="s">
        <v>438</v>
      </c>
      <c r="C419" s="443" t="s">
        <v>444</v>
      </c>
      <c r="D419" s="444" t="s">
        <v>445</v>
      </c>
      <c r="E419" s="443" t="s">
        <v>754</v>
      </c>
      <c r="F419" s="444" t="s">
        <v>755</v>
      </c>
      <c r="G419" s="443" t="s">
        <v>1424</v>
      </c>
      <c r="H419" s="443" t="s">
        <v>1425</v>
      </c>
      <c r="I419" s="446">
        <v>360</v>
      </c>
      <c r="J419" s="446">
        <v>2</v>
      </c>
      <c r="K419" s="447">
        <v>720</v>
      </c>
    </row>
    <row r="420" spans="1:11" ht="14.45" customHeight="1" x14ac:dyDescent="0.2">
      <c r="A420" s="441" t="s">
        <v>437</v>
      </c>
      <c r="B420" s="442" t="s">
        <v>438</v>
      </c>
      <c r="C420" s="443" t="s">
        <v>444</v>
      </c>
      <c r="D420" s="444" t="s">
        <v>445</v>
      </c>
      <c r="E420" s="443" t="s">
        <v>754</v>
      </c>
      <c r="F420" s="444" t="s">
        <v>755</v>
      </c>
      <c r="G420" s="443" t="s">
        <v>1426</v>
      </c>
      <c r="H420" s="443" t="s">
        <v>1427</v>
      </c>
      <c r="I420" s="446">
        <v>1179</v>
      </c>
      <c r="J420" s="446">
        <v>5</v>
      </c>
      <c r="K420" s="447">
        <v>5895</v>
      </c>
    </row>
    <row r="421" spans="1:11" ht="14.45" customHeight="1" x14ac:dyDescent="0.2">
      <c r="A421" s="441" t="s">
        <v>437</v>
      </c>
      <c r="B421" s="442" t="s">
        <v>438</v>
      </c>
      <c r="C421" s="443" t="s">
        <v>444</v>
      </c>
      <c r="D421" s="444" t="s">
        <v>445</v>
      </c>
      <c r="E421" s="443" t="s">
        <v>754</v>
      </c>
      <c r="F421" s="444" t="s">
        <v>755</v>
      </c>
      <c r="G421" s="443" t="s">
        <v>1428</v>
      </c>
      <c r="H421" s="443" t="s">
        <v>1429</v>
      </c>
      <c r="I421" s="446">
        <v>1476.199951171875</v>
      </c>
      <c r="J421" s="446">
        <v>1</v>
      </c>
      <c r="K421" s="447">
        <v>1476.199951171875</v>
      </c>
    </row>
    <row r="422" spans="1:11" ht="14.45" customHeight="1" x14ac:dyDescent="0.2">
      <c r="A422" s="441" t="s">
        <v>437</v>
      </c>
      <c r="B422" s="442" t="s">
        <v>438</v>
      </c>
      <c r="C422" s="443" t="s">
        <v>444</v>
      </c>
      <c r="D422" s="444" t="s">
        <v>445</v>
      </c>
      <c r="E422" s="443" t="s">
        <v>754</v>
      </c>
      <c r="F422" s="444" t="s">
        <v>755</v>
      </c>
      <c r="G422" s="443" t="s">
        <v>1430</v>
      </c>
      <c r="H422" s="443" t="s">
        <v>1431</v>
      </c>
      <c r="I422" s="446">
        <v>281.6300048828125</v>
      </c>
      <c r="J422" s="446">
        <v>8</v>
      </c>
      <c r="K422" s="447">
        <v>2253.030029296875</v>
      </c>
    </row>
    <row r="423" spans="1:11" ht="14.45" customHeight="1" x14ac:dyDescent="0.2">
      <c r="A423" s="441" t="s">
        <v>437</v>
      </c>
      <c r="B423" s="442" t="s">
        <v>438</v>
      </c>
      <c r="C423" s="443" t="s">
        <v>444</v>
      </c>
      <c r="D423" s="444" t="s">
        <v>445</v>
      </c>
      <c r="E423" s="443" t="s">
        <v>754</v>
      </c>
      <c r="F423" s="444" t="s">
        <v>755</v>
      </c>
      <c r="G423" s="443" t="s">
        <v>1432</v>
      </c>
      <c r="H423" s="443" t="s">
        <v>1433</v>
      </c>
      <c r="I423" s="446">
        <v>902.3599853515625</v>
      </c>
      <c r="J423" s="446">
        <v>3</v>
      </c>
      <c r="K423" s="447">
        <v>2707.0799560546875</v>
      </c>
    </row>
    <row r="424" spans="1:11" ht="14.45" customHeight="1" x14ac:dyDescent="0.2">
      <c r="A424" s="441" t="s">
        <v>437</v>
      </c>
      <c r="B424" s="442" t="s">
        <v>438</v>
      </c>
      <c r="C424" s="443" t="s">
        <v>444</v>
      </c>
      <c r="D424" s="444" t="s">
        <v>445</v>
      </c>
      <c r="E424" s="443" t="s">
        <v>754</v>
      </c>
      <c r="F424" s="444" t="s">
        <v>755</v>
      </c>
      <c r="G424" s="443" t="s">
        <v>1434</v>
      </c>
      <c r="H424" s="443" t="s">
        <v>1435</v>
      </c>
      <c r="I424" s="446">
        <v>890.864990234375</v>
      </c>
      <c r="J424" s="446">
        <v>3</v>
      </c>
      <c r="K424" s="447">
        <v>2672.5899658203125</v>
      </c>
    </row>
    <row r="425" spans="1:11" ht="14.45" customHeight="1" x14ac:dyDescent="0.2">
      <c r="A425" s="441" t="s">
        <v>437</v>
      </c>
      <c r="B425" s="442" t="s">
        <v>438</v>
      </c>
      <c r="C425" s="443" t="s">
        <v>444</v>
      </c>
      <c r="D425" s="444" t="s">
        <v>445</v>
      </c>
      <c r="E425" s="443" t="s">
        <v>754</v>
      </c>
      <c r="F425" s="444" t="s">
        <v>755</v>
      </c>
      <c r="G425" s="443" t="s">
        <v>1436</v>
      </c>
      <c r="H425" s="443" t="s">
        <v>1437</v>
      </c>
      <c r="I425" s="446">
        <v>5448.177490234375</v>
      </c>
      <c r="J425" s="446">
        <v>5</v>
      </c>
      <c r="K425" s="447">
        <v>27312.7099609375</v>
      </c>
    </row>
    <row r="426" spans="1:11" ht="14.45" customHeight="1" x14ac:dyDescent="0.2">
      <c r="A426" s="441" t="s">
        <v>437</v>
      </c>
      <c r="B426" s="442" t="s">
        <v>438</v>
      </c>
      <c r="C426" s="443" t="s">
        <v>444</v>
      </c>
      <c r="D426" s="444" t="s">
        <v>445</v>
      </c>
      <c r="E426" s="443" t="s">
        <v>754</v>
      </c>
      <c r="F426" s="444" t="s">
        <v>755</v>
      </c>
      <c r="G426" s="443" t="s">
        <v>1438</v>
      </c>
      <c r="H426" s="443" t="s">
        <v>1439</v>
      </c>
      <c r="I426" s="446">
        <v>10.050000190734863</v>
      </c>
      <c r="J426" s="446">
        <v>50</v>
      </c>
      <c r="K426" s="447">
        <v>502.26998901367188</v>
      </c>
    </row>
    <row r="427" spans="1:11" ht="14.45" customHeight="1" x14ac:dyDescent="0.2">
      <c r="A427" s="441" t="s">
        <v>437</v>
      </c>
      <c r="B427" s="442" t="s">
        <v>438</v>
      </c>
      <c r="C427" s="443" t="s">
        <v>444</v>
      </c>
      <c r="D427" s="444" t="s">
        <v>445</v>
      </c>
      <c r="E427" s="443" t="s">
        <v>754</v>
      </c>
      <c r="F427" s="444" t="s">
        <v>755</v>
      </c>
      <c r="G427" s="443" t="s">
        <v>1440</v>
      </c>
      <c r="H427" s="443" t="s">
        <v>1441</v>
      </c>
      <c r="I427" s="446">
        <v>42.349998474121094</v>
      </c>
      <c r="J427" s="446">
        <v>180</v>
      </c>
      <c r="K427" s="447">
        <v>7623</v>
      </c>
    </row>
    <row r="428" spans="1:11" ht="14.45" customHeight="1" x14ac:dyDescent="0.2">
      <c r="A428" s="441" t="s">
        <v>437</v>
      </c>
      <c r="B428" s="442" t="s">
        <v>438</v>
      </c>
      <c r="C428" s="443" t="s">
        <v>444</v>
      </c>
      <c r="D428" s="444" t="s">
        <v>445</v>
      </c>
      <c r="E428" s="443" t="s">
        <v>754</v>
      </c>
      <c r="F428" s="444" t="s">
        <v>755</v>
      </c>
      <c r="G428" s="443" t="s">
        <v>1442</v>
      </c>
      <c r="H428" s="443" t="s">
        <v>1443</v>
      </c>
      <c r="I428" s="446">
        <v>42.349998474121094</v>
      </c>
      <c r="J428" s="446">
        <v>240</v>
      </c>
      <c r="K428" s="447">
        <v>10164</v>
      </c>
    </row>
    <row r="429" spans="1:11" ht="14.45" customHeight="1" x14ac:dyDescent="0.2">
      <c r="A429" s="441" t="s">
        <v>437</v>
      </c>
      <c r="B429" s="442" t="s">
        <v>438</v>
      </c>
      <c r="C429" s="443" t="s">
        <v>444</v>
      </c>
      <c r="D429" s="444" t="s">
        <v>445</v>
      </c>
      <c r="E429" s="443" t="s">
        <v>754</v>
      </c>
      <c r="F429" s="444" t="s">
        <v>755</v>
      </c>
      <c r="G429" s="443" t="s">
        <v>1444</v>
      </c>
      <c r="H429" s="443" t="s">
        <v>1445</v>
      </c>
      <c r="I429" s="446">
        <v>44.770000457763672</v>
      </c>
      <c r="J429" s="446">
        <v>36</v>
      </c>
      <c r="K429" s="447">
        <v>1611.719970703125</v>
      </c>
    </row>
    <row r="430" spans="1:11" ht="14.45" customHeight="1" x14ac:dyDescent="0.2">
      <c r="A430" s="441" t="s">
        <v>437</v>
      </c>
      <c r="B430" s="442" t="s">
        <v>438</v>
      </c>
      <c r="C430" s="443" t="s">
        <v>444</v>
      </c>
      <c r="D430" s="444" t="s">
        <v>445</v>
      </c>
      <c r="E430" s="443" t="s">
        <v>754</v>
      </c>
      <c r="F430" s="444" t="s">
        <v>755</v>
      </c>
      <c r="G430" s="443" t="s">
        <v>1446</v>
      </c>
      <c r="H430" s="443" t="s">
        <v>1447</v>
      </c>
      <c r="I430" s="446">
        <v>44.770000457763672</v>
      </c>
      <c r="J430" s="446">
        <v>42</v>
      </c>
      <c r="K430" s="447">
        <v>1880.3399658203125</v>
      </c>
    </row>
    <row r="431" spans="1:11" ht="14.45" customHeight="1" x14ac:dyDescent="0.2">
      <c r="A431" s="441" t="s">
        <v>437</v>
      </c>
      <c r="B431" s="442" t="s">
        <v>438</v>
      </c>
      <c r="C431" s="443" t="s">
        <v>444</v>
      </c>
      <c r="D431" s="444" t="s">
        <v>445</v>
      </c>
      <c r="E431" s="443" t="s">
        <v>754</v>
      </c>
      <c r="F431" s="444" t="s">
        <v>755</v>
      </c>
      <c r="G431" s="443" t="s">
        <v>1448</v>
      </c>
      <c r="H431" s="443" t="s">
        <v>1449</v>
      </c>
      <c r="I431" s="446">
        <v>42.349998474121094</v>
      </c>
      <c r="J431" s="446">
        <v>60</v>
      </c>
      <c r="K431" s="447">
        <v>2541.0599975585938</v>
      </c>
    </row>
    <row r="432" spans="1:11" ht="14.45" customHeight="1" x14ac:dyDescent="0.2">
      <c r="A432" s="441" t="s">
        <v>437</v>
      </c>
      <c r="B432" s="442" t="s">
        <v>438</v>
      </c>
      <c r="C432" s="443" t="s">
        <v>444</v>
      </c>
      <c r="D432" s="444" t="s">
        <v>445</v>
      </c>
      <c r="E432" s="443" t="s">
        <v>754</v>
      </c>
      <c r="F432" s="444" t="s">
        <v>755</v>
      </c>
      <c r="G432" s="443" t="s">
        <v>1450</v>
      </c>
      <c r="H432" s="443" t="s">
        <v>1451</v>
      </c>
      <c r="I432" s="446">
        <v>42.349998474121094</v>
      </c>
      <c r="J432" s="446">
        <v>60</v>
      </c>
      <c r="K432" s="447">
        <v>2540.929931640625</v>
      </c>
    </row>
    <row r="433" spans="1:11" ht="14.45" customHeight="1" x14ac:dyDescent="0.2">
      <c r="A433" s="441" t="s">
        <v>437</v>
      </c>
      <c r="B433" s="442" t="s">
        <v>438</v>
      </c>
      <c r="C433" s="443" t="s">
        <v>444</v>
      </c>
      <c r="D433" s="444" t="s">
        <v>445</v>
      </c>
      <c r="E433" s="443" t="s">
        <v>754</v>
      </c>
      <c r="F433" s="444" t="s">
        <v>755</v>
      </c>
      <c r="G433" s="443" t="s">
        <v>1452</v>
      </c>
      <c r="H433" s="443" t="s">
        <v>1453</v>
      </c>
      <c r="I433" s="446">
        <v>348.45999145507813</v>
      </c>
      <c r="J433" s="446">
        <v>2</v>
      </c>
      <c r="K433" s="447">
        <v>696.90997314453125</v>
      </c>
    </row>
    <row r="434" spans="1:11" ht="14.45" customHeight="1" x14ac:dyDescent="0.2">
      <c r="A434" s="441" t="s">
        <v>437</v>
      </c>
      <c r="B434" s="442" t="s">
        <v>438</v>
      </c>
      <c r="C434" s="443" t="s">
        <v>444</v>
      </c>
      <c r="D434" s="444" t="s">
        <v>445</v>
      </c>
      <c r="E434" s="443" t="s">
        <v>754</v>
      </c>
      <c r="F434" s="444" t="s">
        <v>755</v>
      </c>
      <c r="G434" s="443" t="s">
        <v>1454</v>
      </c>
      <c r="H434" s="443" t="s">
        <v>1455</v>
      </c>
      <c r="I434" s="446">
        <v>2096.639892578125</v>
      </c>
      <c r="J434" s="446">
        <v>2</v>
      </c>
      <c r="K434" s="447">
        <v>4193.27978515625</v>
      </c>
    </row>
    <row r="435" spans="1:11" ht="14.45" customHeight="1" x14ac:dyDescent="0.2">
      <c r="A435" s="441" t="s">
        <v>437</v>
      </c>
      <c r="B435" s="442" t="s">
        <v>438</v>
      </c>
      <c r="C435" s="443" t="s">
        <v>444</v>
      </c>
      <c r="D435" s="444" t="s">
        <v>445</v>
      </c>
      <c r="E435" s="443" t="s">
        <v>754</v>
      </c>
      <c r="F435" s="444" t="s">
        <v>755</v>
      </c>
      <c r="G435" s="443" t="s">
        <v>1456</v>
      </c>
      <c r="H435" s="443" t="s">
        <v>1457</v>
      </c>
      <c r="I435" s="446">
        <v>42.349998474121094</v>
      </c>
      <c r="J435" s="446">
        <v>60</v>
      </c>
      <c r="K435" s="447">
        <v>2541</v>
      </c>
    </row>
    <row r="436" spans="1:11" ht="14.45" customHeight="1" x14ac:dyDescent="0.2">
      <c r="A436" s="441" t="s">
        <v>437</v>
      </c>
      <c r="B436" s="442" t="s">
        <v>438</v>
      </c>
      <c r="C436" s="443" t="s">
        <v>444</v>
      </c>
      <c r="D436" s="444" t="s">
        <v>445</v>
      </c>
      <c r="E436" s="443" t="s">
        <v>754</v>
      </c>
      <c r="F436" s="444" t="s">
        <v>755</v>
      </c>
      <c r="G436" s="443" t="s">
        <v>1458</v>
      </c>
      <c r="H436" s="443" t="s">
        <v>1459</v>
      </c>
      <c r="I436" s="446">
        <v>42.349998474121094</v>
      </c>
      <c r="J436" s="446">
        <v>60</v>
      </c>
      <c r="K436" s="447">
        <v>2541</v>
      </c>
    </row>
    <row r="437" spans="1:11" ht="14.45" customHeight="1" x14ac:dyDescent="0.2">
      <c r="A437" s="441" t="s">
        <v>437</v>
      </c>
      <c r="B437" s="442" t="s">
        <v>438</v>
      </c>
      <c r="C437" s="443" t="s">
        <v>444</v>
      </c>
      <c r="D437" s="444" t="s">
        <v>445</v>
      </c>
      <c r="E437" s="443" t="s">
        <v>754</v>
      </c>
      <c r="F437" s="444" t="s">
        <v>755</v>
      </c>
      <c r="G437" s="443" t="s">
        <v>1460</v>
      </c>
      <c r="H437" s="443" t="s">
        <v>1461</v>
      </c>
      <c r="I437" s="446">
        <v>44.770000457763672</v>
      </c>
      <c r="J437" s="446">
        <v>30</v>
      </c>
      <c r="K437" s="447">
        <v>1343.0999755859375</v>
      </c>
    </row>
    <row r="438" spans="1:11" ht="14.45" customHeight="1" x14ac:dyDescent="0.2">
      <c r="A438" s="441" t="s">
        <v>437</v>
      </c>
      <c r="B438" s="442" t="s">
        <v>438</v>
      </c>
      <c r="C438" s="443" t="s">
        <v>444</v>
      </c>
      <c r="D438" s="444" t="s">
        <v>445</v>
      </c>
      <c r="E438" s="443" t="s">
        <v>754</v>
      </c>
      <c r="F438" s="444" t="s">
        <v>755</v>
      </c>
      <c r="G438" s="443" t="s">
        <v>1462</v>
      </c>
      <c r="H438" s="443" t="s">
        <v>1463</v>
      </c>
      <c r="I438" s="446">
        <v>44.770000457763672</v>
      </c>
      <c r="J438" s="446">
        <v>18</v>
      </c>
      <c r="K438" s="447">
        <v>805.8599853515625</v>
      </c>
    </row>
    <row r="439" spans="1:11" ht="14.45" customHeight="1" x14ac:dyDescent="0.2">
      <c r="A439" s="441" t="s">
        <v>437</v>
      </c>
      <c r="B439" s="442" t="s">
        <v>438</v>
      </c>
      <c r="C439" s="443" t="s">
        <v>444</v>
      </c>
      <c r="D439" s="444" t="s">
        <v>445</v>
      </c>
      <c r="E439" s="443" t="s">
        <v>754</v>
      </c>
      <c r="F439" s="444" t="s">
        <v>755</v>
      </c>
      <c r="G439" s="443" t="s">
        <v>1464</v>
      </c>
      <c r="H439" s="443" t="s">
        <v>1465</v>
      </c>
      <c r="I439" s="446">
        <v>3197.1298828125</v>
      </c>
      <c r="J439" s="446">
        <v>2</v>
      </c>
      <c r="K439" s="447">
        <v>6394.25</v>
      </c>
    </row>
    <row r="440" spans="1:11" ht="14.45" customHeight="1" x14ac:dyDescent="0.2">
      <c r="A440" s="441" t="s">
        <v>437</v>
      </c>
      <c r="B440" s="442" t="s">
        <v>438</v>
      </c>
      <c r="C440" s="443" t="s">
        <v>444</v>
      </c>
      <c r="D440" s="444" t="s">
        <v>445</v>
      </c>
      <c r="E440" s="443" t="s">
        <v>754</v>
      </c>
      <c r="F440" s="444" t="s">
        <v>755</v>
      </c>
      <c r="G440" s="443" t="s">
        <v>1466</v>
      </c>
      <c r="H440" s="443" t="s">
        <v>1467</v>
      </c>
      <c r="I440" s="446">
        <v>550</v>
      </c>
      <c r="J440" s="446">
        <v>1</v>
      </c>
      <c r="K440" s="447">
        <v>550</v>
      </c>
    </row>
    <row r="441" spans="1:11" ht="14.45" customHeight="1" x14ac:dyDescent="0.2">
      <c r="A441" s="441" t="s">
        <v>437</v>
      </c>
      <c r="B441" s="442" t="s">
        <v>438</v>
      </c>
      <c r="C441" s="443" t="s">
        <v>444</v>
      </c>
      <c r="D441" s="444" t="s">
        <v>445</v>
      </c>
      <c r="E441" s="443" t="s">
        <v>754</v>
      </c>
      <c r="F441" s="444" t="s">
        <v>755</v>
      </c>
      <c r="G441" s="443" t="s">
        <v>1468</v>
      </c>
      <c r="H441" s="443" t="s">
        <v>1469</v>
      </c>
      <c r="I441" s="446">
        <v>1326.0899658203125</v>
      </c>
      <c r="J441" s="446">
        <v>1</v>
      </c>
      <c r="K441" s="447">
        <v>1326.0899658203125</v>
      </c>
    </row>
    <row r="442" spans="1:11" ht="14.45" customHeight="1" x14ac:dyDescent="0.2">
      <c r="A442" s="441" t="s">
        <v>437</v>
      </c>
      <c r="B442" s="442" t="s">
        <v>438</v>
      </c>
      <c r="C442" s="443" t="s">
        <v>444</v>
      </c>
      <c r="D442" s="444" t="s">
        <v>445</v>
      </c>
      <c r="E442" s="443" t="s">
        <v>754</v>
      </c>
      <c r="F442" s="444" t="s">
        <v>755</v>
      </c>
      <c r="G442" s="443" t="s">
        <v>1470</v>
      </c>
      <c r="H442" s="443" t="s">
        <v>1471</v>
      </c>
      <c r="I442" s="446">
        <v>19814.890625</v>
      </c>
      <c r="J442" s="446">
        <v>1</v>
      </c>
      <c r="K442" s="447">
        <v>19814.890625</v>
      </c>
    </row>
    <row r="443" spans="1:11" ht="14.45" customHeight="1" x14ac:dyDescent="0.2">
      <c r="A443" s="441" t="s">
        <v>437</v>
      </c>
      <c r="B443" s="442" t="s">
        <v>438</v>
      </c>
      <c r="C443" s="443" t="s">
        <v>444</v>
      </c>
      <c r="D443" s="444" t="s">
        <v>445</v>
      </c>
      <c r="E443" s="443" t="s">
        <v>754</v>
      </c>
      <c r="F443" s="444" t="s">
        <v>755</v>
      </c>
      <c r="G443" s="443" t="s">
        <v>1472</v>
      </c>
      <c r="H443" s="443" t="s">
        <v>1473</v>
      </c>
      <c r="I443" s="446">
        <v>5807.669921875</v>
      </c>
      <c r="J443" s="446">
        <v>1</v>
      </c>
      <c r="K443" s="447">
        <v>5807.669921875</v>
      </c>
    </row>
    <row r="444" spans="1:11" ht="14.45" customHeight="1" x14ac:dyDescent="0.2">
      <c r="A444" s="441" t="s">
        <v>437</v>
      </c>
      <c r="B444" s="442" t="s">
        <v>438</v>
      </c>
      <c r="C444" s="443" t="s">
        <v>444</v>
      </c>
      <c r="D444" s="444" t="s">
        <v>445</v>
      </c>
      <c r="E444" s="443" t="s">
        <v>754</v>
      </c>
      <c r="F444" s="444" t="s">
        <v>755</v>
      </c>
      <c r="G444" s="443" t="s">
        <v>1474</v>
      </c>
      <c r="H444" s="443" t="s">
        <v>1475</v>
      </c>
      <c r="I444" s="446">
        <v>367.82000732421875</v>
      </c>
      <c r="J444" s="446">
        <v>6</v>
      </c>
      <c r="K444" s="447">
        <v>2206.8900146484375</v>
      </c>
    </row>
    <row r="445" spans="1:11" ht="14.45" customHeight="1" x14ac:dyDescent="0.2">
      <c r="A445" s="441" t="s">
        <v>437</v>
      </c>
      <c r="B445" s="442" t="s">
        <v>438</v>
      </c>
      <c r="C445" s="443" t="s">
        <v>444</v>
      </c>
      <c r="D445" s="444" t="s">
        <v>445</v>
      </c>
      <c r="E445" s="443" t="s">
        <v>754</v>
      </c>
      <c r="F445" s="444" t="s">
        <v>755</v>
      </c>
      <c r="G445" s="443" t="s">
        <v>1476</v>
      </c>
      <c r="H445" s="443" t="s">
        <v>1477</v>
      </c>
      <c r="I445" s="446">
        <v>130</v>
      </c>
      <c r="J445" s="446">
        <v>19</v>
      </c>
      <c r="K445" s="447">
        <v>2470</v>
      </c>
    </row>
    <row r="446" spans="1:11" ht="14.45" customHeight="1" x14ac:dyDescent="0.2">
      <c r="A446" s="441" t="s">
        <v>437</v>
      </c>
      <c r="B446" s="442" t="s">
        <v>438</v>
      </c>
      <c r="C446" s="443" t="s">
        <v>444</v>
      </c>
      <c r="D446" s="444" t="s">
        <v>445</v>
      </c>
      <c r="E446" s="443" t="s">
        <v>754</v>
      </c>
      <c r="F446" s="444" t="s">
        <v>755</v>
      </c>
      <c r="G446" s="443" t="s">
        <v>1478</v>
      </c>
      <c r="H446" s="443" t="s">
        <v>1479</v>
      </c>
      <c r="I446" s="446">
        <v>865.60000610351563</v>
      </c>
      <c r="J446" s="446">
        <v>5</v>
      </c>
      <c r="K446" s="447">
        <v>4300.9200439453125</v>
      </c>
    </row>
    <row r="447" spans="1:11" ht="14.45" customHeight="1" x14ac:dyDescent="0.2">
      <c r="A447" s="441" t="s">
        <v>437</v>
      </c>
      <c r="B447" s="442" t="s">
        <v>438</v>
      </c>
      <c r="C447" s="443" t="s">
        <v>444</v>
      </c>
      <c r="D447" s="444" t="s">
        <v>445</v>
      </c>
      <c r="E447" s="443" t="s">
        <v>754</v>
      </c>
      <c r="F447" s="444" t="s">
        <v>755</v>
      </c>
      <c r="G447" s="443" t="s">
        <v>1480</v>
      </c>
      <c r="H447" s="443" t="s">
        <v>1481</v>
      </c>
      <c r="I447" s="446">
        <v>21.539999280657089</v>
      </c>
      <c r="J447" s="446">
        <v>300</v>
      </c>
      <c r="K447" s="447">
        <v>6470.02978515625</v>
      </c>
    </row>
    <row r="448" spans="1:11" ht="14.45" customHeight="1" x14ac:dyDescent="0.2">
      <c r="A448" s="441" t="s">
        <v>437</v>
      </c>
      <c r="B448" s="442" t="s">
        <v>438</v>
      </c>
      <c r="C448" s="443" t="s">
        <v>444</v>
      </c>
      <c r="D448" s="444" t="s">
        <v>445</v>
      </c>
      <c r="E448" s="443" t="s">
        <v>754</v>
      </c>
      <c r="F448" s="444" t="s">
        <v>755</v>
      </c>
      <c r="G448" s="443" t="s">
        <v>1482</v>
      </c>
      <c r="H448" s="443" t="s">
        <v>1483</v>
      </c>
      <c r="I448" s="446">
        <v>43.450000762939453</v>
      </c>
      <c r="J448" s="446">
        <v>200</v>
      </c>
      <c r="K448" s="447">
        <v>8690.240234375</v>
      </c>
    </row>
    <row r="449" spans="1:11" ht="14.45" customHeight="1" x14ac:dyDescent="0.2">
      <c r="A449" s="441" t="s">
        <v>437</v>
      </c>
      <c r="B449" s="442" t="s">
        <v>438</v>
      </c>
      <c r="C449" s="443" t="s">
        <v>444</v>
      </c>
      <c r="D449" s="444" t="s">
        <v>445</v>
      </c>
      <c r="E449" s="443" t="s">
        <v>754</v>
      </c>
      <c r="F449" s="444" t="s">
        <v>755</v>
      </c>
      <c r="G449" s="443" t="s">
        <v>1484</v>
      </c>
      <c r="H449" s="443" t="s">
        <v>1485</v>
      </c>
      <c r="I449" s="446">
        <v>2344.860107421875</v>
      </c>
      <c r="J449" s="446">
        <v>1</v>
      </c>
      <c r="K449" s="447">
        <v>2344.860107421875</v>
      </c>
    </row>
    <row r="450" spans="1:11" ht="14.45" customHeight="1" x14ac:dyDescent="0.2">
      <c r="A450" s="441" t="s">
        <v>437</v>
      </c>
      <c r="B450" s="442" t="s">
        <v>438</v>
      </c>
      <c r="C450" s="443" t="s">
        <v>444</v>
      </c>
      <c r="D450" s="444" t="s">
        <v>445</v>
      </c>
      <c r="E450" s="443" t="s">
        <v>754</v>
      </c>
      <c r="F450" s="444" t="s">
        <v>755</v>
      </c>
      <c r="G450" s="443" t="s">
        <v>1486</v>
      </c>
      <c r="H450" s="443" t="s">
        <v>1487</v>
      </c>
      <c r="I450" s="446">
        <v>93.790000915527344</v>
      </c>
      <c r="J450" s="446">
        <v>225</v>
      </c>
      <c r="K450" s="447">
        <v>21103.740966796875</v>
      </c>
    </row>
    <row r="451" spans="1:11" ht="14.45" customHeight="1" x14ac:dyDescent="0.2">
      <c r="A451" s="441" t="s">
        <v>437</v>
      </c>
      <c r="B451" s="442" t="s">
        <v>438</v>
      </c>
      <c r="C451" s="443" t="s">
        <v>444</v>
      </c>
      <c r="D451" s="444" t="s">
        <v>445</v>
      </c>
      <c r="E451" s="443" t="s">
        <v>754</v>
      </c>
      <c r="F451" s="444" t="s">
        <v>755</v>
      </c>
      <c r="G451" s="443" t="s">
        <v>1488</v>
      </c>
      <c r="H451" s="443" t="s">
        <v>1489</v>
      </c>
      <c r="I451" s="446">
        <v>35.587001419067384</v>
      </c>
      <c r="J451" s="446">
        <v>500</v>
      </c>
      <c r="K451" s="447">
        <v>17794.35009765625</v>
      </c>
    </row>
    <row r="452" spans="1:11" ht="14.45" customHeight="1" x14ac:dyDescent="0.2">
      <c r="A452" s="441" t="s">
        <v>437</v>
      </c>
      <c r="B452" s="442" t="s">
        <v>438</v>
      </c>
      <c r="C452" s="443" t="s">
        <v>444</v>
      </c>
      <c r="D452" s="444" t="s">
        <v>445</v>
      </c>
      <c r="E452" s="443" t="s">
        <v>754</v>
      </c>
      <c r="F452" s="444" t="s">
        <v>755</v>
      </c>
      <c r="G452" s="443" t="s">
        <v>1490</v>
      </c>
      <c r="H452" s="443" t="s">
        <v>1491</v>
      </c>
      <c r="I452" s="446">
        <v>3508.81005859375</v>
      </c>
      <c r="J452" s="446">
        <v>1</v>
      </c>
      <c r="K452" s="447">
        <v>3508.81005859375</v>
      </c>
    </row>
    <row r="453" spans="1:11" ht="14.45" customHeight="1" x14ac:dyDescent="0.2">
      <c r="A453" s="441" t="s">
        <v>437</v>
      </c>
      <c r="B453" s="442" t="s">
        <v>438</v>
      </c>
      <c r="C453" s="443" t="s">
        <v>444</v>
      </c>
      <c r="D453" s="444" t="s">
        <v>445</v>
      </c>
      <c r="E453" s="443" t="s">
        <v>754</v>
      </c>
      <c r="F453" s="444" t="s">
        <v>755</v>
      </c>
      <c r="G453" s="443" t="s">
        <v>1492</v>
      </c>
      <c r="H453" s="443" t="s">
        <v>1493</v>
      </c>
      <c r="I453" s="446">
        <v>6297.7001953125</v>
      </c>
      <c r="J453" s="446">
        <v>1</v>
      </c>
      <c r="K453" s="447">
        <v>6297.7001953125</v>
      </c>
    </row>
    <row r="454" spans="1:11" ht="14.45" customHeight="1" x14ac:dyDescent="0.2">
      <c r="A454" s="441" t="s">
        <v>437</v>
      </c>
      <c r="B454" s="442" t="s">
        <v>438</v>
      </c>
      <c r="C454" s="443" t="s">
        <v>444</v>
      </c>
      <c r="D454" s="444" t="s">
        <v>445</v>
      </c>
      <c r="E454" s="443" t="s">
        <v>754</v>
      </c>
      <c r="F454" s="444" t="s">
        <v>755</v>
      </c>
      <c r="G454" s="443" t="s">
        <v>1494</v>
      </c>
      <c r="H454" s="443" t="s">
        <v>1495</v>
      </c>
      <c r="I454" s="446">
        <v>590.44000244140625</v>
      </c>
      <c r="J454" s="446">
        <v>2</v>
      </c>
      <c r="K454" s="447">
        <v>1180.8800048828125</v>
      </c>
    </row>
    <row r="455" spans="1:11" ht="14.45" customHeight="1" x14ac:dyDescent="0.2">
      <c r="A455" s="441" t="s">
        <v>437</v>
      </c>
      <c r="B455" s="442" t="s">
        <v>438</v>
      </c>
      <c r="C455" s="443" t="s">
        <v>444</v>
      </c>
      <c r="D455" s="444" t="s">
        <v>445</v>
      </c>
      <c r="E455" s="443" t="s">
        <v>754</v>
      </c>
      <c r="F455" s="444" t="s">
        <v>755</v>
      </c>
      <c r="G455" s="443" t="s">
        <v>1496</v>
      </c>
      <c r="H455" s="443" t="s">
        <v>1497</v>
      </c>
      <c r="I455" s="446">
        <v>1272</v>
      </c>
      <c r="J455" s="446">
        <v>2</v>
      </c>
      <c r="K455" s="447">
        <v>2544</v>
      </c>
    </row>
    <row r="456" spans="1:11" ht="14.45" customHeight="1" x14ac:dyDescent="0.2">
      <c r="A456" s="441" t="s">
        <v>437</v>
      </c>
      <c r="B456" s="442" t="s">
        <v>438</v>
      </c>
      <c r="C456" s="443" t="s">
        <v>444</v>
      </c>
      <c r="D456" s="444" t="s">
        <v>445</v>
      </c>
      <c r="E456" s="443" t="s">
        <v>754</v>
      </c>
      <c r="F456" s="444" t="s">
        <v>755</v>
      </c>
      <c r="G456" s="443" t="s">
        <v>1498</v>
      </c>
      <c r="H456" s="443" t="s">
        <v>1499</v>
      </c>
      <c r="I456" s="446">
        <v>1263.8499755859375</v>
      </c>
      <c r="J456" s="446">
        <v>2</v>
      </c>
      <c r="K456" s="447">
        <v>2527.699951171875</v>
      </c>
    </row>
    <row r="457" spans="1:11" ht="14.45" customHeight="1" x14ac:dyDescent="0.2">
      <c r="A457" s="441" t="s">
        <v>437</v>
      </c>
      <c r="B457" s="442" t="s">
        <v>438</v>
      </c>
      <c r="C457" s="443" t="s">
        <v>444</v>
      </c>
      <c r="D457" s="444" t="s">
        <v>445</v>
      </c>
      <c r="E457" s="443" t="s">
        <v>754</v>
      </c>
      <c r="F457" s="444" t="s">
        <v>755</v>
      </c>
      <c r="G457" s="443" t="s">
        <v>1500</v>
      </c>
      <c r="H457" s="443" t="s">
        <v>1501</v>
      </c>
      <c r="I457" s="446">
        <v>2.369999885559082</v>
      </c>
      <c r="J457" s="446">
        <v>200</v>
      </c>
      <c r="K457" s="447">
        <v>474.489990234375</v>
      </c>
    </row>
    <row r="458" spans="1:11" ht="14.45" customHeight="1" x14ac:dyDescent="0.2">
      <c r="A458" s="441" t="s">
        <v>437</v>
      </c>
      <c r="B458" s="442" t="s">
        <v>438</v>
      </c>
      <c r="C458" s="443" t="s">
        <v>444</v>
      </c>
      <c r="D458" s="444" t="s">
        <v>445</v>
      </c>
      <c r="E458" s="443" t="s">
        <v>754</v>
      </c>
      <c r="F458" s="444" t="s">
        <v>755</v>
      </c>
      <c r="G458" s="443" t="s">
        <v>1502</v>
      </c>
      <c r="H458" s="443" t="s">
        <v>1503</v>
      </c>
      <c r="I458" s="446">
        <v>24</v>
      </c>
      <c r="J458" s="446">
        <v>40</v>
      </c>
      <c r="K458" s="447">
        <v>960</v>
      </c>
    </row>
    <row r="459" spans="1:11" ht="14.45" customHeight="1" x14ac:dyDescent="0.2">
      <c r="A459" s="441" t="s">
        <v>437</v>
      </c>
      <c r="B459" s="442" t="s">
        <v>438</v>
      </c>
      <c r="C459" s="443" t="s">
        <v>444</v>
      </c>
      <c r="D459" s="444" t="s">
        <v>445</v>
      </c>
      <c r="E459" s="443" t="s">
        <v>754</v>
      </c>
      <c r="F459" s="444" t="s">
        <v>755</v>
      </c>
      <c r="G459" s="443" t="s">
        <v>1504</v>
      </c>
      <c r="H459" s="443" t="s">
        <v>1505</v>
      </c>
      <c r="I459" s="446">
        <v>24</v>
      </c>
      <c r="J459" s="446">
        <v>20</v>
      </c>
      <c r="K459" s="447">
        <v>480</v>
      </c>
    </row>
    <row r="460" spans="1:11" ht="14.45" customHeight="1" x14ac:dyDescent="0.2">
      <c r="A460" s="441" t="s">
        <v>437</v>
      </c>
      <c r="B460" s="442" t="s">
        <v>438</v>
      </c>
      <c r="C460" s="443" t="s">
        <v>444</v>
      </c>
      <c r="D460" s="444" t="s">
        <v>445</v>
      </c>
      <c r="E460" s="443" t="s">
        <v>754</v>
      </c>
      <c r="F460" s="444" t="s">
        <v>755</v>
      </c>
      <c r="G460" s="443" t="s">
        <v>1506</v>
      </c>
      <c r="H460" s="443" t="s">
        <v>1507</v>
      </c>
      <c r="I460" s="446">
        <v>1.1887500435113907</v>
      </c>
      <c r="J460" s="446">
        <v>13500</v>
      </c>
      <c r="K460" s="447">
        <v>16005.76008605957</v>
      </c>
    </row>
    <row r="461" spans="1:11" ht="14.45" customHeight="1" x14ac:dyDescent="0.2">
      <c r="A461" s="441" t="s">
        <v>437</v>
      </c>
      <c r="B461" s="442" t="s">
        <v>438</v>
      </c>
      <c r="C461" s="443" t="s">
        <v>444</v>
      </c>
      <c r="D461" s="444" t="s">
        <v>445</v>
      </c>
      <c r="E461" s="443" t="s">
        <v>754</v>
      </c>
      <c r="F461" s="444" t="s">
        <v>755</v>
      </c>
      <c r="G461" s="443" t="s">
        <v>1508</v>
      </c>
      <c r="H461" s="443" t="s">
        <v>1509</v>
      </c>
      <c r="I461" s="446">
        <v>798.489990234375</v>
      </c>
      <c r="J461" s="446">
        <v>2</v>
      </c>
      <c r="K461" s="447">
        <v>1596.97998046875</v>
      </c>
    </row>
    <row r="462" spans="1:11" ht="14.45" customHeight="1" x14ac:dyDescent="0.2">
      <c r="A462" s="441" t="s">
        <v>437</v>
      </c>
      <c r="B462" s="442" t="s">
        <v>438</v>
      </c>
      <c r="C462" s="443" t="s">
        <v>444</v>
      </c>
      <c r="D462" s="444" t="s">
        <v>445</v>
      </c>
      <c r="E462" s="443" t="s">
        <v>754</v>
      </c>
      <c r="F462" s="444" t="s">
        <v>755</v>
      </c>
      <c r="G462" s="443" t="s">
        <v>1510</v>
      </c>
      <c r="H462" s="443" t="s">
        <v>1511</v>
      </c>
      <c r="I462" s="446">
        <v>510.6199951171875</v>
      </c>
      <c r="J462" s="446">
        <v>1</v>
      </c>
      <c r="K462" s="447">
        <v>510.6199951171875</v>
      </c>
    </row>
    <row r="463" spans="1:11" ht="14.45" customHeight="1" x14ac:dyDescent="0.2">
      <c r="A463" s="441" t="s">
        <v>437</v>
      </c>
      <c r="B463" s="442" t="s">
        <v>438</v>
      </c>
      <c r="C463" s="443" t="s">
        <v>444</v>
      </c>
      <c r="D463" s="444" t="s">
        <v>445</v>
      </c>
      <c r="E463" s="443" t="s">
        <v>754</v>
      </c>
      <c r="F463" s="444" t="s">
        <v>755</v>
      </c>
      <c r="G463" s="443" t="s">
        <v>1512</v>
      </c>
      <c r="H463" s="443" t="s">
        <v>1513</v>
      </c>
      <c r="I463" s="446">
        <v>863.8800048828125</v>
      </c>
      <c r="J463" s="446">
        <v>2</v>
      </c>
      <c r="K463" s="447">
        <v>1727.760009765625</v>
      </c>
    </row>
    <row r="464" spans="1:11" ht="14.45" customHeight="1" x14ac:dyDescent="0.2">
      <c r="A464" s="441" t="s">
        <v>437</v>
      </c>
      <c r="B464" s="442" t="s">
        <v>438</v>
      </c>
      <c r="C464" s="443" t="s">
        <v>444</v>
      </c>
      <c r="D464" s="444" t="s">
        <v>445</v>
      </c>
      <c r="E464" s="443" t="s">
        <v>754</v>
      </c>
      <c r="F464" s="444" t="s">
        <v>755</v>
      </c>
      <c r="G464" s="443" t="s">
        <v>1514</v>
      </c>
      <c r="H464" s="443" t="s">
        <v>1515</v>
      </c>
      <c r="I464" s="446">
        <v>3006.85009765625</v>
      </c>
      <c r="J464" s="446">
        <v>1</v>
      </c>
      <c r="K464" s="447">
        <v>3006.85009765625</v>
      </c>
    </row>
    <row r="465" spans="1:11" ht="14.45" customHeight="1" x14ac:dyDescent="0.2">
      <c r="A465" s="441" t="s">
        <v>437</v>
      </c>
      <c r="B465" s="442" t="s">
        <v>438</v>
      </c>
      <c r="C465" s="443" t="s">
        <v>444</v>
      </c>
      <c r="D465" s="444" t="s">
        <v>445</v>
      </c>
      <c r="E465" s="443" t="s">
        <v>754</v>
      </c>
      <c r="F465" s="444" t="s">
        <v>755</v>
      </c>
      <c r="G465" s="443" t="s">
        <v>1516</v>
      </c>
      <c r="H465" s="443" t="s">
        <v>1517</v>
      </c>
      <c r="I465" s="446">
        <v>2431.969970703125</v>
      </c>
      <c r="J465" s="446">
        <v>1</v>
      </c>
      <c r="K465" s="447">
        <v>2431.969970703125</v>
      </c>
    </row>
    <row r="466" spans="1:11" ht="14.45" customHeight="1" x14ac:dyDescent="0.2">
      <c r="A466" s="441" t="s">
        <v>437</v>
      </c>
      <c r="B466" s="442" t="s">
        <v>438</v>
      </c>
      <c r="C466" s="443" t="s">
        <v>444</v>
      </c>
      <c r="D466" s="444" t="s">
        <v>445</v>
      </c>
      <c r="E466" s="443" t="s">
        <v>754</v>
      </c>
      <c r="F466" s="444" t="s">
        <v>755</v>
      </c>
      <c r="G466" s="443" t="s">
        <v>1518</v>
      </c>
      <c r="H466" s="443" t="s">
        <v>1519</v>
      </c>
      <c r="I466" s="446">
        <v>385.07998657226563</v>
      </c>
      <c r="J466" s="446">
        <v>4</v>
      </c>
      <c r="K466" s="447">
        <v>1540.3299865722656</v>
      </c>
    </row>
    <row r="467" spans="1:11" ht="14.45" customHeight="1" x14ac:dyDescent="0.2">
      <c r="A467" s="441" t="s">
        <v>437</v>
      </c>
      <c r="B467" s="442" t="s">
        <v>438</v>
      </c>
      <c r="C467" s="443" t="s">
        <v>444</v>
      </c>
      <c r="D467" s="444" t="s">
        <v>445</v>
      </c>
      <c r="E467" s="443" t="s">
        <v>754</v>
      </c>
      <c r="F467" s="444" t="s">
        <v>755</v>
      </c>
      <c r="G467" s="443" t="s">
        <v>1520</v>
      </c>
      <c r="H467" s="443" t="s">
        <v>1521</v>
      </c>
      <c r="I467" s="446">
        <v>632.22998046875</v>
      </c>
      <c r="J467" s="446">
        <v>2</v>
      </c>
      <c r="K467" s="447">
        <v>1264.449951171875</v>
      </c>
    </row>
    <row r="468" spans="1:11" ht="14.45" customHeight="1" x14ac:dyDescent="0.2">
      <c r="A468" s="441" t="s">
        <v>437</v>
      </c>
      <c r="B468" s="442" t="s">
        <v>438</v>
      </c>
      <c r="C468" s="443" t="s">
        <v>444</v>
      </c>
      <c r="D468" s="444" t="s">
        <v>445</v>
      </c>
      <c r="E468" s="443" t="s">
        <v>754</v>
      </c>
      <c r="F468" s="444" t="s">
        <v>755</v>
      </c>
      <c r="G468" s="443" t="s">
        <v>1522</v>
      </c>
      <c r="H468" s="443" t="s">
        <v>1523</v>
      </c>
      <c r="I468" s="446">
        <v>1115.02001953125</v>
      </c>
      <c r="J468" s="446">
        <v>3</v>
      </c>
      <c r="K468" s="447">
        <v>3345.050048828125</v>
      </c>
    </row>
    <row r="469" spans="1:11" ht="14.45" customHeight="1" x14ac:dyDescent="0.2">
      <c r="A469" s="441" t="s">
        <v>437</v>
      </c>
      <c r="B469" s="442" t="s">
        <v>438</v>
      </c>
      <c r="C469" s="443" t="s">
        <v>444</v>
      </c>
      <c r="D469" s="444" t="s">
        <v>445</v>
      </c>
      <c r="E469" s="443" t="s">
        <v>754</v>
      </c>
      <c r="F469" s="444" t="s">
        <v>755</v>
      </c>
      <c r="G469" s="443" t="s">
        <v>1524</v>
      </c>
      <c r="H469" s="443" t="s">
        <v>1525</v>
      </c>
      <c r="I469" s="446">
        <v>827.59002685546875</v>
      </c>
      <c r="J469" s="446">
        <v>4</v>
      </c>
      <c r="K469" s="447">
        <v>3310.360107421875</v>
      </c>
    </row>
    <row r="470" spans="1:11" ht="14.45" customHeight="1" x14ac:dyDescent="0.2">
      <c r="A470" s="441" t="s">
        <v>437</v>
      </c>
      <c r="B470" s="442" t="s">
        <v>438</v>
      </c>
      <c r="C470" s="443" t="s">
        <v>444</v>
      </c>
      <c r="D470" s="444" t="s">
        <v>445</v>
      </c>
      <c r="E470" s="443" t="s">
        <v>754</v>
      </c>
      <c r="F470" s="444" t="s">
        <v>755</v>
      </c>
      <c r="G470" s="443" t="s">
        <v>1526</v>
      </c>
      <c r="H470" s="443" t="s">
        <v>1527</v>
      </c>
      <c r="I470" s="446">
        <v>745.33001708984375</v>
      </c>
      <c r="J470" s="446">
        <v>2</v>
      </c>
      <c r="K470" s="447">
        <v>1490.6500244140625</v>
      </c>
    </row>
    <row r="471" spans="1:11" ht="14.45" customHeight="1" x14ac:dyDescent="0.2">
      <c r="A471" s="441" t="s">
        <v>437</v>
      </c>
      <c r="B471" s="442" t="s">
        <v>438</v>
      </c>
      <c r="C471" s="443" t="s">
        <v>444</v>
      </c>
      <c r="D471" s="444" t="s">
        <v>445</v>
      </c>
      <c r="E471" s="443" t="s">
        <v>754</v>
      </c>
      <c r="F471" s="444" t="s">
        <v>755</v>
      </c>
      <c r="G471" s="443" t="s">
        <v>1528</v>
      </c>
      <c r="H471" s="443" t="s">
        <v>1529</v>
      </c>
      <c r="I471" s="446">
        <v>980.03997802734375</v>
      </c>
      <c r="J471" s="446">
        <v>1</v>
      </c>
      <c r="K471" s="447">
        <v>980.03997802734375</v>
      </c>
    </row>
    <row r="472" spans="1:11" ht="14.45" customHeight="1" x14ac:dyDescent="0.2">
      <c r="A472" s="441" t="s">
        <v>437</v>
      </c>
      <c r="B472" s="442" t="s">
        <v>438</v>
      </c>
      <c r="C472" s="443" t="s">
        <v>444</v>
      </c>
      <c r="D472" s="444" t="s">
        <v>445</v>
      </c>
      <c r="E472" s="443" t="s">
        <v>754</v>
      </c>
      <c r="F472" s="444" t="s">
        <v>755</v>
      </c>
      <c r="G472" s="443" t="s">
        <v>1530</v>
      </c>
      <c r="H472" s="443" t="s">
        <v>1531</v>
      </c>
      <c r="I472" s="446">
        <v>776.77001953125</v>
      </c>
      <c r="J472" s="446">
        <v>4</v>
      </c>
      <c r="K472" s="447">
        <v>3107.080078125</v>
      </c>
    </row>
    <row r="473" spans="1:11" ht="14.45" customHeight="1" x14ac:dyDescent="0.2">
      <c r="A473" s="441" t="s">
        <v>437</v>
      </c>
      <c r="B473" s="442" t="s">
        <v>438</v>
      </c>
      <c r="C473" s="443" t="s">
        <v>444</v>
      </c>
      <c r="D473" s="444" t="s">
        <v>445</v>
      </c>
      <c r="E473" s="443" t="s">
        <v>754</v>
      </c>
      <c r="F473" s="444" t="s">
        <v>755</v>
      </c>
      <c r="G473" s="443" t="s">
        <v>1532</v>
      </c>
      <c r="H473" s="443" t="s">
        <v>1533</v>
      </c>
      <c r="I473" s="446">
        <v>640.27001953125</v>
      </c>
      <c r="J473" s="446">
        <v>9</v>
      </c>
      <c r="K473" s="447">
        <v>5762.43017578125</v>
      </c>
    </row>
    <row r="474" spans="1:11" ht="14.45" customHeight="1" x14ac:dyDescent="0.2">
      <c r="A474" s="441" t="s">
        <v>437</v>
      </c>
      <c r="B474" s="442" t="s">
        <v>438</v>
      </c>
      <c r="C474" s="443" t="s">
        <v>444</v>
      </c>
      <c r="D474" s="444" t="s">
        <v>445</v>
      </c>
      <c r="E474" s="443" t="s">
        <v>754</v>
      </c>
      <c r="F474" s="444" t="s">
        <v>755</v>
      </c>
      <c r="G474" s="443" t="s">
        <v>1534</v>
      </c>
      <c r="H474" s="443" t="s">
        <v>1535</v>
      </c>
      <c r="I474" s="446">
        <v>159.38999938964844</v>
      </c>
      <c r="J474" s="446">
        <v>8</v>
      </c>
      <c r="K474" s="447">
        <v>1275.1099853515625</v>
      </c>
    </row>
    <row r="475" spans="1:11" ht="14.45" customHeight="1" x14ac:dyDescent="0.2">
      <c r="A475" s="441" t="s">
        <v>437</v>
      </c>
      <c r="B475" s="442" t="s">
        <v>438</v>
      </c>
      <c r="C475" s="443" t="s">
        <v>444</v>
      </c>
      <c r="D475" s="444" t="s">
        <v>445</v>
      </c>
      <c r="E475" s="443" t="s">
        <v>754</v>
      </c>
      <c r="F475" s="444" t="s">
        <v>755</v>
      </c>
      <c r="G475" s="443" t="s">
        <v>1536</v>
      </c>
      <c r="H475" s="443" t="s">
        <v>1537</v>
      </c>
      <c r="I475" s="446">
        <v>241.99125480651855</v>
      </c>
      <c r="J475" s="446">
        <v>100</v>
      </c>
      <c r="K475" s="447">
        <v>24198.93896484375</v>
      </c>
    </row>
    <row r="476" spans="1:11" ht="14.45" customHeight="1" x14ac:dyDescent="0.2">
      <c r="A476" s="441" t="s">
        <v>437</v>
      </c>
      <c r="B476" s="442" t="s">
        <v>438</v>
      </c>
      <c r="C476" s="443" t="s">
        <v>444</v>
      </c>
      <c r="D476" s="444" t="s">
        <v>445</v>
      </c>
      <c r="E476" s="443" t="s">
        <v>754</v>
      </c>
      <c r="F476" s="444" t="s">
        <v>755</v>
      </c>
      <c r="G476" s="443" t="s">
        <v>1538</v>
      </c>
      <c r="H476" s="443" t="s">
        <v>1539</v>
      </c>
      <c r="I476" s="446">
        <v>1122.8699951171875</v>
      </c>
      <c r="J476" s="446">
        <v>3</v>
      </c>
      <c r="K476" s="447">
        <v>3368.60009765625</v>
      </c>
    </row>
    <row r="477" spans="1:11" ht="14.45" customHeight="1" x14ac:dyDescent="0.2">
      <c r="A477" s="441" t="s">
        <v>437</v>
      </c>
      <c r="B477" s="442" t="s">
        <v>438</v>
      </c>
      <c r="C477" s="443" t="s">
        <v>444</v>
      </c>
      <c r="D477" s="444" t="s">
        <v>445</v>
      </c>
      <c r="E477" s="443" t="s">
        <v>754</v>
      </c>
      <c r="F477" s="444" t="s">
        <v>755</v>
      </c>
      <c r="G477" s="443" t="s">
        <v>1540</v>
      </c>
      <c r="H477" s="443" t="s">
        <v>1541</v>
      </c>
      <c r="I477" s="446">
        <v>911.53168741861975</v>
      </c>
      <c r="J477" s="446">
        <v>36</v>
      </c>
      <c r="K477" s="447">
        <v>32815.22119140625</v>
      </c>
    </row>
    <row r="478" spans="1:11" ht="14.45" customHeight="1" x14ac:dyDescent="0.2">
      <c r="A478" s="441" t="s">
        <v>437</v>
      </c>
      <c r="B478" s="442" t="s">
        <v>438</v>
      </c>
      <c r="C478" s="443" t="s">
        <v>444</v>
      </c>
      <c r="D478" s="444" t="s">
        <v>445</v>
      </c>
      <c r="E478" s="443" t="s">
        <v>754</v>
      </c>
      <c r="F478" s="444" t="s">
        <v>755</v>
      </c>
      <c r="G478" s="443" t="s">
        <v>1542</v>
      </c>
      <c r="H478" s="443" t="s">
        <v>1543</v>
      </c>
      <c r="I478" s="446">
        <v>1107.0899658203125</v>
      </c>
      <c r="J478" s="446">
        <v>2</v>
      </c>
      <c r="K478" s="447">
        <v>2214.179931640625</v>
      </c>
    </row>
    <row r="479" spans="1:11" ht="14.45" customHeight="1" x14ac:dyDescent="0.2">
      <c r="A479" s="441" t="s">
        <v>437</v>
      </c>
      <c r="B479" s="442" t="s">
        <v>438</v>
      </c>
      <c r="C479" s="443" t="s">
        <v>444</v>
      </c>
      <c r="D479" s="444" t="s">
        <v>445</v>
      </c>
      <c r="E479" s="443" t="s">
        <v>754</v>
      </c>
      <c r="F479" s="444" t="s">
        <v>755</v>
      </c>
      <c r="G479" s="443" t="s">
        <v>1544</v>
      </c>
      <c r="H479" s="443" t="s">
        <v>1545</v>
      </c>
      <c r="I479" s="446">
        <v>275.8800048828125</v>
      </c>
      <c r="J479" s="446">
        <v>2</v>
      </c>
      <c r="K479" s="447">
        <v>551.760009765625</v>
      </c>
    </row>
    <row r="480" spans="1:11" ht="14.45" customHeight="1" x14ac:dyDescent="0.2">
      <c r="A480" s="441" t="s">
        <v>437</v>
      </c>
      <c r="B480" s="442" t="s">
        <v>438</v>
      </c>
      <c r="C480" s="443" t="s">
        <v>444</v>
      </c>
      <c r="D480" s="444" t="s">
        <v>445</v>
      </c>
      <c r="E480" s="443" t="s">
        <v>754</v>
      </c>
      <c r="F480" s="444" t="s">
        <v>755</v>
      </c>
      <c r="G480" s="443" t="s">
        <v>1546</v>
      </c>
      <c r="H480" s="443" t="s">
        <v>1547</v>
      </c>
      <c r="I480" s="446">
        <v>275.8800048828125</v>
      </c>
      <c r="J480" s="446">
        <v>4</v>
      </c>
      <c r="K480" s="447">
        <v>1103.52001953125</v>
      </c>
    </row>
    <row r="481" spans="1:11" ht="14.45" customHeight="1" x14ac:dyDescent="0.2">
      <c r="A481" s="441" t="s">
        <v>437</v>
      </c>
      <c r="B481" s="442" t="s">
        <v>438</v>
      </c>
      <c r="C481" s="443" t="s">
        <v>444</v>
      </c>
      <c r="D481" s="444" t="s">
        <v>445</v>
      </c>
      <c r="E481" s="443" t="s">
        <v>754</v>
      </c>
      <c r="F481" s="444" t="s">
        <v>755</v>
      </c>
      <c r="G481" s="443" t="s">
        <v>1548</v>
      </c>
      <c r="H481" s="443" t="s">
        <v>1549</v>
      </c>
      <c r="I481" s="446">
        <v>597.71002197265625</v>
      </c>
      <c r="J481" s="446">
        <v>2</v>
      </c>
      <c r="K481" s="447">
        <v>1195.4100341796875</v>
      </c>
    </row>
    <row r="482" spans="1:11" ht="14.45" customHeight="1" x14ac:dyDescent="0.2">
      <c r="A482" s="441" t="s">
        <v>437</v>
      </c>
      <c r="B482" s="442" t="s">
        <v>438</v>
      </c>
      <c r="C482" s="443" t="s">
        <v>444</v>
      </c>
      <c r="D482" s="444" t="s">
        <v>445</v>
      </c>
      <c r="E482" s="443" t="s">
        <v>754</v>
      </c>
      <c r="F482" s="444" t="s">
        <v>755</v>
      </c>
      <c r="G482" s="443" t="s">
        <v>1550</v>
      </c>
      <c r="H482" s="443" t="s">
        <v>1551</v>
      </c>
      <c r="I482" s="446">
        <v>221.85500335693359</v>
      </c>
      <c r="J482" s="446">
        <v>11</v>
      </c>
      <c r="K482" s="447">
        <v>2440.3899536132813</v>
      </c>
    </row>
    <row r="483" spans="1:11" ht="14.45" customHeight="1" x14ac:dyDescent="0.2">
      <c r="A483" s="441" t="s">
        <v>437</v>
      </c>
      <c r="B483" s="442" t="s">
        <v>438</v>
      </c>
      <c r="C483" s="443" t="s">
        <v>444</v>
      </c>
      <c r="D483" s="444" t="s">
        <v>445</v>
      </c>
      <c r="E483" s="443" t="s">
        <v>754</v>
      </c>
      <c r="F483" s="444" t="s">
        <v>755</v>
      </c>
      <c r="G483" s="443" t="s">
        <v>1552</v>
      </c>
      <c r="H483" s="443" t="s">
        <v>1553</v>
      </c>
      <c r="I483" s="446">
        <v>597.70601806640627</v>
      </c>
      <c r="J483" s="446">
        <v>12</v>
      </c>
      <c r="K483" s="447">
        <v>7172.4500732421875</v>
      </c>
    </row>
    <row r="484" spans="1:11" ht="14.45" customHeight="1" x14ac:dyDescent="0.2">
      <c r="A484" s="441" t="s">
        <v>437</v>
      </c>
      <c r="B484" s="442" t="s">
        <v>438</v>
      </c>
      <c r="C484" s="443" t="s">
        <v>444</v>
      </c>
      <c r="D484" s="444" t="s">
        <v>445</v>
      </c>
      <c r="E484" s="443" t="s">
        <v>754</v>
      </c>
      <c r="F484" s="444" t="s">
        <v>755</v>
      </c>
      <c r="G484" s="443" t="s">
        <v>1554</v>
      </c>
      <c r="H484" s="443" t="s">
        <v>1555</v>
      </c>
      <c r="I484" s="446">
        <v>597.71002197265625</v>
      </c>
      <c r="J484" s="446">
        <v>2</v>
      </c>
      <c r="K484" s="447">
        <v>1195.4100341796875</v>
      </c>
    </row>
    <row r="485" spans="1:11" ht="14.45" customHeight="1" x14ac:dyDescent="0.2">
      <c r="A485" s="441" t="s">
        <v>437</v>
      </c>
      <c r="B485" s="442" t="s">
        <v>438</v>
      </c>
      <c r="C485" s="443" t="s">
        <v>444</v>
      </c>
      <c r="D485" s="444" t="s">
        <v>445</v>
      </c>
      <c r="E485" s="443" t="s">
        <v>754</v>
      </c>
      <c r="F485" s="444" t="s">
        <v>755</v>
      </c>
      <c r="G485" s="443" t="s">
        <v>1556</v>
      </c>
      <c r="H485" s="443" t="s">
        <v>1557</v>
      </c>
      <c r="I485" s="446">
        <v>224.14999389648438</v>
      </c>
      <c r="J485" s="446">
        <v>9</v>
      </c>
      <c r="K485" s="447">
        <v>2017.3699645996094</v>
      </c>
    </row>
    <row r="486" spans="1:11" ht="14.45" customHeight="1" x14ac:dyDescent="0.2">
      <c r="A486" s="441" t="s">
        <v>437</v>
      </c>
      <c r="B486" s="442" t="s">
        <v>438</v>
      </c>
      <c r="C486" s="443" t="s">
        <v>444</v>
      </c>
      <c r="D486" s="444" t="s">
        <v>445</v>
      </c>
      <c r="E486" s="443" t="s">
        <v>754</v>
      </c>
      <c r="F486" s="444" t="s">
        <v>755</v>
      </c>
      <c r="G486" s="443" t="s">
        <v>1558</v>
      </c>
      <c r="H486" s="443" t="s">
        <v>1559</v>
      </c>
      <c r="I486" s="446">
        <v>2990</v>
      </c>
      <c r="J486" s="446">
        <v>2</v>
      </c>
      <c r="K486" s="447">
        <v>5980</v>
      </c>
    </row>
    <row r="487" spans="1:11" ht="14.45" customHeight="1" x14ac:dyDescent="0.2">
      <c r="A487" s="441" t="s">
        <v>437</v>
      </c>
      <c r="B487" s="442" t="s">
        <v>438</v>
      </c>
      <c r="C487" s="443" t="s">
        <v>444</v>
      </c>
      <c r="D487" s="444" t="s">
        <v>445</v>
      </c>
      <c r="E487" s="443" t="s">
        <v>754</v>
      </c>
      <c r="F487" s="444" t="s">
        <v>755</v>
      </c>
      <c r="G487" s="443" t="s">
        <v>1560</v>
      </c>
      <c r="H487" s="443" t="s">
        <v>1561</v>
      </c>
      <c r="I487" s="446">
        <v>24</v>
      </c>
      <c r="J487" s="446">
        <v>40</v>
      </c>
      <c r="K487" s="447">
        <v>960.02001953125</v>
      </c>
    </row>
    <row r="488" spans="1:11" ht="14.45" customHeight="1" x14ac:dyDescent="0.2">
      <c r="A488" s="441" t="s">
        <v>437</v>
      </c>
      <c r="B488" s="442" t="s">
        <v>438</v>
      </c>
      <c r="C488" s="443" t="s">
        <v>444</v>
      </c>
      <c r="D488" s="444" t="s">
        <v>445</v>
      </c>
      <c r="E488" s="443" t="s">
        <v>754</v>
      </c>
      <c r="F488" s="444" t="s">
        <v>755</v>
      </c>
      <c r="G488" s="443" t="s">
        <v>1562</v>
      </c>
      <c r="H488" s="443" t="s">
        <v>1563</v>
      </c>
      <c r="I488" s="446">
        <v>22.800000190734863</v>
      </c>
      <c r="J488" s="446">
        <v>80</v>
      </c>
      <c r="K488" s="447">
        <v>1848.0400390625</v>
      </c>
    </row>
    <row r="489" spans="1:11" ht="14.45" customHeight="1" x14ac:dyDescent="0.2">
      <c r="A489" s="441" t="s">
        <v>437</v>
      </c>
      <c r="B489" s="442" t="s">
        <v>438</v>
      </c>
      <c r="C489" s="443" t="s">
        <v>444</v>
      </c>
      <c r="D489" s="444" t="s">
        <v>445</v>
      </c>
      <c r="E489" s="443" t="s">
        <v>754</v>
      </c>
      <c r="F489" s="444" t="s">
        <v>755</v>
      </c>
      <c r="G489" s="443" t="s">
        <v>1564</v>
      </c>
      <c r="H489" s="443" t="s">
        <v>1565</v>
      </c>
      <c r="I489" s="446">
        <v>21.600000381469727</v>
      </c>
      <c r="J489" s="446">
        <v>20</v>
      </c>
      <c r="K489" s="447">
        <v>432.010009765625</v>
      </c>
    </row>
    <row r="490" spans="1:11" ht="14.45" customHeight="1" x14ac:dyDescent="0.2">
      <c r="A490" s="441" t="s">
        <v>437</v>
      </c>
      <c r="B490" s="442" t="s">
        <v>438</v>
      </c>
      <c r="C490" s="443" t="s">
        <v>444</v>
      </c>
      <c r="D490" s="444" t="s">
        <v>445</v>
      </c>
      <c r="E490" s="443" t="s">
        <v>754</v>
      </c>
      <c r="F490" s="444" t="s">
        <v>755</v>
      </c>
      <c r="G490" s="443" t="s">
        <v>1566</v>
      </c>
      <c r="H490" s="443" t="s">
        <v>1567</v>
      </c>
      <c r="I490" s="446">
        <v>591.6400146484375</v>
      </c>
      <c r="J490" s="446">
        <v>4</v>
      </c>
      <c r="K490" s="447">
        <v>2366.56005859375</v>
      </c>
    </row>
    <row r="491" spans="1:11" ht="14.45" customHeight="1" x14ac:dyDescent="0.2">
      <c r="A491" s="441" t="s">
        <v>437</v>
      </c>
      <c r="B491" s="442" t="s">
        <v>438</v>
      </c>
      <c r="C491" s="443" t="s">
        <v>444</v>
      </c>
      <c r="D491" s="444" t="s">
        <v>445</v>
      </c>
      <c r="E491" s="443" t="s">
        <v>754</v>
      </c>
      <c r="F491" s="444" t="s">
        <v>755</v>
      </c>
      <c r="G491" s="443" t="s">
        <v>1568</v>
      </c>
      <c r="H491" s="443" t="s">
        <v>1569</v>
      </c>
      <c r="I491" s="446">
        <v>1039.5900065104167</v>
      </c>
      <c r="J491" s="446">
        <v>37</v>
      </c>
      <c r="K491" s="447">
        <v>38602.900024414063</v>
      </c>
    </row>
    <row r="492" spans="1:11" ht="14.45" customHeight="1" x14ac:dyDescent="0.2">
      <c r="A492" s="441" t="s">
        <v>437</v>
      </c>
      <c r="B492" s="442" t="s">
        <v>438</v>
      </c>
      <c r="C492" s="443" t="s">
        <v>444</v>
      </c>
      <c r="D492" s="444" t="s">
        <v>445</v>
      </c>
      <c r="E492" s="443" t="s">
        <v>754</v>
      </c>
      <c r="F492" s="444" t="s">
        <v>755</v>
      </c>
      <c r="G492" s="443" t="s">
        <v>1570</v>
      </c>
      <c r="H492" s="443" t="s">
        <v>1571</v>
      </c>
      <c r="I492" s="446">
        <v>1053.4000244140625</v>
      </c>
      <c r="J492" s="446">
        <v>7</v>
      </c>
      <c r="K492" s="447">
        <v>7373.800048828125</v>
      </c>
    </row>
    <row r="493" spans="1:11" ht="14.45" customHeight="1" x14ac:dyDescent="0.2">
      <c r="A493" s="441" t="s">
        <v>437</v>
      </c>
      <c r="B493" s="442" t="s">
        <v>438</v>
      </c>
      <c r="C493" s="443" t="s">
        <v>444</v>
      </c>
      <c r="D493" s="444" t="s">
        <v>445</v>
      </c>
      <c r="E493" s="443" t="s">
        <v>754</v>
      </c>
      <c r="F493" s="444" t="s">
        <v>755</v>
      </c>
      <c r="G493" s="443" t="s">
        <v>1572</v>
      </c>
      <c r="H493" s="443" t="s">
        <v>1573</v>
      </c>
      <c r="I493" s="446">
        <v>3811.280029296875</v>
      </c>
      <c r="J493" s="446">
        <v>1</v>
      </c>
      <c r="K493" s="447">
        <v>3811.280029296875</v>
      </c>
    </row>
    <row r="494" spans="1:11" ht="14.45" customHeight="1" x14ac:dyDescent="0.2">
      <c r="A494" s="441" t="s">
        <v>437</v>
      </c>
      <c r="B494" s="442" t="s">
        <v>438</v>
      </c>
      <c r="C494" s="443" t="s">
        <v>444</v>
      </c>
      <c r="D494" s="444" t="s">
        <v>445</v>
      </c>
      <c r="E494" s="443" t="s">
        <v>754</v>
      </c>
      <c r="F494" s="444" t="s">
        <v>755</v>
      </c>
      <c r="G494" s="443" t="s">
        <v>1574</v>
      </c>
      <c r="H494" s="443" t="s">
        <v>1575</v>
      </c>
      <c r="I494" s="446">
        <v>410.19000244140625</v>
      </c>
      <c r="J494" s="446">
        <v>10</v>
      </c>
      <c r="K494" s="447">
        <v>4101.89990234375</v>
      </c>
    </row>
    <row r="495" spans="1:11" ht="14.45" customHeight="1" x14ac:dyDescent="0.2">
      <c r="A495" s="441" t="s">
        <v>437</v>
      </c>
      <c r="B495" s="442" t="s">
        <v>438</v>
      </c>
      <c r="C495" s="443" t="s">
        <v>444</v>
      </c>
      <c r="D495" s="444" t="s">
        <v>445</v>
      </c>
      <c r="E495" s="443" t="s">
        <v>754</v>
      </c>
      <c r="F495" s="444" t="s">
        <v>755</v>
      </c>
      <c r="G495" s="443" t="s">
        <v>1576</v>
      </c>
      <c r="H495" s="443" t="s">
        <v>1577</v>
      </c>
      <c r="I495" s="446">
        <v>2080.02001953125</v>
      </c>
      <c r="J495" s="446">
        <v>2</v>
      </c>
      <c r="K495" s="447">
        <v>4160.0400390625</v>
      </c>
    </row>
    <row r="496" spans="1:11" ht="14.45" customHeight="1" x14ac:dyDescent="0.2">
      <c r="A496" s="441" t="s">
        <v>437</v>
      </c>
      <c r="B496" s="442" t="s">
        <v>438</v>
      </c>
      <c r="C496" s="443" t="s">
        <v>444</v>
      </c>
      <c r="D496" s="444" t="s">
        <v>445</v>
      </c>
      <c r="E496" s="443" t="s">
        <v>754</v>
      </c>
      <c r="F496" s="444" t="s">
        <v>755</v>
      </c>
      <c r="G496" s="443" t="s">
        <v>1578</v>
      </c>
      <c r="H496" s="443" t="s">
        <v>1579</v>
      </c>
      <c r="I496" s="446">
        <v>1784</v>
      </c>
      <c r="J496" s="446">
        <v>1</v>
      </c>
      <c r="K496" s="447">
        <v>1784</v>
      </c>
    </row>
    <row r="497" spans="1:11" ht="14.45" customHeight="1" x14ac:dyDescent="0.2">
      <c r="A497" s="441" t="s">
        <v>437</v>
      </c>
      <c r="B497" s="442" t="s">
        <v>438</v>
      </c>
      <c r="C497" s="443" t="s">
        <v>444</v>
      </c>
      <c r="D497" s="444" t="s">
        <v>445</v>
      </c>
      <c r="E497" s="443" t="s">
        <v>754</v>
      </c>
      <c r="F497" s="444" t="s">
        <v>755</v>
      </c>
      <c r="G497" s="443" t="s">
        <v>1580</v>
      </c>
      <c r="H497" s="443" t="s">
        <v>1581</v>
      </c>
      <c r="I497" s="446">
        <v>1784</v>
      </c>
      <c r="J497" s="446">
        <v>2</v>
      </c>
      <c r="K497" s="447">
        <v>3567.989990234375</v>
      </c>
    </row>
    <row r="498" spans="1:11" ht="14.45" customHeight="1" x14ac:dyDescent="0.2">
      <c r="A498" s="441" t="s">
        <v>437</v>
      </c>
      <c r="B498" s="442" t="s">
        <v>438</v>
      </c>
      <c r="C498" s="443" t="s">
        <v>444</v>
      </c>
      <c r="D498" s="444" t="s">
        <v>445</v>
      </c>
      <c r="E498" s="443" t="s">
        <v>754</v>
      </c>
      <c r="F498" s="444" t="s">
        <v>755</v>
      </c>
      <c r="G498" s="443" t="s">
        <v>1582</v>
      </c>
      <c r="H498" s="443" t="s">
        <v>1583</v>
      </c>
      <c r="I498" s="446">
        <v>1784</v>
      </c>
      <c r="J498" s="446">
        <v>3</v>
      </c>
      <c r="K498" s="447">
        <v>5351.989990234375</v>
      </c>
    </row>
    <row r="499" spans="1:11" ht="14.45" customHeight="1" x14ac:dyDescent="0.2">
      <c r="A499" s="441" t="s">
        <v>437</v>
      </c>
      <c r="B499" s="442" t="s">
        <v>438</v>
      </c>
      <c r="C499" s="443" t="s">
        <v>444</v>
      </c>
      <c r="D499" s="444" t="s">
        <v>445</v>
      </c>
      <c r="E499" s="443" t="s">
        <v>754</v>
      </c>
      <c r="F499" s="444" t="s">
        <v>755</v>
      </c>
      <c r="G499" s="443" t="s">
        <v>1584</v>
      </c>
      <c r="H499" s="443" t="s">
        <v>1585</v>
      </c>
      <c r="I499" s="446">
        <v>1784</v>
      </c>
      <c r="J499" s="446">
        <v>1</v>
      </c>
      <c r="K499" s="447">
        <v>1784</v>
      </c>
    </row>
    <row r="500" spans="1:11" ht="14.45" customHeight="1" x14ac:dyDescent="0.2">
      <c r="A500" s="441" t="s">
        <v>437</v>
      </c>
      <c r="B500" s="442" t="s">
        <v>438</v>
      </c>
      <c r="C500" s="443" t="s">
        <v>444</v>
      </c>
      <c r="D500" s="444" t="s">
        <v>445</v>
      </c>
      <c r="E500" s="443" t="s">
        <v>754</v>
      </c>
      <c r="F500" s="444" t="s">
        <v>755</v>
      </c>
      <c r="G500" s="443" t="s">
        <v>1586</v>
      </c>
      <c r="H500" s="443" t="s">
        <v>1587</v>
      </c>
      <c r="I500" s="446">
        <v>1784</v>
      </c>
      <c r="J500" s="446">
        <v>2</v>
      </c>
      <c r="K500" s="447">
        <v>3567.989990234375</v>
      </c>
    </row>
    <row r="501" spans="1:11" ht="14.45" customHeight="1" x14ac:dyDescent="0.2">
      <c r="A501" s="441" t="s">
        <v>437</v>
      </c>
      <c r="B501" s="442" t="s">
        <v>438</v>
      </c>
      <c r="C501" s="443" t="s">
        <v>444</v>
      </c>
      <c r="D501" s="444" t="s">
        <v>445</v>
      </c>
      <c r="E501" s="443" t="s">
        <v>754</v>
      </c>
      <c r="F501" s="444" t="s">
        <v>755</v>
      </c>
      <c r="G501" s="443" t="s">
        <v>1588</v>
      </c>
      <c r="H501" s="443" t="s">
        <v>1589</v>
      </c>
      <c r="I501" s="446">
        <v>1784</v>
      </c>
      <c r="J501" s="446">
        <v>1</v>
      </c>
      <c r="K501" s="447">
        <v>1784</v>
      </c>
    </row>
    <row r="502" spans="1:11" ht="14.45" customHeight="1" x14ac:dyDescent="0.2">
      <c r="A502" s="441" t="s">
        <v>437</v>
      </c>
      <c r="B502" s="442" t="s">
        <v>438</v>
      </c>
      <c r="C502" s="443" t="s">
        <v>444</v>
      </c>
      <c r="D502" s="444" t="s">
        <v>445</v>
      </c>
      <c r="E502" s="443" t="s">
        <v>754</v>
      </c>
      <c r="F502" s="444" t="s">
        <v>755</v>
      </c>
      <c r="G502" s="443" t="s">
        <v>1590</v>
      </c>
      <c r="H502" s="443" t="s">
        <v>1591</v>
      </c>
      <c r="I502" s="446">
        <v>1784</v>
      </c>
      <c r="J502" s="446">
        <v>2</v>
      </c>
      <c r="K502" s="447">
        <v>3567.989990234375</v>
      </c>
    </row>
    <row r="503" spans="1:11" ht="14.45" customHeight="1" x14ac:dyDescent="0.2">
      <c r="A503" s="441" t="s">
        <v>437</v>
      </c>
      <c r="B503" s="442" t="s">
        <v>438</v>
      </c>
      <c r="C503" s="443" t="s">
        <v>444</v>
      </c>
      <c r="D503" s="444" t="s">
        <v>445</v>
      </c>
      <c r="E503" s="443" t="s">
        <v>754</v>
      </c>
      <c r="F503" s="444" t="s">
        <v>755</v>
      </c>
      <c r="G503" s="443" t="s">
        <v>1592</v>
      </c>
      <c r="H503" s="443" t="s">
        <v>1593</v>
      </c>
      <c r="I503" s="446">
        <v>1784</v>
      </c>
      <c r="J503" s="446">
        <v>2</v>
      </c>
      <c r="K503" s="447">
        <v>3567.989990234375</v>
      </c>
    </row>
    <row r="504" spans="1:11" ht="14.45" customHeight="1" x14ac:dyDescent="0.2">
      <c r="A504" s="441" t="s">
        <v>437</v>
      </c>
      <c r="B504" s="442" t="s">
        <v>438</v>
      </c>
      <c r="C504" s="443" t="s">
        <v>444</v>
      </c>
      <c r="D504" s="444" t="s">
        <v>445</v>
      </c>
      <c r="E504" s="443" t="s">
        <v>754</v>
      </c>
      <c r="F504" s="444" t="s">
        <v>755</v>
      </c>
      <c r="G504" s="443" t="s">
        <v>1594</v>
      </c>
      <c r="H504" s="443" t="s">
        <v>1595</v>
      </c>
      <c r="I504" s="446">
        <v>1784</v>
      </c>
      <c r="J504" s="446">
        <v>2</v>
      </c>
      <c r="K504" s="447">
        <v>3567.989990234375</v>
      </c>
    </row>
    <row r="505" spans="1:11" ht="14.45" customHeight="1" x14ac:dyDescent="0.2">
      <c r="A505" s="441" t="s">
        <v>437</v>
      </c>
      <c r="B505" s="442" t="s">
        <v>438</v>
      </c>
      <c r="C505" s="443" t="s">
        <v>444</v>
      </c>
      <c r="D505" s="444" t="s">
        <v>445</v>
      </c>
      <c r="E505" s="443" t="s">
        <v>754</v>
      </c>
      <c r="F505" s="444" t="s">
        <v>755</v>
      </c>
      <c r="G505" s="443" t="s">
        <v>1596</v>
      </c>
      <c r="H505" s="443" t="s">
        <v>1597</v>
      </c>
      <c r="I505" s="446">
        <v>1784</v>
      </c>
      <c r="J505" s="446">
        <v>2</v>
      </c>
      <c r="K505" s="447">
        <v>3567.989990234375</v>
      </c>
    </row>
    <row r="506" spans="1:11" ht="14.45" customHeight="1" x14ac:dyDescent="0.2">
      <c r="A506" s="441" t="s">
        <v>437</v>
      </c>
      <c r="B506" s="442" t="s">
        <v>438</v>
      </c>
      <c r="C506" s="443" t="s">
        <v>444</v>
      </c>
      <c r="D506" s="444" t="s">
        <v>445</v>
      </c>
      <c r="E506" s="443" t="s">
        <v>754</v>
      </c>
      <c r="F506" s="444" t="s">
        <v>755</v>
      </c>
      <c r="G506" s="443" t="s">
        <v>1598</v>
      </c>
      <c r="H506" s="443" t="s">
        <v>1599</v>
      </c>
      <c r="I506" s="446">
        <v>7.9999998211860657E-2</v>
      </c>
      <c r="J506" s="446">
        <v>4500</v>
      </c>
      <c r="K506" s="447">
        <v>381.08999633789063</v>
      </c>
    </row>
    <row r="507" spans="1:11" ht="14.45" customHeight="1" x14ac:dyDescent="0.2">
      <c r="A507" s="441" t="s">
        <v>437</v>
      </c>
      <c r="B507" s="442" t="s">
        <v>438</v>
      </c>
      <c r="C507" s="443" t="s">
        <v>444</v>
      </c>
      <c r="D507" s="444" t="s">
        <v>445</v>
      </c>
      <c r="E507" s="443" t="s">
        <v>754</v>
      </c>
      <c r="F507" s="444" t="s">
        <v>755</v>
      </c>
      <c r="G507" s="443" t="s">
        <v>1600</v>
      </c>
      <c r="H507" s="443" t="s">
        <v>1601</v>
      </c>
      <c r="I507" s="446">
        <v>9.5000002533197403E-2</v>
      </c>
      <c r="J507" s="446">
        <v>11250</v>
      </c>
      <c r="K507" s="447">
        <v>1076.1799926757813</v>
      </c>
    </row>
    <row r="508" spans="1:11" ht="14.45" customHeight="1" x14ac:dyDescent="0.2">
      <c r="A508" s="441" t="s">
        <v>437</v>
      </c>
      <c r="B508" s="442" t="s">
        <v>438</v>
      </c>
      <c r="C508" s="443" t="s">
        <v>444</v>
      </c>
      <c r="D508" s="444" t="s">
        <v>445</v>
      </c>
      <c r="E508" s="443" t="s">
        <v>754</v>
      </c>
      <c r="F508" s="444" t="s">
        <v>755</v>
      </c>
      <c r="G508" s="443" t="s">
        <v>1602</v>
      </c>
      <c r="H508" s="443" t="s">
        <v>1603</v>
      </c>
      <c r="I508" s="446">
        <v>1714.4599609375</v>
      </c>
      <c r="J508" s="446">
        <v>1</v>
      </c>
      <c r="K508" s="447">
        <v>1714.4599609375</v>
      </c>
    </row>
    <row r="509" spans="1:11" ht="14.45" customHeight="1" x14ac:dyDescent="0.2">
      <c r="A509" s="441" t="s">
        <v>437</v>
      </c>
      <c r="B509" s="442" t="s">
        <v>438</v>
      </c>
      <c r="C509" s="443" t="s">
        <v>444</v>
      </c>
      <c r="D509" s="444" t="s">
        <v>445</v>
      </c>
      <c r="E509" s="443" t="s">
        <v>754</v>
      </c>
      <c r="F509" s="444" t="s">
        <v>755</v>
      </c>
      <c r="G509" s="443" t="s">
        <v>1604</v>
      </c>
      <c r="H509" s="443" t="s">
        <v>1605</v>
      </c>
      <c r="I509" s="446">
        <v>647.3125</v>
      </c>
      <c r="J509" s="446">
        <v>10</v>
      </c>
      <c r="K509" s="447">
        <v>6473.1298828125</v>
      </c>
    </row>
    <row r="510" spans="1:11" ht="14.45" customHeight="1" x14ac:dyDescent="0.2">
      <c r="A510" s="441" t="s">
        <v>437</v>
      </c>
      <c r="B510" s="442" t="s">
        <v>438</v>
      </c>
      <c r="C510" s="443" t="s">
        <v>444</v>
      </c>
      <c r="D510" s="444" t="s">
        <v>445</v>
      </c>
      <c r="E510" s="443" t="s">
        <v>754</v>
      </c>
      <c r="F510" s="444" t="s">
        <v>755</v>
      </c>
      <c r="G510" s="443" t="s">
        <v>1606</v>
      </c>
      <c r="H510" s="443" t="s">
        <v>1607</v>
      </c>
      <c r="I510" s="446">
        <v>515.44000244140625</v>
      </c>
      <c r="J510" s="446">
        <v>3</v>
      </c>
      <c r="K510" s="447">
        <v>1546.31005859375</v>
      </c>
    </row>
    <row r="511" spans="1:11" ht="14.45" customHeight="1" x14ac:dyDescent="0.2">
      <c r="A511" s="441" t="s">
        <v>437</v>
      </c>
      <c r="B511" s="442" t="s">
        <v>438</v>
      </c>
      <c r="C511" s="443" t="s">
        <v>444</v>
      </c>
      <c r="D511" s="444" t="s">
        <v>445</v>
      </c>
      <c r="E511" s="443" t="s">
        <v>754</v>
      </c>
      <c r="F511" s="444" t="s">
        <v>755</v>
      </c>
      <c r="G511" s="443" t="s">
        <v>1608</v>
      </c>
      <c r="H511" s="443" t="s">
        <v>1609</v>
      </c>
      <c r="I511" s="446">
        <v>598.91664632161462</v>
      </c>
      <c r="J511" s="446">
        <v>7</v>
      </c>
      <c r="K511" s="447">
        <v>4192.39990234375</v>
      </c>
    </row>
    <row r="512" spans="1:11" ht="14.45" customHeight="1" x14ac:dyDescent="0.2">
      <c r="A512" s="441" t="s">
        <v>437</v>
      </c>
      <c r="B512" s="442" t="s">
        <v>438</v>
      </c>
      <c r="C512" s="443" t="s">
        <v>444</v>
      </c>
      <c r="D512" s="444" t="s">
        <v>445</v>
      </c>
      <c r="E512" s="443" t="s">
        <v>754</v>
      </c>
      <c r="F512" s="444" t="s">
        <v>755</v>
      </c>
      <c r="G512" s="443" t="s">
        <v>1610</v>
      </c>
      <c r="H512" s="443" t="s">
        <v>1611</v>
      </c>
      <c r="I512" s="446">
        <v>515.44000244140625</v>
      </c>
      <c r="J512" s="446">
        <v>12</v>
      </c>
      <c r="K512" s="447">
        <v>6185.230224609375</v>
      </c>
    </row>
    <row r="513" spans="1:11" ht="14.45" customHeight="1" x14ac:dyDescent="0.2">
      <c r="A513" s="441" t="s">
        <v>437</v>
      </c>
      <c r="B513" s="442" t="s">
        <v>438</v>
      </c>
      <c r="C513" s="443" t="s">
        <v>444</v>
      </c>
      <c r="D513" s="444" t="s">
        <v>445</v>
      </c>
      <c r="E513" s="443" t="s">
        <v>754</v>
      </c>
      <c r="F513" s="444" t="s">
        <v>755</v>
      </c>
      <c r="G513" s="443" t="s">
        <v>1612</v>
      </c>
      <c r="H513" s="443" t="s">
        <v>1613</v>
      </c>
      <c r="I513" s="446">
        <v>773.1300048828125</v>
      </c>
      <c r="J513" s="446">
        <v>8</v>
      </c>
      <c r="K513" s="447">
        <v>6185</v>
      </c>
    </row>
    <row r="514" spans="1:11" ht="14.45" customHeight="1" x14ac:dyDescent="0.2">
      <c r="A514" s="441" t="s">
        <v>437</v>
      </c>
      <c r="B514" s="442" t="s">
        <v>438</v>
      </c>
      <c r="C514" s="443" t="s">
        <v>444</v>
      </c>
      <c r="D514" s="444" t="s">
        <v>445</v>
      </c>
      <c r="E514" s="443" t="s">
        <v>754</v>
      </c>
      <c r="F514" s="444" t="s">
        <v>755</v>
      </c>
      <c r="G514" s="443" t="s">
        <v>1614</v>
      </c>
      <c r="H514" s="443" t="s">
        <v>1615</v>
      </c>
      <c r="I514" s="446">
        <v>109</v>
      </c>
      <c r="J514" s="446">
        <v>5</v>
      </c>
      <c r="K514" s="447">
        <v>545</v>
      </c>
    </row>
    <row r="515" spans="1:11" ht="14.45" customHeight="1" x14ac:dyDescent="0.2">
      <c r="A515" s="441" t="s">
        <v>437</v>
      </c>
      <c r="B515" s="442" t="s">
        <v>438</v>
      </c>
      <c r="C515" s="443" t="s">
        <v>444</v>
      </c>
      <c r="D515" s="444" t="s">
        <v>445</v>
      </c>
      <c r="E515" s="443" t="s">
        <v>754</v>
      </c>
      <c r="F515" s="444" t="s">
        <v>755</v>
      </c>
      <c r="G515" s="443" t="s">
        <v>1616</v>
      </c>
      <c r="H515" s="443" t="s">
        <v>1617</v>
      </c>
      <c r="I515" s="446">
        <v>928.32000732421875</v>
      </c>
      <c r="J515" s="446">
        <v>2</v>
      </c>
      <c r="K515" s="447">
        <v>1856.6400146484375</v>
      </c>
    </row>
    <row r="516" spans="1:11" ht="14.45" customHeight="1" x14ac:dyDescent="0.2">
      <c r="A516" s="441" t="s">
        <v>437</v>
      </c>
      <c r="B516" s="442" t="s">
        <v>438</v>
      </c>
      <c r="C516" s="443" t="s">
        <v>444</v>
      </c>
      <c r="D516" s="444" t="s">
        <v>445</v>
      </c>
      <c r="E516" s="443" t="s">
        <v>754</v>
      </c>
      <c r="F516" s="444" t="s">
        <v>755</v>
      </c>
      <c r="G516" s="443" t="s">
        <v>1618</v>
      </c>
      <c r="H516" s="443" t="s">
        <v>1619</v>
      </c>
      <c r="I516" s="446">
        <v>127.67499923706055</v>
      </c>
      <c r="J516" s="446">
        <v>19</v>
      </c>
      <c r="K516" s="447">
        <v>2448.8699340820313</v>
      </c>
    </row>
    <row r="517" spans="1:11" ht="14.45" customHeight="1" x14ac:dyDescent="0.2">
      <c r="A517" s="441" t="s">
        <v>437</v>
      </c>
      <c r="B517" s="442" t="s">
        <v>438</v>
      </c>
      <c r="C517" s="443" t="s">
        <v>444</v>
      </c>
      <c r="D517" s="444" t="s">
        <v>445</v>
      </c>
      <c r="E517" s="443" t="s">
        <v>754</v>
      </c>
      <c r="F517" s="444" t="s">
        <v>755</v>
      </c>
      <c r="G517" s="443" t="s">
        <v>1620</v>
      </c>
      <c r="H517" s="443" t="s">
        <v>1621</v>
      </c>
      <c r="I517" s="446">
        <v>338.79998779296875</v>
      </c>
      <c r="J517" s="446">
        <v>1</v>
      </c>
      <c r="K517" s="447">
        <v>338.79998779296875</v>
      </c>
    </row>
    <row r="518" spans="1:11" ht="14.45" customHeight="1" x14ac:dyDescent="0.2">
      <c r="A518" s="441" t="s">
        <v>437</v>
      </c>
      <c r="B518" s="442" t="s">
        <v>438</v>
      </c>
      <c r="C518" s="443" t="s">
        <v>444</v>
      </c>
      <c r="D518" s="444" t="s">
        <v>445</v>
      </c>
      <c r="E518" s="443" t="s">
        <v>754</v>
      </c>
      <c r="F518" s="444" t="s">
        <v>755</v>
      </c>
      <c r="G518" s="443" t="s">
        <v>1622</v>
      </c>
      <c r="H518" s="443" t="s">
        <v>1623</v>
      </c>
      <c r="I518" s="446">
        <v>331.51998901367188</v>
      </c>
      <c r="J518" s="446">
        <v>2</v>
      </c>
      <c r="K518" s="447">
        <v>663.030029296875</v>
      </c>
    </row>
    <row r="519" spans="1:11" ht="14.45" customHeight="1" x14ac:dyDescent="0.2">
      <c r="A519" s="441" t="s">
        <v>437</v>
      </c>
      <c r="B519" s="442" t="s">
        <v>438</v>
      </c>
      <c r="C519" s="443" t="s">
        <v>444</v>
      </c>
      <c r="D519" s="444" t="s">
        <v>445</v>
      </c>
      <c r="E519" s="443" t="s">
        <v>754</v>
      </c>
      <c r="F519" s="444" t="s">
        <v>755</v>
      </c>
      <c r="G519" s="443" t="s">
        <v>1624</v>
      </c>
      <c r="H519" s="443" t="s">
        <v>1625</v>
      </c>
      <c r="I519" s="446">
        <v>650.6199951171875</v>
      </c>
      <c r="J519" s="446">
        <v>15</v>
      </c>
      <c r="K519" s="447">
        <v>9759.2298583984375</v>
      </c>
    </row>
    <row r="520" spans="1:11" ht="14.45" customHeight="1" x14ac:dyDescent="0.2">
      <c r="A520" s="441" t="s">
        <v>437</v>
      </c>
      <c r="B520" s="442" t="s">
        <v>438</v>
      </c>
      <c r="C520" s="443" t="s">
        <v>444</v>
      </c>
      <c r="D520" s="444" t="s">
        <v>445</v>
      </c>
      <c r="E520" s="443" t="s">
        <v>754</v>
      </c>
      <c r="F520" s="444" t="s">
        <v>755</v>
      </c>
      <c r="G520" s="443" t="s">
        <v>1626</v>
      </c>
      <c r="H520" s="443" t="s">
        <v>1627</v>
      </c>
      <c r="I520" s="446">
        <v>1098.0450134277344</v>
      </c>
      <c r="J520" s="446">
        <v>2</v>
      </c>
      <c r="K520" s="447">
        <v>2196.0900268554688</v>
      </c>
    </row>
    <row r="521" spans="1:11" ht="14.45" customHeight="1" x14ac:dyDescent="0.2">
      <c r="A521" s="441" t="s">
        <v>437</v>
      </c>
      <c r="B521" s="442" t="s">
        <v>438</v>
      </c>
      <c r="C521" s="443" t="s">
        <v>444</v>
      </c>
      <c r="D521" s="444" t="s">
        <v>445</v>
      </c>
      <c r="E521" s="443" t="s">
        <v>754</v>
      </c>
      <c r="F521" s="444" t="s">
        <v>755</v>
      </c>
      <c r="G521" s="443" t="s">
        <v>1628</v>
      </c>
      <c r="H521" s="443" t="s">
        <v>1629</v>
      </c>
      <c r="I521" s="446">
        <v>127.05000305175781</v>
      </c>
      <c r="J521" s="446">
        <v>5</v>
      </c>
      <c r="K521" s="447">
        <v>635.25</v>
      </c>
    </row>
    <row r="522" spans="1:11" ht="14.45" customHeight="1" x14ac:dyDescent="0.2">
      <c r="A522" s="441" t="s">
        <v>437</v>
      </c>
      <c r="B522" s="442" t="s">
        <v>438</v>
      </c>
      <c r="C522" s="443" t="s">
        <v>444</v>
      </c>
      <c r="D522" s="444" t="s">
        <v>445</v>
      </c>
      <c r="E522" s="443" t="s">
        <v>754</v>
      </c>
      <c r="F522" s="444" t="s">
        <v>755</v>
      </c>
      <c r="G522" s="443" t="s">
        <v>1630</v>
      </c>
      <c r="H522" s="443" t="s">
        <v>1631</v>
      </c>
      <c r="I522" s="446">
        <v>151.25</v>
      </c>
      <c r="J522" s="446">
        <v>5</v>
      </c>
      <c r="K522" s="447">
        <v>756.25</v>
      </c>
    </row>
    <row r="523" spans="1:11" ht="14.45" customHeight="1" x14ac:dyDescent="0.2">
      <c r="A523" s="441" t="s">
        <v>437</v>
      </c>
      <c r="B523" s="442" t="s">
        <v>438</v>
      </c>
      <c r="C523" s="443" t="s">
        <v>444</v>
      </c>
      <c r="D523" s="444" t="s">
        <v>445</v>
      </c>
      <c r="E523" s="443" t="s">
        <v>754</v>
      </c>
      <c r="F523" s="444" t="s">
        <v>755</v>
      </c>
      <c r="G523" s="443" t="s">
        <v>1632</v>
      </c>
      <c r="H523" s="443" t="s">
        <v>1633</v>
      </c>
      <c r="I523" s="446">
        <v>124.62999725341797</v>
      </c>
      <c r="J523" s="446">
        <v>5</v>
      </c>
      <c r="K523" s="447">
        <v>623.1500244140625</v>
      </c>
    </row>
    <row r="524" spans="1:11" ht="14.45" customHeight="1" x14ac:dyDescent="0.2">
      <c r="A524" s="441" t="s">
        <v>437</v>
      </c>
      <c r="B524" s="442" t="s">
        <v>438</v>
      </c>
      <c r="C524" s="443" t="s">
        <v>444</v>
      </c>
      <c r="D524" s="444" t="s">
        <v>445</v>
      </c>
      <c r="E524" s="443" t="s">
        <v>754</v>
      </c>
      <c r="F524" s="444" t="s">
        <v>755</v>
      </c>
      <c r="G524" s="443" t="s">
        <v>1634</v>
      </c>
      <c r="H524" s="443" t="s">
        <v>1635</v>
      </c>
      <c r="I524" s="446">
        <v>124.62999725341797</v>
      </c>
      <c r="J524" s="446">
        <v>5</v>
      </c>
      <c r="K524" s="447">
        <v>623.1500244140625</v>
      </c>
    </row>
    <row r="525" spans="1:11" ht="14.45" customHeight="1" x14ac:dyDescent="0.2">
      <c r="A525" s="441" t="s">
        <v>437</v>
      </c>
      <c r="B525" s="442" t="s">
        <v>438</v>
      </c>
      <c r="C525" s="443" t="s">
        <v>444</v>
      </c>
      <c r="D525" s="444" t="s">
        <v>445</v>
      </c>
      <c r="E525" s="443" t="s">
        <v>754</v>
      </c>
      <c r="F525" s="444" t="s">
        <v>755</v>
      </c>
      <c r="G525" s="443" t="s">
        <v>1636</v>
      </c>
      <c r="H525" s="443" t="s">
        <v>1637</v>
      </c>
      <c r="I525" s="446">
        <v>71.389999389648438</v>
      </c>
      <c r="J525" s="446">
        <v>5</v>
      </c>
      <c r="K525" s="447">
        <v>356.95001220703125</v>
      </c>
    </row>
    <row r="526" spans="1:11" ht="14.45" customHeight="1" x14ac:dyDescent="0.2">
      <c r="A526" s="441" t="s">
        <v>437</v>
      </c>
      <c r="B526" s="442" t="s">
        <v>438</v>
      </c>
      <c r="C526" s="443" t="s">
        <v>444</v>
      </c>
      <c r="D526" s="444" t="s">
        <v>445</v>
      </c>
      <c r="E526" s="443" t="s">
        <v>754</v>
      </c>
      <c r="F526" s="444" t="s">
        <v>755</v>
      </c>
      <c r="G526" s="443" t="s">
        <v>1638</v>
      </c>
      <c r="H526" s="443" t="s">
        <v>1639</v>
      </c>
      <c r="I526" s="446">
        <v>71.389999389648438</v>
      </c>
      <c r="J526" s="446">
        <v>5</v>
      </c>
      <c r="K526" s="447">
        <v>356.95001220703125</v>
      </c>
    </row>
    <row r="527" spans="1:11" ht="14.45" customHeight="1" x14ac:dyDescent="0.2">
      <c r="A527" s="441" t="s">
        <v>437</v>
      </c>
      <c r="B527" s="442" t="s">
        <v>438</v>
      </c>
      <c r="C527" s="443" t="s">
        <v>444</v>
      </c>
      <c r="D527" s="444" t="s">
        <v>445</v>
      </c>
      <c r="E527" s="443" t="s">
        <v>754</v>
      </c>
      <c r="F527" s="444" t="s">
        <v>755</v>
      </c>
      <c r="G527" s="443" t="s">
        <v>1640</v>
      </c>
      <c r="H527" s="443" t="s">
        <v>1641</v>
      </c>
      <c r="I527" s="446">
        <v>2203.2900390625</v>
      </c>
      <c r="J527" s="446">
        <v>1</v>
      </c>
      <c r="K527" s="447">
        <v>2203.2900390625</v>
      </c>
    </row>
    <row r="528" spans="1:11" ht="14.45" customHeight="1" x14ac:dyDescent="0.2">
      <c r="A528" s="441" t="s">
        <v>437</v>
      </c>
      <c r="B528" s="442" t="s">
        <v>438</v>
      </c>
      <c r="C528" s="443" t="s">
        <v>444</v>
      </c>
      <c r="D528" s="444" t="s">
        <v>445</v>
      </c>
      <c r="E528" s="443" t="s">
        <v>754</v>
      </c>
      <c r="F528" s="444" t="s">
        <v>755</v>
      </c>
      <c r="G528" s="443" t="s">
        <v>1642</v>
      </c>
      <c r="H528" s="443" t="s">
        <v>1643</v>
      </c>
      <c r="I528" s="446">
        <v>321</v>
      </c>
      <c r="J528" s="446">
        <v>8</v>
      </c>
      <c r="K528" s="447">
        <v>2568</v>
      </c>
    </row>
    <row r="529" spans="1:11" ht="14.45" customHeight="1" x14ac:dyDescent="0.2">
      <c r="A529" s="441" t="s">
        <v>437</v>
      </c>
      <c r="B529" s="442" t="s">
        <v>438</v>
      </c>
      <c r="C529" s="443" t="s">
        <v>444</v>
      </c>
      <c r="D529" s="444" t="s">
        <v>445</v>
      </c>
      <c r="E529" s="443" t="s">
        <v>754</v>
      </c>
      <c r="F529" s="444" t="s">
        <v>755</v>
      </c>
      <c r="G529" s="443" t="s">
        <v>1644</v>
      </c>
      <c r="H529" s="443" t="s">
        <v>1645</v>
      </c>
      <c r="I529" s="446">
        <v>1184.206005859375</v>
      </c>
      <c r="J529" s="446">
        <v>55</v>
      </c>
      <c r="K529" s="447">
        <v>64604.611328125</v>
      </c>
    </row>
    <row r="530" spans="1:11" ht="14.45" customHeight="1" x14ac:dyDescent="0.2">
      <c r="A530" s="441" t="s">
        <v>437</v>
      </c>
      <c r="B530" s="442" t="s">
        <v>438</v>
      </c>
      <c r="C530" s="443" t="s">
        <v>444</v>
      </c>
      <c r="D530" s="444" t="s">
        <v>445</v>
      </c>
      <c r="E530" s="443" t="s">
        <v>754</v>
      </c>
      <c r="F530" s="444" t="s">
        <v>755</v>
      </c>
      <c r="G530" s="443" t="s">
        <v>1646</v>
      </c>
      <c r="H530" s="443" t="s">
        <v>1647</v>
      </c>
      <c r="I530" s="446">
        <v>0.93000000715255737</v>
      </c>
      <c r="J530" s="446">
        <v>500</v>
      </c>
      <c r="K530" s="447">
        <v>463.41000366210938</v>
      </c>
    </row>
    <row r="531" spans="1:11" ht="14.45" customHeight="1" x14ac:dyDescent="0.2">
      <c r="A531" s="441" t="s">
        <v>437</v>
      </c>
      <c r="B531" s="442" t="s">
        <v>438</v>
      </c>
      <c r="C531" s="443" t="s">
        <v>444</v>
      </c>
      <c r="D531" s="444" t="s">
        <v>445</v>
      </c>
      <c r="E531" s="443" t="s">
        <v>754</v>
      </c>
      <c r="F531" s="444" t="s">
        <v>755</v>
      </c>
      <c r="G531" s="443" t="s">
        <v>1648</v>
      </c>
      <c r="H531" s="443" t="s">
        <v>1649</v>
      </c>
      <c r="I531" s="446">
        <v>138</v>
      </c>
      <c r="J531" s="446">
        <v>120</v>
      </c>
      <c r="K531" s="447">
        <v>16560</v>
      </c>
    </row>
    <row r="532" spans="1:11" ht="14.45" customHeight="1" thickBot="1" x14ac:dyDescent="0.25">
      <c r="A532" s="448" t="s">
        <v>437</v>
      </c>
      <c r="B532" s="449" t="s">
        <v>438</v>
      </c>
      <c r="C532" s="450" t="s">
        <v>444</v>
      </c>
      <c r="D532" s="451" t="s">
        <v>445</v>
      </c>
      <c r="E532" s="450" t="s">
        <v>754</v>
      </c>
      <c r="F532" s="451" t="s">
        <v>755</v>
      </c>
      <c r="G532" s="450" t="s">
        <v>1650</v>
      </c>
      <c r="H532" s="450" t="s">
        <v>1651</v>
      </c>
      <c r="I532" s="453">
        <v>138</v>
      </c>
      <c r="J532" s="453">
        <v>240</v>
      </c>
      <c r="K532" s="454">
        <v>33120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0C986D64-FAC8-4FD4-8BA6-A34503805487}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7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52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06" customWidth="1"/>
    <col min="18" max="18" width="7.28515625" style="251" customWidth="1"/>
    <col min="19" max="19" width="8" style="206" customWidth="1"/>
    <col min="21" max="21" width="11.28515625" bestFit="1" customWidth="1"/>
  </cols>
  <sheetData>
    <row r="1" spans="1:19" ht="19.5" thickBot="1" x14ac:dyDescent="0.35">
      <c r="A1" s="375" t="s">
        <v>90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</row>
    <row r="2" spans="1:19" ht="15.75" thickBot="1" x14ac:dyDescent="0.3">
      <c r="A2" s="207" t="s">
        <v>242</v>
      </c>
      <c r="B2" s="208"/>
    </row>
    <row r="3" spans="1:19" x14ac:dyDescent="0.25">
      <c r="A3" s="387" t="s">
        <v>163</v>
      </c>
      <c r="B3" s="388"/>
      <c r="C3" s="389" t="s">
        <v>152</v>
      </c>
      <c r="D3" s="390"/>
      <c r="E3" s="390"/>
      <c r="F3" s="391"/>
      <c r="G3" s="392" t="s">
        <v>153</v>
      </c>
      <c r="H3" s="393"/>
      <c r="I3" s="393"/>
      <c r="J3" s="394"/>
      <c r="K3" s="395" t="s">
        <v>162</v>
      </c>
      <c r="L3" s="396"/>
      <c r="M3" s="396"/>
      <c r="N3" s="396"/>
      <c r="O3" s="397"/>
      <c r="P3" s="393" t="s">
        <v>214</v>
      </c>
      <c r="Q3" s="393"/>
      <c r="R3" s="393"/>
      <c r="S3" s="394"/>
    </row>
    <row r="4" spans="1:19" ht="15.75" thickBot="1" x14ac:dyDescent="0.3">
      <c r="A4" s="367">
        <v>2020</v>
      </c>
      <c r="B4" s="368"/>
      <c r="C4" s="369" t="s">
        <v>213</v>
      </c>
      <c r="D4" s="371" t="s">
        <v>91</v>
      </c>
      <c r="E4" s="371" t="s">
        <v>61</v>
      </c>
      <c r="F4" s="373" t="s">
        <v>54</v>
      </c>
      <c r="G4" s="361" t="s">
        <v>154</v>
      </c>
      <c r="H4" s="363" t="s">
        <v>158</v>
      </c>
      <c r="I4" s="363" t="s">
        <v>212</v>
      </c>
      <c r="J4" s="365" t="s">
        <v>155</v>
      </c>
      <c r="K4" s="384" t="s">
        <v>211</v>
      </c>
      <c r="L4" s="385"/>
      <c r="M4" s="385"/>
      <c r="N4" s="386"/>
      <c r="O4" s="373" t="s">
        <v>210</v>
      </c>
      <c r="P4" s="376" t="s">
        <v>209</v>
      </c>
      <c r="Q4" s="376" t="s">
        <v>165</v>
      </c>
      <c r="R4" s="378" t="s">
        <v>61</v>
      </c>
      <c r="S4" s="380" t="s">
        <v>164</v>
      </c>
    </row>
    <row r="5" spans="1:19" s="286" customFormat="1" ht="19.149999999999999" customHeight="1" x14ac:dyDescent="0.25">
      <c r="A5" s="382" t="s">
        <v>208</v>
      </c>
      <c r="B5" s="383"/>
      <c r="C5" s="370"/>
      <c r="D5" s="372"/>
      <c r="E5" s="372"/>
      <c r="F5" s="374"/>
      <c r="G5" s="362"/>
      <c r="H5" s="364"/>
      <c r="I5" s="364"/>
      <c r="J5" s="366"/>
      <c r="K5" s="289" t="s">
        <v>156</v>
      </c>
      <c r="L5" s="288" t="s">
        <v>157</v>
      </c>
      <c r="M5" s="288" t="s">
        <v>207</v>
      </c>
      <c r="N5" s="287" t="s">
        <v>3</v>
      </c>
      <c r="O5" s="374"/>
      <c r="P5" s="377"/>
      <c r="Q5" s="377"/>
      <c r="R5" s="379"/>
      <c r="S5" s="381"/>
    </row>
    <row r="6" spans="1:19" ht="15.75" thickBot="1" x14ac:dyDescent="0.3">
      <c r="A6" s="359" t="s">
        <v>151</v>
      </c>
      <c r="B6" s="360"/>
      <c r="C6" s="285">
        <f ca="1">SUM(Tabulka[01 uv_sk])/2</f>
        <v>54.050000000000011</v>
      </c>
      <c r="D6" s="283"/>
      <c r="E6" s="283"/>
      <c r="F6" s="282"/>
      <c r="G6" s="284">
        <f ca="1">SUM(Tabulka[05 h_vram])/2</f>
        <v>70429.100000000006</v>
      </c>
      <c r="H6" s="283">
        <f ca="1">SUM(Tabulka[06 h_naduv])/2</f>
        <v>0</v>
      </c>
      <c r="I6" s="283">
        <f ca="1">SUM(Tabulka[07 h_nadzk])/2</f>
        <v>0</v>
      </c>
      <c r="J6" s="282">
        <f ca="1">SUM(Tabulka[08 h_oon])/2</f>
        <v>1166.5</v>
      </c>
      <c r="K6" s="284">
        <f ca="1">SUM(Tabulka[09 m_kl])/2</f>
        <v>0</v>
      </c>
      <c r="L6" s="283">
        <f ca="1">SUM(Tabulka[10 m_gr])/2</f>
        <v>0</v>
      </c>
      <c r="M6" s="283">
        <f ca="1">SUM(Tabulka[11 m_jo])/2</f>
        <v>1077723</v>
      </c>
      <c r="N6" s="283">
        <f ca="1">SUM(Tabulka[12 m_oc])/2</f>
        <v>1077723</v>
      </c>
      <c r="O6" s="282">
        <f ca="1">SUM(Tabulka[13 m_sk])/2</f>
        <v>20263321</v>
      </c>
      <c r="P6" s="281">
        <f ca="1">SUM(Tabulka[14_vzsk])/2</f>
        <v>0</v>
      </c>
      <c r="Q6" s="281">
        <f ca="1">SUM(Tabulka[15_vzpl])/2</f>
        <v>73251.466275659826</v>
      </c>
      <c r="R6" s="280">
        <f ca="1">IF(Q6=0,0,P6/Q6)</f>
        <v>0</v>
      </c>
      <c r="S6" s="279">
        <f ca="1">Q6-P6</f>
        <v>73251.466275659826</v>
      </c>
    </row>
    <row r="7" spans="1:19" hidden="1" x14ac:dyDescent="0.25">
      <c r="A7" s="278" t="s">
        <v>206</v>
      </c>
      <c r="B7" s="277" t="s">
        <v>205</v>
      </c>
      <c r="C7" s="276" t="s">
        <v>204</v>
      </c>
      <c r="D7" s="275" t="s">
        <v>203</v>
      </c>
      <c r="E7" s="274" t="s">
        <v>202</v>
      </c>
      <c r="F7" s="273" t="s">
        <v>201</v>
      </c>
      <c r="G7" s="272" t="s">
        <v>200</v>
      </c>
      <c r="H7" s="270" t="s">
        <v>199</v>
      </c>
      <c r="I7" s="270" t="s">
        <v>198</v>
      </c>
      <c r="J7" s="269" t="s">
        <v>197</v>
      </c>
      <c r="K7" s="271" t="s">
        <v>196</v>
      </c>
      <c r="L7" s="270" t="s">
        <v>195</v>
      </c>
      <c r="M7" s="270" t="s">
        <v>194</v>
      </c>
      <c r="N7" s="269" t="s">
        <v>193</v>
      </c>
      <c r="O7" s="268" t="s">
        <v>192</v>
      </c>
      <c r="P7" s="267" t="s">
        <v>191</v>
      </c>
      <c r="Q7" s="266" t="s">
        <v>190</v>
      </c>
      <c r="R7" s="265" t="s">
        <v>189</v>
      </c>
      <c r="S7" s="264" t="s">
        <v>188</v>
      </c>
    </row>
    <row r="8" spans="1:19" x14ac:dyDescent="0.25">
      <c r="A8" s="261" t="s">
        <v>187</v>
      </c>
      <c r="B8" s="260"/>
      <c r="C8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12.766666666666667</v>
      </c>
      <c r="D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17579</v>
      </c>
      <c r="H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681.5</v>
      </c>
      <c r="K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347816</v>
      </c>
      <c r="N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347816</v>
      </c>
      <c r="O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6542699</v>
      </c>
      <c r="P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32001.466275659823</v>
      </c>
      <c r="R8" s="263">
        <f ca="1">IF(Tabulka[[#This Row],[15_vzpl]]=0,"",Tabulka[[#This Row],[14_vzsk]]/Tabulka[[#This Row],[15_vzpl]])</f>
        <v>0</v>
      </c>
      <c r="S8" s="262">
        <f ca="1">IF(Tabulka[[#This Row],[15_vzpl]]-Tabulka[[#This Row],[14_vzsk]]=0,"",Tabulka[[#This Row],[15_vzpl]]-Tabulka[[#This Row],[14_vzsk]])</f>
        <v>32001.466275659823</v>
      </c>
    </row>
    <row r="9" spans="1:19" x14ac:dyDescent="0.25">
      <c r="A9" s="261">
        <v>99</v>
      </c>
      <c r="B9" s="260" t="s">
        <v>1666</v>
      </c>
      <c r="C9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32001.466275659823</v>
      </c>
      <c r="R9" s="263">
        <f ca="1">IF(Tabulka[[#This Row],[15_vzpl]]=0,"",Tabulka[[#This Row],[14_vzsk]]/Tabulka[[#This Row],[15_vzpl]])</f>
        <v>0</v>
      </c>
      <c r="S9" s="262">
        <f ca="1">IF(Tabulka[[#This Row],[15_vzpl]]-Tabulka[[#This Row],[14_vzsk]]=0,"",Tabulka[[#This Row],[15_vzpl]]-Tabulka[[#This Row],[14_vzsk]])</f>
        <v>32001.466275659823</v>
      </c>
    </row>
    <row r="10" spans="1:19" x14ac:dyDescent="0.25">
      <c r="A10" s="261">
        <v>102</v>
      </c>
      <c r="B10" s="260" t="s">
        <v>1667</v>
      </c>
      <c r="C10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7.1722222222222216</v>
      </c>
      <c r="D1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9967.9</v>
      </c>
      <c r="H1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662.5</v>
      </c>
      <c r="K1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172290</v>
      </c>
      <c r="N1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172290</v>
      </c>
      <c r="O1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3048253</v>
      </c>
      <c r="P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63" t="str">
        <f ca="1">IF(Tabulka[[#This Row],[15_vzpl]]=0,"",Tabulka[[#This Row],[14_vzsk]]/Tabulka[[#This Row],[15_vzpl]])</f>
        <v/>
      </c>
      <c r="S10" s="262" t="str">
        <f ca="1">IF(Tabulka[[#This Row],[15_vzpl]]-Tabulka[[#This Row],[14_vzsk]]=0,"",Tabulka[[#This Row],[15_vzpl]]-Tabulka[[#This Row],[14_vzsk]])</f>
        <v/>
      </c>
    </row>
    <row r="11" spans="1:19" x14ac:dyDescent="0.25">
      <c r="A11" s="261">
        <v>103</v>
      </c>
      <c r="B11" s="260" t="s">
        <v>1668</v>
      </c>
      <c r="C11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5.594444444444445</v>
      </c>
      <c r="D1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7611.0999999999995</v>
      </c>
      <c r="H1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</v>
      </c>
      <c r="K1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175526</v>
      </c>
      <c r="N1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175526</v>
      </c>
      <c r="O1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3494446</v>
      </c>
      <c r="P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63" t="str">
        <f ca="1">IF(Tabulka[[#This Row],[15_vzpl]]=0,"",Tabulka[[#This Row],[14_vzsk]]/Tabulka[[#This Row],[15_vzpl]])</f>
        <v/>
      </c>
      <c r="S11" s="262" t="str">
        <f ca="1">IF(Tabulka[[#This Row],[15_vzpl]]-Tabulka[[#This Row],[14_vzsk]]=0,"",Tabulka[[#This Row],[15_vzpl]]-Tabulka[[#This Row],[14_vzsk]])</f>
        <v/>
      </c>
    </row>
    <row r="12" spans="1:19" x14ac:dyDescent="0.25">
      <c r="A12" s="261" t="s">
        <v>1653</v>
      </c>
      <c r="B12" s="260"/>
      <c r="C12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39.333333333333336</v>
      </c>
      <c r="D12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50089</v>
      </c>
      <c r="H12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714397</v>
      </c>
      <c r="N12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714397</v>
      </c>
      <c r="O1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13207378</v>
      </c>
      <c r="P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41250</v>
      </c>
      <c r="R12" s="263">
        <f ca="1">IF(Tabulka[[#This Row],[15_vzpl]]=0,"",Tabulka[[#This Row],[14_vzsk]]/Tabulka[[#This Row],[15_vzpl]])</f>
        <v>0</v>
      </c>
      <c r="S12" s="262">
        <f ca="1">IF(Tabulka[[#This Row],[15_vzpl]]-Tabulka[[#This Row],[14_vzsk]]=0,"",Tabulka[[#This Row],[15_vzpl]]-Tabulka[[#This Row],[14_vzsk]])</f>
        <v>41250</v>
      </c>
    </row>
    <row r="13" spans="1:19" x14ac:dyDescent="0.25">
      <c r="A13" s="261">
        <v>303</v>
      </c>
      <c r="B13" s="260" t="s">
        <v>1669</v>
      </c>
      <c r="C13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22.222222222222225</v>
      </c>
      <c r="D13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28920.6</v>
      </c>
      <c r="H13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414499</v>
      </c>
      <c r="N13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414499</v>
      </c>
      <c r="O1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7368211</v>
      </c>
      <c r="P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41250</v>
      </c>
      <c r="R13" s="263">
        <f ca="1">IF(Tabulka[[#This Row],[15_vzpl]]=0,"",Tabulka[[#This Row],[14_vzsk]]/Tabulka[[#This Row],[15_vzpl]])</f>
        <v>0</v>
      </c>
      <c r="S13" s="262">
        <f ca="1">IF(Tabulka[[#This Row],[15_vzpl]]-Tabulka[[#This Row],[14_vzsk]]=0,"",Tabulka[[#This Row],[15_vzpl]]-Tabulka[[#This Row],[14_vzsk]])</f>
        <v>41250</v>
      </c>
    </row>
    <row r="14" spans="1:19" x14ac:dyDescent="0.25">
      <c r="A14" s="261">
        <v>304</v>
      </c>
      <c r="B14" s="260" t="s">
        <v>1670</v>
      </c>
      <c r="C14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14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7120</v>
      </c>
      <c r="H14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127797</v>
      </c>
      <c r="N14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127797</v>
      </c>
      <c r="O1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2250687</v>
      </c>
      <c r="P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63" t="str">
        <f ca="1">IF(Tabulka[[#This Row],[15_vzpl]]=0,"",Tabulka[[#This Row],[14_vzsk]]/Tabulka[[#This Row],[15_vzpl]])</f>
        <v/>
      </c>
      <c r="S14" s="262" t="str">
        <f ca="1">IF(Tabulka[[#This Row],[15_vzpl]]-Tabulka[[#This Row],[14_vzsk]]=0,"",Tabulka[[#This Row],[15_vzpl]]-Tabulka[[#This Row],[14_vzsk]])</f>
        <v/>
      </c>
    </row>
    <row r="15" spans="1:19" x14ac:dyDescent="0.25">
      <c r="A15" s="261">
        <v>408</v>
      </c>
      <c r="B15" s="260" t="s">
        <v>1671</v>
      </c>
      <c r="C15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5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5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4400</v>
      </c>
      <c r="N15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4400</v>
      </c>
      <c r="O1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4400</v>
      </c>
      <c r="P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63" t="str">
        <f ca="1">IF(Tabulka[[#This Row],[15_vzpl]]=0,"",Tabulka[[#This Row],[14_vzsk]]/Tabulka[[#This Row],[15_vzpl]])</f>
        <v/>
      </c>
      <c r="S15" s="262" t="str">
        <f ca="1">IF(Tabulka[[#This Row],[15_vzpl]]-Tabulka[[#This Row],[14_vzsk]]=0,"",Tabulka[[#This Row],[15_vzpl]]-Tabulka[[#This Row],[14_vzsk]])</f>
        <v/>
      </c>
    </row>
    <row r="16" spans="1:19" x14ac:dyDescent="0.25">
      <c r="A16" s="261">
        <v>416</v>
      </c>
      <c r="B16" s="260" t="s">
        <v>1672</v>
      </c>
      <c r="C16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12.111111111111111</v>
      </c>
      <c r="D16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14048.400000000001</v>
      </c>
      <c r="H16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167701</v>
      </c>
      <c r="N16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167701</v>
      </c>
      <c r="O16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3584080</v>
      </c>
      <c r="P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63" t="str">
        <f ca="1">IF(Tabulka[[#This Row],[15_vzpl]]=0,"",Tabulka[[#This Row],[14_vzsk]]/Tabulka[[#This Row],[15_vzpl]])</f>
        <v/>
      </c>
      <c r="S16" s="262" t="str">
        <f ca="1">IF(Tabulka[[#This Row],[15_vzpl]]-Tabulka[[#This Row],[14_vzsk]]=0,"",Tabulka[[#This Row],[15_vzpl]]-Tabulka[[#This Row],[14_vzsk]])</f>
        <v/>
      </c>
    </row>
    <row r="17" spans="1:19" x14ac:dyDescent="0.25">
      <c r="A17" s="261" t="s">
        <v>1654</v>
      </c>
      <c r="B17" s="260"/>
      <c r="C17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1.9499999999999997</v>
      </c>
      <c r="D17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2761.1000000000004</v>
      </c>
      <c r="H17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413</v>
      </c>
      <c r="K17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15510</v>
      </c>
      <c r="N17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15510</v>
      </c>
      <c r="O17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500284</v>
      </c>
      <c r="P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63" t="str">
        <f ca="1">IF(Tabulka[[#This Row],[15_vzpl]]=0,"",Tabulka[[#This Row],[14_vzsk]]/Tabulka[[#This Row],[15_vzpl]])</f>
        <v/>
      </c>
      <c r="S17" s="262" t="str">
        <f ca="1">IF(Tabulka[[#This Row],[15_vzpl]]-Tabulka[[#This Row],[14_vzsk]]=0,"",Tabulka[[#This Row],[15_vzpl]]-Tabulka[[#This Row],[14_vzsk]])</f>
        <v/>
      </c>
    </row>
    <row r="18" spans="1:19" x14ac:dyDescent="0.25">
      <c r="A18" s="261">
        <v>25</v>
      </c>
      <c r="B18" s="260" t="s">
        <v>1673</v>
      </c>
      <c r="C18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1432</v>
      </c>
      <c r="H1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4873</v>
      </c>
      <c r="N1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4873</v>
      </c>
      <c r="O1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196028</v>
      </c>
      <c r="P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63" t="str">
        <f ca="1">IF(Tabulka[[#This Row],[15_vzpl]]=0,"",Tabulka[[#This Row],[14_vzsk]]/Tabulka[[#This Row],[15_vzpl]])</f>
        <v/>
      </c>
      <c r="S18" s="262" t="str">
        <f ca="1">IF(Tabulka[[#This Row],[15_vzpl]]-Tabulka[[#This Row],[14_vzsk]]=0,"",Tabulka[[#This Row],[15_vzpl]]-Tabulka[[#This Row],[14_vzsk]])</f>
        <v/>
      </c>
    </row>
    <row r="19" spans="1:19" x14ac:dyDescent="0.25">
      <c r="A19" s="261">
        <v>30</v>
      </c>
      <c r="B19" s="260" t="s">
        <v>1674</v>
      </c>
      <c r="C19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0.95000000000000007</v>
      </c>
      <c r="D1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1329.1</v>
      </c>
      <c r="H1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413</v>
      </c>
      <c r="K1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10637</v>
      </c>
      <c r="N1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10637</v>
      </c>
      <c r="O1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304256</v>
      </c>
      <c r="P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63" t="str">
        <f ca="1">IF(Tabulka[[#This Row],[15_vzpl]]=0,"",Tabulka[[#This Row],[14_vzsk]]/Tabulka[[#This Row],[15_vzpl]])</f>
        <v/>
      </c>
      <c r="S19" s="262" t="str">
        <f ca="1">IF(Tabulka[[#This Row],[15_vzpl]]-Tabulka[[#This Row],[14_vzsk]]=0,"",Tabulka[[#This Row],[15_vzpl]]-Tabulka[[#This Row],[14_vzsk]])</f>
        <v/>
      </c>
    </row>
    <row r="20" spans="1:19" x14ac:dyDescent="0.25">
      <c r="A20" s="261" t="s">
        <v>1655</v>
      </c>
      <c r="B20" s="260"/>
      <c r="C20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</v>
      </c>
      <c r="K2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12960</v>
      </c>
      <c r="P2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63" t="str">
        <f ca="1">IF(Tabulka[[#This Row],[15_vzpl]]=0,"",Tabulka[[#This Row],[14_vzsk]]/Tabulka[[#This Row],[15_vzpl]])</f>
        <v/>
      </c>
      <c r="S20" s="262" t="str">
        <f ca="1">IF(Tabulka[[#This Row],[15_vzpl]]-Tabulka[[#This Row],[14_vzsk]]=0,"",Tabulka[[#This Row],[15_vzpl]]-Tabulka[[#This Row],[14_vzsk]])</f>
        <v/>
      </c>
    </row>
    <row r="21" spans="1:19" x14ac:dyDescent="0.25">
      <c r="A21" s="261">
        <v>417</v>
      </c>
      <c r="B21" s="260" t="s">
        <v>1655</v>
      </c>
      <c r="C21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</v>
      </c>
      <c r="K2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12960</v>
      </c>
      <c r="P2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63" t="str">
        <f ca="1">IF(Tabulka[[#This Row],[15_vzpl]]=0,"",Tabulka[[#This Row],[14_vzsk]]/Tabulka[[#This Row],[15_vzpl]])</f>
        <v/>
      </c>
      <c r="S21" s="262" t="str">
        <f ca="1">IF(Tabulka[[#This Row],[15_vzpl]]-Tabulka[[#This Row],[14_vzsk]]=0,"",Tabulka[[#This Row],[15_vzpl]]-Tabulka[[#This Row],[14_vzsk]])</f>
        <v/>
      </c>
    </row>
    <row r="22" spans="1:19" x14ac:dyDescent="0.25">
      <c r="A22" t="s">
        <v>216</v>
      </c>
    </row>
    <row r="23" spans="1:19" x14ac:dyDescent="0.25">
      <c r="A23" s="98" t="s">
        <v>133</v>
      </c>
    </row>
    <row r="24" spans="1:19" x14ac:dyDescent="0.25">
      <c r="A24" s="99" t="s">
        <v>186</v>
      </c>
    </row>
    <row r="25" spans="1:19" x14ac:dyDescent="0.25">
      <c r="A25" s="253" t="s">
        <v>185</v>
      </c>
    </row>
    <row r="26" spans="1:19" x14ac:dyDescent="0.25">
      <c r="A26" s="210" t="s">
        <v>161</v>
      </c>
    </row>
    <row r="27" spans="1:19" x14ac:dyDescent="0.25">
      <c r="A27" s="212" t="s">
        <v>166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1">
    <cfRule type="cellIs" dxfId="4" priority="3" operator="lessThan">
      <formula>0</formula>
    </cfRule>
  </conditionalFormatting>
  <conditionalFormatting sqref="R6:R21">
    <cfRule type="cellIs" dxfId="3" priority="4" operator="greaterThan">
      <formula>1</formula>
    </cfRule>
  </conditionalFormatting>
  <conditionalFormatting sqref="A8:S21">
    <cfRule type="expression" dxfId="2" priority="2">
      <formula>$B8=""</formula>
    </cfRule>
  </conditionalFormatting>
  <conditionalFormatting sqref="P8:S21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EDC61133-54D4-4A78-908D-2799FA018E48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29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1665</v>
      </c>
    </row>
    <row r="2" spans="1:19" x14ac:dyDescent="0.25">
      <c r="A2" s="207" t="s">
        <v>242</v>
      </c>
    </row>
    <row r="3" spans="1:19" x14ac:dyDescent="0.25">
      <c r="A3" s="299" t="s">
        <v>138</v>
      </c>
      <c r="B3" s="298">
        <v>2020</v>
      </c>
      <c r="C3" t="s">
        <v>215</v>
      </c>
      <c r="D3" t="s">
        <v>206</v>
      </c>
      <c r="E3" t="s">
        <v>204</v>
      </c>
      <c r="F3" t="s">
        <v>203</v>
      </c>
      <c r="G3" t="s">
        <v>202</v>
      </c>
      <c r="H3" t="s">
        <v>201</v>
      </c>
      <c r="I3" t="s">
        <v>200</v>
      </c>
      <c r="J3" t="s">
        <v>199</v>
      </c>
      <c r="K3" t="s">
        <v>198</v>
      </c>
      <c r="L3" t="s">
        <v>197</v>
      </c>
      <c r="M3" t="s">
        <v>196</v>
      </c>
      <c r="N3" t="s">
        <v>195</v>
      </c>
      <c r="O3" t="s">
        <v>194</v>
      </c>
      <c r="P3" t="s">
        <v>193</v>
      </c>
      <c r="Q3" t="s">
        <v>192</v>
      </c>
      <c r="R3" t="s">
        <v>191</v>
      </c>
      <c r="S3" t="s">
        <v>190</v>
      </c>
    </row>
    <row r="4" spans="1:19" x14ac:dyDescent="0.25">
      <c r="A4" s="297" t="s">
        <v>139</v>
      </c>
      <c r="B4" s="296">
        <v>1</v>
      </c>
      <c r="C4" s="291">
        <v>1</v>
      </c>
      <c r="D4" s="291" t="s">
        <v>187</v>
      </c>
      <c r="E4" s="290">
        <v>12.1</v>
      </c>
      <c r="F4" s="290"/>
      <c r="G4" s="290"/>
      <c r="H4" s="290"/>
      <c r="I4" s="290">
        <v>2000.9</v>
      </c>
      <c r="J4" s="290"/>
      <c r="K4" s="290"/>
      <c r="L4" s="290">
        <v>83</v>
      </c>
      <c r="M4" s="290"/>
      <c r="N4" s="290"/>
      <c r="O4" s="290">
        <v>2572</v>
      </c>
      <c r="P4" s="290">
        <v>2572</v>
      </c>
      <c r="Q4" s="290">
        <v>669598</v>
      </c>
      <c r="R4" s="290"/>
      <c r="S4" s="290">
        <v>3555.7184750733136</v>
      </c>
    </row>
    <row r="5" spans="1:19" x14ac:dyDescent="0.25">
      <c r="A5" s="295" t="s">
        <v>140</v>
      </c>
      <c r="B5" s="294">
        <v>2</v>
      </c>
      <c r="C5">
        <v>1</v>
      </c>
      <c r="D5">
        <v>99</v>
      </c>
      <c r="S5">
        <v>3555.7184750733136</v>
      </c>
    </row>
    <row r="6" spans="1:19" x14ac:dyDescent="0.25">
      <c r="A6" s="297" t="s">
        <v>141</v>
      </c>
      <c r="B6" s="296">
        <v>3</v>
      </c>
      <c r="C6">
        <v>1</v>
      </c>
      <c r="D6">
        <v>102</v>
      </c>
      <c r="E6">
        <v>6.25</v>
      </c>
      <c r="I6">
        <v>1079.7</v>
      </c>
      <c r="L6">
        <v>81</v>
      </c>
      <c r="O6">
        <v>750</v>
      </c>
      <c r="P6">
        <v>750</v>
      </c>
      <c r="Q6">
        <v>296358</v>
      </c>
    </row>
    <row r="7" spans="1:19" x14ac:dyDescent="0.25">
      <c r="A7" s="295" t="s">
        <v>142</v>
      </c>
      <c r="B7" s="294">
        <v>4</v>
      </c>
      <c r="C7">
        <v>1</v>
      </c>
      <c r="D7">
        <v>103</v>
      </c>
      <c r="E7">
        <v>5.85</v>
      </c>
      <c r="I7">
        <v>921.2</v>
      </c>
      <c r="L7">
        <v>2</v>
      </c>
      <c r="O7">
        <v>1822</v>
      </c>
      <c r="P7">
        <v>1822</v>
      </c>
      <c r="Q7">
        <v>373240</v>
      </c>
    </row>
    <row r="8" spans="1:19" x14ac:dyDescent="0.25">
      <c r="A8" s="297" t="s">
        <v>143</v>
      </c>
      <c r="B8" s="296">
        <v>5</v>
      </c>
      <c r="C8">
        <v>1</v>
      </c>
      <c r="D8" t="s">
        <v>1653</v>
      </c>
      <c r="E8">
        <v>40.200000000000003</v>
      </c>
      <c r="I8">
        <v>6539.2000000000007</v>
      </c>
      <c r="O8">
        <v>22771</v>
      </c>
      <c r="P8">
        <v>22771</v>
      </c>
      <c r="Q8">
        <v>1468569</v>
      </c>
      <c r="S8">
        <v>4583.333333333333</v>
      </c>
    </row>
    <row r="9" spans="1:19" x14ac:dyDescent="0.25">
      <c r="A9" s="295" t="s">
        <v>144</v>
      </c>
      <c r="B9" s="294">
        <v>6</v>
      </c>
      <c r="C9">
        <v>1</v>
      </c>
      <c r="D9">
        <v>303</v>
      </c>
      <c r="E9">
        <v>22.6</v>
      </c>
      <c r="I9">
        <v>3761.6</v>
      </c>
      <c r="O9">
        <v>18824</v>
      </c>
      <c r="P9">
        <v>18824</v>
      </c>
      <c r="Q9">
        <v>811777</v>
      </c>
      <c r="S9">
        <v>4583.333333333333</v>
      </c>
    </row>
    <row r="10" spans="1:19" x14ac:dyDescent="0.25">
      <c r="A10" s="297" t="s">
        <v>145</v>
      </c>
      <c r="B10" s="296">
        <v>7</v>
      </c>
      <c r="C10">
        <v>1</v>
      </c>
      <c r="D10">
        <v>304</v>
      </c>
      <c r="E10">
        <v>5</v>
      </c>
      <c r="I10">
        <v>872</v>
      </c>
      <c r="O10">
        <v>665</v>
      </c>
      <c r="P10">
        <v>665</v>
      </c>
      <c r="Q10">
        <v>237606</v>
      </c>
    </row>
    <row r="11" spans="1:19" x14ac:dyDescent="0.25">
      <c r="A11" s="295" t="s">
        <v>146</v>
      </c>
      <c r="B11" s="294">
        <v>8</v>
      </c>
      <c r="C11">
        <v>1</v>
      </c>
      <c r="D11">
        <v>416</v>
      </c>
      <c r="E11">
        <v>12.600000000000001</v>
      </c>
      <c r="I11">
        <v>1905.6</v>
      </c>
      <c r="O11">
        <v>3282</v>
      </c>
      <c r="P11">
        <v>3282</v>
      </c>
      <c r="Q11">
        <v>419186</v>
      </c>
    </row>
    <row r="12" spans="1:19" x14ac:dyDescent="0.25">
      <c r="A12" s="297" t="s">
        <v>147</v>
      </c>
      <c r="B12" s="296">
        <v>9</v>
      </c>
      <c r="C12">
        <v>1</v>
      </c>
      <c r="D12" t="s">
        <v>1654</v>
      </c>
      <c r="E12">
        <v>1.95</v>
      </c>
      <c r="I12">
        <v>350.7</v>
      </c>
      <c r="L12">
        <v>45</v>
      </c>
      <c r="Q12">
        <v>54161</v>
      </c>
    </row>
    <row r="13" spans="1:19" x14ac:dyDescent="0.25">
      <c r="A13" s="295" t="s">
        <v>148</v>
      </c>
      <c r="B13" s="294">
        <v>10</v>
      </c>
      <c r="C13">
        <v>1</v>
      </c>
      <c r="D13">
        <v>25</v>
      </c>
      <c r="E13">
        <v>1</v>
      </c>
      <c r="I13">
        <v>184</v>
      </c>
      <c r="Q13">
        <v>21190</v>
      </c>
    </row>
    <row r="14" spans="1:19" x14ac:dyDescent="0.25">
      <c r="A14" s="297" t="s">
        <v>149</v>
      </c>
      <c r="B14" s="296">
        <v>11</v>
      </c>
      <c r="C14">
        <v>1</v>
      </c>
      <c r="D14">
        <v>30</v>
      </c>
      <c r="E14">
        <v>0.95</v>
      </c>
      <c r="I14">
        <v>166.7</v>
      </c>
      <c r="L14">
        <v>45</v>
      </c>
      <c r="Q14">
        <v>32971</v>
      </c>
    </row>
    <row r="15" spans="1:19" x14ac:dyDescent="0.25">
      <c r="A15" s="295" t="s">
        <v>150</v>
      </c>
      <c r="B15" s="294">
        <v>12</v>
      </c>
      <c r="C15">
        <v>1</v>
      </c>
      <c r="D15" t="s">
        <v>1655</v>
      </c>
      <c r="L15">
        <v>9.5</v>
      </c>
      <c r="Q15">
        <v>1710</v>
      </c>
    </row>
    <row r="16" spans="1:19" x14ac:dyDescent="0.25">
      <c r="A16" s="293" t="s">
        <v>138</v>
      </c>
      <c r="B16" s="292">
        <v>2020</v>
      </c>
      <c r="C16">
        <v>1</v>
      </c>
      <c r="D16">
        <v>417</v>
      </c>
      <c r="L16">
        <v>9.5</v>
      </c>
      <c r="Q16">
        <v>1710</v>
      </c>
    </row>
    <row r="17" spans="3:19" x14ac:dyDescent="0.25">
      <c r="C17" t="s">
        <v>1656</v>
      </c>
      <c r="E17">
        <v>54.250000000000007</v>
      </c>
      <c r="I17">
        <v>8890.8000000000011</v>
      </c>
      <c r="L17">
        <v>137.5</v>
      </c>
      <c r="O17">
        <v>25343</v>
      </c>
      <c r="P17">
        <v>25343</v>
      </c>
      <c r="Q17">
        <v>2194038</v>
      </c>
      <c r="S17">
        <v>8139.0518084066462</v>
      </c>
    </row>
    <row r="18" spans="3:19" x14ac:dyDescent="0.25">
      <c r="C18">
        <v>2</v>
      </c>
      <c r="D18" t="s">
        <v>187</v>
      </c>
      <c r="E18">
        <v>12.65</v>
      </c>
      <c r="I18">
        <v>1879.6999999999998</v>
      </c>
      <c r="L18">
        <v>91</v>
      </c>
      <c r="Q18">
        <v>693657</v>
      </c>
      <c r="S18">
        <v>3555.7184750733136</v>
      </c>
    </row>
    <row r="19" spans="3:19" x14ac:dyDescent="0.25">
      <c r="C19">
        <v>2</v>
      </c>
      <c r="D19">
        <v>99</v>
      </c>
      <c r="S19">
        <v>3555.7184750733136</v>
      </c>
    </row>
    <row r="20" spans="3:19" x14ac:dyDescent="0.25">
      <c r="C20">
        <v>2</v>
      </c>
      <c r="D20">
        <v>102</v>
      </c>
      <c r="E20">
        <v>7.2</v>
      </c>
      <c r="I20">
        <v>1072.0999999999999</v>
      </c>
      <c r="L20">
        <v>83</v>
      </c>
      <c r="Q20">
        <v>329726</v>
      </c>
    </row>
    <row r="21" spans="3:19" x14ac:dyDescent="0.25">
      <c r="C21">
        <v>2</v>
      </c>
      <c r="D21">
        <v>103</v>
      </c>
      <c r="E21">
        <v>5.45</v>
      </c>
      <c r="I21">
        <v>807.6</v>
      </c>
      <c r="L21">
        <v>8</v>
      </c>
      <c r="Q21">
        <v>363931</v>
      </c>
    </row>
    <row r="22" spans="3:19" x14ac:dyDescent="0.25">
      <c r="C22">
        <v>2</v>
      </c>
      <c r="D22" t="s">
        <v>1653</v>
      </c>
      <c r="E22">
        <v>40.200000000000003</v>
      </c>
      <c r="I22">
        <v>5686.4</v>
      </c>
      <c r="O22">
        <v>50294</v>
      </c>
      <c r="P22">
        <v>50294</v>
      </c>
      <c r="Q22">
        <v>1473570</v>
      </c>
      <c r="S22">
        <v>4583.333333333333</v>
      </c>
    </row>
    <row r="23" spans="3:19" x14ac:dyDescent="0.25">
      <c r="C23">
        <v>2</v>
      </c>
      <c r="D23">
        <v>303</v>
      </c>
      <c r="E23">
        <v>22.6</v>
      </c>
      <c r="I23">
        <v>3320</v>
      </c>
      <c r="O23">
        <v>38824</v>
      </c>
      <c r="P23">
        <v>38824</v>
      </c>
      <c r="Q23">
        <v>833667</v>
      </c>
      <c r="S23">
        <v>4583.333333333333</v>
      </c>
    </row>
    <row r="24" spans="3:19" x14ac:dyDescent="0.25">
      <c r="C24">
        <v>2</v>
      </c>
      <c r="D24">
        <v>304</v>
      </c>
      <c r="E24">
        <v>5</v>
      </c>
      <c r="I24">
        <v>776</v>
      </c>
      <c r="Q24">
        <v>235185</v>
      </c>
    </row>
    <row r="25" spans="3:19" x14ac:dyDescent="0.25">
      <c r="C25">
        <v>2</v>
      </c>
      <c r="D25">
        <v>416</v>
      </c>
      <c r="E25">
        <v>12.600000000000001</v>
      </c>
      <c r="I25">
        <v>1590.4</v>
      </c>
      <c r="O25">
        <v>11470</v>
      </c>
      <c r="P25">
        <v>11470</v>
      </c>
      <c r="Q25">
        <v>404718</v>
      </c>
    </row>
    <row r="26" spans="3:19" x14ac:dyDescent="0.25">
      <c r="C26">
        <v>2</v>
      </c>
      <c r="D26" t="s">
        <v>1654</v>
      </c>
      <c r="E26">
        <v>1.95</v>
      </c>
      <c r="I26">
        <v>281.60000000000002</v>
      </c>
      <c r="L26">
        <v>50</v>
      </c>
      <c r="Q26">
        <v>50573</v>
      </c>
    </row>
    <row r="27" spans="3:19" x14ac:dyDescent="0.25">
      <c r="C27">
        <v>2</v>
      </c>
      <c r="D27">
        <v>25</v>
      </c>
      <c r="E27">
        <v>1</v>
      </c>
      <c r="I27">
        <v>160</v>
      </c>
      <c r="Q27">
        <v>21190</v>
      </c>
    </row>
    <row r="28" spans="3:19" x14ac:dyDescent="0.25">
      <c r="C28">
        <v>2</v>
      </c>
      <c r="D28">
        <v>30</v>
      </c>
      <c r="E28">
        <v>0.95</v>
      </c>
      <c r="I28">
        <v>121.6</v>
      </c>
      <c r="L28">
        <v>50</v>
      </c>
      <c r="Q28">
        <v>29383</v>
      </c>
    </row>
    <row r="29" spans="3:19" x14ac:dyDescent="0.25">
      <c r="C29">
        <v>2</v>
      </c>
      <c r="D29" t="s">
        <v>1655</v>
      </c>
      <c r="L29">
        <v>7.5</v>
      </c>
      <c r="Q29">
        <v>1350</v>
      </c>
    </row>
    <row r="30" spans="3:19" x14ac:dyDescent="0.25">
      <c r="C30">
        <v>2</v>
      </c>
      <c r="D30">
        <v>417</v>
      </c>
      <c r="L30">
        <v>7.5</v>
      </c>
      <c r="Q30">
        <v>1350</v>
      </c>
    </row>
    <row r="31" spans="3:19" x14ac:dyDescent="0.25">
      <c r="C31" t="s">
        <v>1657</v>
      </c>
      <c r="E31">
        <v>54.800000000000004</v>
      </c>
      <c r="I31">
        <v>7847.7000000000007</v>
      </c>
      <c r="L31">
        <v>148.5</v>
      </c>
      <c r="O31">
        <v>50294</v>
      </c>
      <c r="P31">
        <v>50294</v>
      </c>
      <c r="Q31">
        <v>2219150</v>
      </c>
      <c r="S31">
        <v>8139.0518084066462</v>
      </c>
    </row>
    <row r="32" spans="3:19" x14ac:dyDescent="0.25">
      <c r="C32">
        <v>3</v>
      </c>
      <c r="D32" t="s">
        <v>187</v>
      </c>
      <c r="E32">
        <v>13.05</v>
      </c>
      <c r="I32">
        <v>2055.4</v>
      </c>
      <c r="L32">
        <v>74</v>
      </c>
      <c r="O32">
        <v>750</v>
      </c>
      <c r="P32">
        <v>750</v>
      </c>
      <c r="Q32">
        <v>681559</v>
      </c>
      <c r="S32">
        <v>3555.7184750733136</v>
      </c>
    </row>
    <row r="33" spans="3:19" x14ac:dyDescent="0.25">
      <c r="C33">
        <v>3</v>
      </c>
      <c r="D33">
        <v>99</v>
      </c>
      <c r="S33">
        <v>3555.7184750733136</v>
      </c>
    </row>
    <row r="34" spans="3:19" x14ac:dyDescent="0.25">
      <c r="C34">
        <v>3</v>
      </c>
      <c r="D34">
        <v>102</v>
      </c>
      <c r="E34">
        <v>7.6000000000000005</v>
      </c>
      <c r="I34">
        <v>1150.7</v>
      </c>
      <c r="L34">
        <v>71</v>
      </c>
      <c r="O34">
        <v>750</v>
      </c>
      <c r="P34">
        <v>750</v>
      </c>
      <c r="Q34">
        <v>314119</v>
      </c>
    </row>
    <row r="35" spans="3:19" x14ac:dyDescent="0.25">
      <c r="C35">
        <v>3</v>
      </c>
      <c r="D35">
        <v>103</v>
      </c>
      <c r="E35">
        <v>5.45</v>
      </c>
      <c r="I35">
        <v>904.7</v>
      </c>
      <c r="L35">
        <v>3</v>
      </c>
      <c r="Q35">
        <v>367440</v>
      </c>
    </row>
    <row r="36" spans="3:19" x14ac:dyDescent="0.25">
      <c r="C36">
        <v>3</v>
      </c>
      <c r="D36" t="s">
        <v>1653</v>
      </c>
      <c r="E36">
        <v>39.200000000000003</v>
      </c>
      <c r="I36">
        <v>5719</v>
      </c>
      <c r="O36">
        <v>10720</v>
      </c>
      <c r="P36">
        <v>10720</v>
      </c>
      <c r="Q36">
        <v>1328397</v>
      </c>
      <c r="S36">
        <v>4583.333333333333</v>
      </c>
    </row>
    <row r="37" spans="3:19" x14ac:dyDescent="0.25">
      <c r="C37">
        <v>3</v>
      </c>
      <c r="D37">
        <v>303</v>
      </c>
      <c r="E37">
        <v>21.6</v>
      </c>
      <c r="I37">
        <v>3179</v>
      </c>
      <c r="O37">
        <v>7220</v>
      </c>
      <c r="P37">
        <v>7220</v>
      </c>
      <c r="Q37">
        <v>729214</v>
      </c>
      <c r="S37">
        <v>4583.333333333333</v>
      </c>
    </row>
    <row r="38" spans="3:19" x14ac:dyDescent="0.25">
      <c r="C38">
        <v>3</v>
      </c>
      <c r="D38">
        <v>304</v>
      </c>
      <c r="E38">
        <v>5</v>
      </c>
      <c r="I38">
        <v>872</v>
      </c>
      <c r="O38">
        <v>3500</v>
      </c>
      <c r="P38">
        <v>3500</v>
      </c>
      <c r="Q38">
        <v>238783</v>
      </c>
    </row>
    <row r="39" spans="3:19" x14ac:dyDescent="0.25">
      <c r="C39">
        <v>3</v>
      </c>
      <c r="D39">
        <v>416</v>
      </c>
      <c r="E39">
        <v>12.600000000000001</v>
      </c>
      <c r="I39">
        <v>1668</v>
      </c>
      <c r="Q39">
        <v>360400</v>
      </c>
    </row>
    <row r="40" spans="3:19" x14ac:dyDescent="0.25">
      <c r="C40">
        <v>3</v>
      </c>
      <c r="D40" t="s">
        <v>1654</v>
      </c>
      <c r="E40">
        <v>1.95</v>
      </c>
      <c r="I40">
        <v>343.4</v>
      </c>
      <c r="L40">
        <v>55</v>
      </c>
      <c r="Q40">
        <v>55890</v>
      </c>
    </row>
    <row r="41" spans="3:19" x14ac:dyDescent="0.25">
      <c r="C41">
        <v>3</v>
      </c>
      <c r="D41">
        <v>25</v>
      </c>
      <c r="E41">
        <v>1</v>
      </c>
      <c r="I41">
        <v>176</v>
      </c>
      <c r="Q41">
        <v>21190</v>
      </c>
    </row>
    <row r="42" spans="3:19" x14ac:dyDescent="0.25">
      <c r="C42">
        <v>3</v>
      </c>
      <c r="D42">
        <v>30</v>
      </c>
      <c r="E42">
        <v>0.95</v>
      </c>
      <c r="I42">
        <v>167.4</v>
      </c>
      <c r="L42">
        <v>55</v>
      </c>
      <c r="Q42">
        <v>34700</v>
      </c>
    </row>
    <row r="43" spans="3:19" x14ac:dyDescent="0.25">
      <c r="C43">
        <v>3</v>
      </c>
      <c r="D43" t="s">
        <v>1655</v>
      </c>
      <c r="L43">
        <v>11</v>
      </c>
      <c r="Q43">
        <v>1980</v>
      </c>
    </row>
    <row r="44" spans="3:19" x14ac:dyDescent="0.25">
      <c r="C44">
        <v>3</v>
      </c>
      <c r="D44">
        <v>417</v>
      </c>
      <c r="L44">
        <v>11</v>
      </c>
      <c r="Q44">
        <v>1980</v>
      </c>
    </row>
    <row r="45" spans="3:19" x14ac:dyDescent="0.25">
      <c r="C45" t="s">
        <v>1658</v>
      </c>
      <c r="E45">
        <v>54.20000000000001</v>
      </c>
      <c r="I45">
        <v>8117.7999999999993</v>
      </c>
      <c r="L45">
        <v>140</v>
      </c>
      <c r="O45">
        <v>11470</v>
      </c>
      <c r="P45">
        <v>11470</v>
      </c>
      <c r="Q45">
        <v>2067826</v>
      </c>
      <c r="S45">
        <v>8139.0518084066462</v>
      </c>
    </row>
    <row r="46" spans="3:19" x14ac:dyDescent="0.25">
      <c r="C46">
        <v>4</v>
      </c>
      <c r="D46" t="s">
        <v>187</v>
      </c>
      <c r="E46">
        <v>13.05</v>
      </c>
      <c r="I46">
        <v>2165.6</v>
      </c>
      <c r="L46">
        <v>69</v>
      </c>
      <c r="Q46">
        <v>685268</v>
      </c>
      <c r="S46">
        <v>3555.7184750733136</v>
      </c>
    </row>
    <row r="47" spans="3:19" x14ac:dyDescent="0.25">
      <c r="C47">
        <v>4</v>
      </c>
      <c r="D47">
        <v>99</v>
      </c>
      <c r="S47">
        <v>3555.7184750733136</v>
      </c>
    </row>
    <row r="48" spans="3:19" x14ac:dyDescent="0.25">
      <c r="C48">
        <v>4</v>
      </c>
      <c r="D48">
        <v>102</v>
      </c>
      <c r="E48">
        <v>7.6000000000000005</v>
      </c>
      <c r="I48">
        <v>1223.5</v>
      </c>
      <c r="L48">
        <v>69</v>
      </c>
      <c r="Q48">
        <v>316843</v>
      </c>
    </row>
    <row r="49" spans="3:19" x14ac:dyDescent="0.25">
      <c r="C49">
        <v>4</v>
      </c>
      <c r="D49">
        <v>103</v>
      </c>
      <c r="E49">
        <v>5.45</v>
      </c>
      <c r="I49">
        <v>942.1</v>
      </c>
      <c r="Q49">
        <v>368425</v>
      </c>
    </row>
    <row r="50" spans="3:19" x14ac:dyDescent="0.25">
      <c r="C50">
        <v>4</v>
      </c>
      <c r="D50" t="s">
        <v>1653</v>
      </c>
      <c r="E50">
        <v>39.6</v>
      </c>
      <c r="I50">
        <v>5488</v>
      </c>
      <c r="O50">
        <v>10720</v>
      </c>
      <c r="P50">
        <v>10720</v>
      </c>
      <c r="Q50">
        <v>1271899</v>
      </c>
      <c r="S50">
        <v>4583.333333333333</v>
      </c>
    </row>
    <row r="51" spans="3:19" x14ac:dyDescent="0.25">
      <c r="C51">
        <v>4</v>
      </c>
      <c r="D51">
        <v>303</v>
      </c>
      <c r="E51">
        <v>22</v>
      </c>
      <c r="I51">
        <v>3312</v>
      </c>
      <c r="O51">
        <v>7720</v>
      </c>
      <c r="P51">
        <v>7720</v>
      </c>
      <c r="Q51">
        <v>740757</v>
      </c>
      <c r="S51">
        <v>4583.333333333333</v>
      </c>
    </row>
    <row r="52" spans="3:19" x14ac:dyDescent="0.25">
      <c r="C52">
        <v>4</v>
      </c>
      <c r="D52">
        <v>304</v>
      </c>
      <c r="E52">
        <v>5</v>
      </c>
      <c r="I52">
        <v>880</v>
      </c>
      <c r="O52">
        <v>3000</v>
      </c>
      <c r="P52">
        <v>3000</v>
      </c>
      <c r="Q52">
        <v>239380</v>
      </c>
    </row>
    <row r="53" spans="3:19" x14ac:dyDescent="0.25">
      <c r="C53">
        <v>4</v>
      </c>
      <c r="D53">
        <v>416</v>
      </c>
      <c r="E53">
        <v>12.600000000000001</v>
      </c>
      <c r="I53">
        <v>1296</v>
      </c>
      <c r="Q53">
        <v>291762</v>
      </c>
    </row>
    <row r="54" spans="3:19" x14ac:dyDescent="0.25">
      <c r="C54">
        <v>4</v>
      </c>
      <c r="D54" t="s">
        <v>1654</v>
      </c>
      <c r="E54">
        <v>1.95</v>
      </c>
      <c r="I54">
        <v>343.4</v>
      </c>
      <c r="L54">
        <v>50</v>
      </c>
      <c r="Q54">
        <v>54990</v>
      </c>
    </row>
    <row r="55" spans="3:19" x14ac:dyDescent="0.25">
      <c r="C55">
        <v>4</v>
      </c>
      <c r="D55">
        <v>25</v>
      </c>
      <c r="E55">
        <v>1</v>
      </c>
      <c r="I55">
        <v>176</v>
      </c>
      <c r="Q55">
        <v>21190</v>
      </c>
    </row>
    <row r="56" spans="3:19" x14ac:dyDescent="0.25">
      <c r="C56">
        <v>4</v>
      </c>
      <c r="D56">
        <v>30</v>
      </c>
      <c r="E56">
        <v>0.95</v>
      </c>
      <c r="I56">
        <v>167.4</v>
      </c>
      <c r="L56">
        <v>50</v>
      </c>
      <c r="Q56">
        <v>33800</v>
      </c>
    </row>
    <row r="57" spans="3:19" x14ac:dyDescent="0.25">
      <c r="C57">
        <v>4</v>
      </c>
      <c r="D57" t="s">
        <v>1655</v>
      </c>
      <c r="L57">
        <v>10</v>
      </c>
      <c r="Q57">
        <v>1800</v>
      </c>
    </row>
    <row r="58" spans="3:19" x14ac:dyDescent="0.25">
      <c r="C58">
        <v>4</v>
      </c>
      <c r="D58">
        <v>417</v>
      </c>
      <c r="L58">
        <v>10</v>
      </c>
      <c r="Q58">
        <v>1800</v>
      </c>
    </row>
    <row r="59" spans="3:19" x14ac:dyDescent="0.25">
      <c r="C59" t="s">
        <v>1659</v>
      </c>
      <c r="E59">
        <v>54.6</v>
      </c>
      <c r="I59">
        <v>7997</v>
      </c>
      <c r="L59">
        <v>129</v>
      </c>
      <c r="O59">
        <v>10720</v>
      </c>
      <c r="P59">
        <v>10720</v>
      </c>
      <c r="Q59">
        <v>2013957</v>
      </c>
      <c r="S59">
        <v>8139.0518084066462</v>
      </c>
    </row>
    <row r="60" spans="3:19" x14ac:dyDescent="0.25">
      <c r="C60">
        <v>5</v>
      </c>
      <c r="D60" t="s">
        <v>187</v>
      </c>
      <c r="E60">
        <v>13.05</v>
      </c>
      <c r="I60">
        <v>2078.7000000000003</v>
      </c>
      <c r="L60">
        <v>74</v>
      </c>
      <c r="O60">
        <v>10000</v>
      </c>
      <c r="P60">
        <v>10000</v>
      </c>
      <c r="Q60">
        <v>693717</v>
      </c>
      <c r="S60">
        <v>3555.7184750733136</v>
      </c>
    </row>
    <row r="61" spans="3:19" x14ac:dyDescent="0.25">
      <c r="C61">
        <v>5</v>
      </c>
      <c r="D61">
        <v>99</v>
      </c>
      <c r="S61">
        <v>3555.7184750733136</v>
      </c>
    </row>
    <row r="62" spans="3:19" x14ac:dyDescent="0.25">
      <c r="C62">
        <v>5</v>
      </c>
      <c r="D62">
        <v>102</v>
      </c>
      <c r="E62">
        <v>7.6000000000000005</v>
      </c>
      <c r="I62">
        <v>1177.1000000000001</v>
      </c>
      <c r="L62">
        <v>74</v>
      </c>
      <c r="Q62">
        <v>325139</v>
      </c>
    </row>
    <row r="63" spans="3:19" x14ac:dyDescent="0.25">
      <c r="C63">
        <v>5</v>
      </c>
      <c r="D63">
        <v>103</v>
      </c>
      <c r="E63">
        <v>5.45</v>
      </c>
      <c r="I63">
        <v>901.6</v>
      </c>
      <c r="O63">
        <v>10000</v>
      </c>
      <c r="P63">
        <v>10000</v>
      </c>
      <c r="Q63">
        <v>368578</v>
      </c>
    </row>
    <row r="64" spans="3:19" x14ac:dyDescent="0.25">
      <c r="C64">
        <v>5</v>
      </c>
      <c r="D64" t="s">
        <v>1653</v>
      </c>
      <c r="E64">
        <v>39.6</v>
      </c>
      <c r="I64">
        <v>5657.6</v>
      </c>
      <c r="O64">
        <v>36158</v>
      </c>
      <c r="P64">
        <v>36158</v>
      </c>
      <c r="Q64">
        <v>1350058</v>
      </c>
      <c r="S64">
        <v>4583.333333333333</v>
      </c>
    </row>
    <row r="65" spans="3:19" x14ac:dyDescent="0.25">
      <c r="C65">
        <v>5</v>
      </c>
      <c r="D65">
        <v>303</v>
      </c>
      <c r="E65">
        <v>22</v>
      </c>
      <c r="I65">
        <v>3352</v>
      </c>
      <c r="O65">
        <v>24308</v>
      </c>
      <c r="P65">
        <v>24308</v>
      </c>
      <c r="Q65">
        <v>767957</v>
      </c>
      <c r="S65">
        <v>4583.333333333333</v>
      </c>
    </row>
    <row r="66" spans="3:19" x14ac:dyDescent="0.25">
      <c r="C66">
        <v>5</v>
      </c>
      <c r="D66">
        <v>304</v>
      </c>
      <c r="E66">
        <v>5</v>
      </c>
      <c r="I66">
        <v>824</v>
      </c>
      <c r="O66">
        <v>9100</v>
      </c>
      <c r="P66">
        <v>9100</v>
      </c>
      <c r="Q66">
        <v>247051</v>
      </c>
    </row>
    <row r="67" spans="3:19" x14ac:dyDescent="0.25">
      <c r="C67">
        <v>5</v>
      </c>
      <c r="D67">
        <v>408</v>
      </c>
      <c r="O67">
        <v>2000</v>
      </c>
      <c r="P67">
        <v>2000</v>
      </c>
      <c r="Q67">
        <v>2000</v>
      </c>
    </row>
    <row r="68" spans="3:19" x14ac:dyDescent="0.25">
      <c r="C68">
        <v>5</v>
      </c>
      <c r="D68">
        <v>416</v>
      </c>
      <c r="E68">
        <v>12.600000000000001</v>
      </c>
      <c r="I68">
        <v>1481.6</v>
      </c>
      <c r="O68">
        <v>750</v>
      </c>
      <c r="P68">
        <v>750</v>
      </c>
      <c r="Q68">
        <v>333050</v>
      </c>
    </row>
    <row r="69" spans="3:19" x14ac:dyDescent="0.25">
      <c r="C69">
        <v>5</v>
      </c>
      <c r="D69" t="s">
        <v>1654</v>
      </c>
      <c r="E69">
        <v>1.95</v>
      </c>
      <c r="I69">
        <v>311.2</v>
      </c>
      <c r="L69">
        <v>47.5</v>
      </c>
      <c r="Q69">
        <v>54576</v>
      </c>
    </row>
    <row r="70" spans="3:19" x14ac:dyDescent="0.25">
      <c r="C70">
        <v>5</v>
      </c>
      <c r="D70">
        <v>25</v>
      </c>
      <c r="E70">
        <v>1</v>
      </c>
      <c r="I70">
        <v>152</v>
      </c>
      <c r="Q70">
        <v>21226</v>
      </c>
    </row>
    <row r="71" spans="3:19" x14ac:dyDescent="0.25">
      <c r="C71">
        <v>5</v>
      </c>
      <c r="D71">
        <v>30</v>
      </c>
      <c r="E71">
        <v>0.95</v>
      </c>
      <c r="I71">
        <v>159.19999999999999</v>
      </c>
      <c r="L71">
        <v>47.5</v>
      </c>
      <c r="Q71">
        <v>33350</v>
      </c>
    </row>
    <row r="72" spans="3:19" x14ac:dyDescent="0.25">
      <c r="C72">
        <v>5</v>
      </c>
      <c r="D72" t="s">
        <v>1655</v>
      </c>
      <c r="L72">
        <v>9.5</v>
      </c>
      <c r="Q72">
        <v>1710</v>
      </c>
    </row>
    <row r="73" spans="3:19" x14ac:dyDescent="0.25">
      <c r="C73">
        <v>5</v>
      </c>
      <c r="D73">
        <v>417</v>
      </c>
      <c r="L73">
        <v>9.5</v>
      </c>
      <c r="Q73">
        <v>1710</v>
      </c>
    </row>
    <row r="74" spans="3:19" x14ac:dyDescent="0.25">
      <c r="C74" t="s">
        <v>1660</v>
      </c>
      <c r="E74">
        <v>54.6</v>
      </c>
      <c r="I74">
        <v>8047.5000000000009</v>
      </c>
      <c r="L74">
        <v>131</v>
      </c>
      <c r="O74">
        <v>46158</v>
      </c>
      <c r="P74">
        <v>46158</v>
      </c>
      <c r="Q74">
        <v>2100061</v>
      </c>
      <c r="S74">
        <v>8139.0518084066462</v>
      </c>
    </row>
    <row r="75" spans="3:19" x14ac:dyDescent="0.25">
      <c r="C75">
        <v>6</v>
      </c>
      <c r="D75" t="s">
        <v>187</v>
      </c>
      <c r="E75">
        <v>13.05</v>
      </c>
      <c r="I75">
        <v>2134.5</v>
      </c>
      <c r="L75">
        <v>97</v>
      </c>
      <c r="Q75">
        <v>715060</v>
      </c>
      <c r="S75">
        <v>3555.7184750733136</v>
      </c>
    </row>
    <row r="76" spans="3:19" x14ac:dyDescent="0.25">
      <c r="C76">
        <v>6</v>
      </c>
      <c r="D76">
        <v>99</v>
      </c>
      <c r="S76">
        <v>3555.7184750733136</v>
      </c>
    </row>
    <row r="77" spans="3:19" x14ac:dyDescent="0.25">
      <c r="C77">
        <v>6</v>
      </c>
      <c r="D77">
        <v>102</v>
      </c>
      <c r="E77">
        <v>7.6000000000000005</v>
      </c>
      <c r="I77">
        <v>1207.7</v>
      </c>
      <c r="L77">
        <v>95</v>
      </c>
      <c r="Q77">
        <v>344403</v>
      </c>
    </row>
    <row r="78" spans="3:19" x14ac:dyDescent="0.25">
      <c r="C78">
        <v>6</v>
      </c>
      <c r="D78">
        <v>103</v>
      </c>
      <c r="E78">
        <v>5.45</v>
      </c>
      <c r="I78">
        <v>926.8</v>
      </c>
      <c r="L78">
        <v>2</v>
      </c>
      <c r="Q78">
        <v>370657</v>
      </c>
    </row>
    <row r="79" spans="3:19" x14ac:dyDescent="0.25">
      <c r="C79">
        <v>6</v>
      </c>
      <c r="D79" t="s">
        <v>1653</v>
      </c>
      <c r="E79">
        <v>39.6</v>
      </c>
      <c r="I79">
        <v>5806</v>
      </c>
      <c r="O79">
        <v>35408</v>
      </c>
      <c r="P79">
        <v>35408</v>
      </c>
      <c r="Q79">
        <v>1413432</v>
      </c>
      <c r="S79">
        <v>4583.333333333333</v>
      </c>
    </row>
    <row r="80" spans="3:19" x14ac:dyDescent="0.25">
      <c r="C80">
        <v>6</v>
      </c>
      <c r="D80">
        <v>303</v>
      </c>
      <c r="E80">
        <v>22</v>
      </c>
      <c r="I80">
        <v>3248</v>
      </c>
      <c r="O80">
        <v>11928</v>
      </c>
      <c r="P80">
        <v>11928</v>
      </c>
      <c r="Q80">
        <v>757414</v>
      </c>
      <c r="S80">
        <v>4583.333333333333</v>
      </c>
    </row>
    <row r="81" spans="3:19" x14ac:dyDescent="0.25">
      <c r="C81">
        <v>6</v>
      </c>
      <c r="D81">
        <v>304</v>
      </c>
      <c r="E81">
        <v>5</v>
      </c>
      <c r="I81">
        <v>872</v>
      </c>
      <c r="Q81">
        <v>237890</v>
      </c>
    </row>
    <row r="82" spans="3:19" x14ac:dyDescent="0.25">
      <c r="C82">
        <v>6</v>
      </c>
      <c r="D82">
        <v>408</v>
      </c>
      <c r="O82">
        <v>2400</v>
      </c>
      <c r="P82">
        <v>2400</v>
      </c>
      <c r="Q82">
        <v>2400</v>
      </c>
    </row>
    <row r="83" spans="3:19" x14ac:dyDescent="0.25">
      <c r="C83">
        <v>6</v>
      </c>
      <c r="D83">
        <v>416</v>
      </c>
      <c r="E83">
        <v>12.600000000000001</v>
      </c>
      <c r="I83">
        <v>1686</v>
      </c>
      <c r="O83">
        <v>21080</v>
      </c>
      <c r="P83">
        <v>21080</v>
      </c>
      <c r="Q83">
        <v>415728</v>
      </c>
    </row>
    <row r="84" spans="3:19" x14ac:dyDescent="0.25">
      <c r="C84">
        <v>6</v>
      </c>
      <c r="D84" t="s">
        <v>1654</v>
      </c>
      <c r="E84">
        <v>1.95</v>
      </c>
      <c r="I84">
        <v>330.6</v>
      </c>
      <c r="L84">
        <v>54</v>
      </c>
      <c r="Q84">
        <v>55819</v>
      </c>
    </row>
    <row r="85" spans="3:19" x14ac:dyDescent="0.25">
      <c r="C85">
        <v>6</v>
      </c>
      <c r="D85">
        <v>25</v>
      </c>
      <c r="E85">
        <v>1</v>
      </c>
      <c r="I85">
        <v>168</v>
      </c>
      <c r="Q85">
        <v>21254</v>
      </c>
    </row>
    <row r="86" spans="3:19" x14ac:dyDescent="0.25">
      <c r="C86">
        <v>6</v>
      </c>
      <c r="D86">
        <v>30</v>
      </c>
      <c r="E86">
        <v>0.95</v>
      </c>
      <c r="I86">
        <v>162.6</v>
      </c>
      <c r="L86">
        <v>54</v>
      </c>
      <c r="Q86">
        <v>34565</v>
      </c>
    </row>
    <row r="87" spans="3:19" x14ac:dyDescent="0.25">
      <c r="C87">
        <v>6</v>
      </c>
      <c r="D87" t="s">
        <v>1655</v>
      </c>
      <c r="L87">
        <v>11</v>
      </c>
      <c r="Q87">
        <v>1980</v>
      </c>
    </row>
    <row r="88" spans="3:19" x14ac:dyDescent="0.25">
      <c r="C88">
        <v>6</v>
      </c>
      <c r="D88">
        <v>417</v>
      </c>
      <c r="L88">
        <v>11</v>
      </c>
      <c r="Q88">
        <v>1980</v>
      </c>
    </row>
    <row r="89" spans="3:19" x14ac:dyDescent="0.25">
      <c r="C89" t="s">
        <v>1661</v>
      </c>
      <c r="E89">
        <v>54.6</v>
      </c>
      <c r="I89">
        <v>8271.1</v>
      </c>
      <c r="L89">
        <v>162</v>
      </c>
      <c r="O89">
        <v>35408</v>
      </c>
      <c r="P89">
        <v>35408</v>
      </c>
      <c r="Q89">
        <v>2186291</v>
      </c>
      <c r="S89">
        <v>8139.0518084066462</v>
      </c>
    </row>
    <row r="90" spans="3:19" x14ac:dyDescent="0.25">
      <c r="C90">
        <v>7</v>
      </c>
      <c r="D90" t="s">
        <v>187</v>
      </c>
      <c r="E90">
        <v>12.65</v>
      </c>
      <c r="I90">
        <v>1633.1</v>
      </c>
      <c r="L90">
        <v>60.5</v>
      </c>
      <c r="O90">
        <v>307787</v>
      </c>
      <c r="P90">
        <v>307787</v>
      </c>
      <c r="Q90">
        <v>1046280</v>
      </c>
      <c r="S90">
        <v>3555.7184750733136</v>
      </c>
    </row>
    <row r="91" spans="3:19" x14ac:dyDescent="0.25">
      <c r="C91">
        <v>7</v>
      </c>
      <c r="D91">
        <v>99</v>
      </c>
      <c r="S91">
        <v>3555.7184750733136</v>
      </c>
    </row>
    <row r="92" spans="3:19" x14ac:dyDescent="0.25">
      <c r="C92">
        <v>7</v>
      </c>
      <c r="D92">
        <v>102</v>
      </c>
      <c r="E92">
        <v>6.9</v>
      </c>
      <c r="I92">
        <v>1023.7</v>
      </c>
      <c r="L92">
        <v>58.5</v>
      </c>
      <c r="O92">
        <v>166771</v>
      </c>
      <c r="P92">
        <v>166771</v>
      </c>
      <c r="Q92">
        <v>482339</v>
      </c>
    </row>
    <row r="93" spans="3:19" x14ac:dyDescent="0.25">
      <c r="C93">
        <v>7</v>
      </c>
      <c r="D93">
        <v>103</v>
      </c>
      <c r="E93">
        <v>5.75</v>
      </c>
      <c r="I93">
        <v>609.4</v>
      </c>
      <c r="L93">
        <v>2</v>
      </c>
      <c r="O93">
        <v>141016</v>
      </c>
      <c r="P93">
        <v>141016</v>
      </c>
      <c r="Q93">
        <v>563941</v>
      </c>
    </row>
    <row r="94" spans="3:19" x14ac:dyDescent="0.25">
      <c r="C94">
        <v>7</v>
      </c>
      <c r="D94" t="s">
        <v>1653</v>
      </c>
      <c r="E94">
        <v>39</v>
      </c>
      <c r="I94">
        <v>4968.8</v>
      </c>
      <c r="O94">
        <v>530935</v>
      </c>
      <c r="P94">
        <v>530935</v>
      </c>
      <c r="Q94">
        <v>2006358</v>
      </c>
      <c r="S94">
        <v>4583.333333333333</v>
      </c>
    </row>
    <row r="95" spans="3:19" x14ac:dyDescent="0.25">
      <c r="C95">
        <v>7</v>
      </c>
      <c r="D95">
        <v>303</v>
      </c>
      <c r="E95">
        <v>22.4</v>
      </c>
      <c r="I95">
        <v>2809.6</v>
      </c>
      <c r="O95">
        <v>305675</v>
      </c>
      <c r="P95">
        <v>305675</v>
      </c>
      <c r="Q95">
        <v>1115452</v>
      </c>
      <c r="S95">
        <v>4583.333333333333</v>
      </c>
    </row>
    <row r="96" spans="3:19" x14ac:dyDescent="0.25">
      <c r="C96">
        <v>7</v>
      </c>
      <c r="D96">
        <v>304</v>
      </c>
      <c r="E96">
        <v>5</v>
      </c>
      <c r="I96">
        <v>680</v>
      </c>
      <c r="O96">
        <v>96532</v>
      </c>
      <c r="P96">
        <v>96532</v>
      </c>
      <c r="Q96">
        <v>338801</v>
      </c>
    </row>
    <row r="97" spans="3:19" x14ac:dyDescent="0.25">
      <c r="C97">
        <v>7</v>
      </c>
      <c r="D97">
        <v>416</v>
      </c>
      <c r="E97">
        <v>11.6</v>
      </c>
      <c r="I97">
        <v>1479.2</v>
      </c>
      <c r="O97">
        <v>128728</v>
      </c>
      <c r="P97">
        <v>128728</v>
      </c>
      <c r="Q97">
        <v>552105</v>
      </c>
    </row>
    <row r="98" spans="3:19" x14ac:dyDescent="0.25">
      <c r="C98">
        <v>7</v>
      </c>
      <c r="D98" t="s">
        <v>1654</v>
      </c>
      <c r="E98">
        <v>1.95</v>
      </c>
      <c r="I98">
        <v>218.3</v>
      </c>
      <c r="L98">
        <v>31.5</v>
      </c>
      <c r="O98">
        <v>15510</v>
      </c>
      <c r="P98">
        <v>15510</v>
      </c>
      <c r="Q98">
        <v>68244</v>
      </c>
    </row>
    <row r="99" spans="3:19" x14ac:dyDescent="0.25">
      <c r="C99">
        <v>7</v>
      </c>
      <c r="D99">
        <v>25</v>
      </c>
      <c r="E99">
        <v>1</v>
      </c>
      <c r="I99">
        <v>112</v>
      </c>
      <c r="O99">
        <v>4873</v>
      </c>
      <c r="P99">
        <v>4873</v>
      </c>
      <c r="Q99">
        <v>26567</v>
      </c>
    </row>
    <row r="100" spans="3:19" x14ac:dyDescent="0.25">
      <c r="C100">
        <v>7</v>
      </c>
      <c r="D100">
        <v>30</v>
      </c>
      <c r="E100">
        <v>0.95</v>
      </c>
      <c r="I100">
        <v>106.3</v>
      </c>
      <c r="L100">
        <v>31.5</v>
      </c>
      <c r="O100">
        <v>10637</v>
      </c>
      <c r="P100">
        <v>10637</v>
      </c>
      <c r="Q100">
        <v>41677</v>
      </c>
    </row>
    <row r="101" spans="3:19" x14ac:dyDescent="0.25">
      <c r="C101">
        <v>7</v>
      </c>
      <c r="D101" t="s">
        <v>1655</v>
      </c>
      <c r="L101">
        <v>2.5</v>
      </c>
      <c r="Q101">
        <v>450</v>
      </c>
    </row>
    <row r="102" spans="3:19" x14ac:dyDescent="0.25">
      <c r="C102">
        <v>7</v>
      </c>
      <c r="D102">
        <v>417</v>
      </c>
      <c r="L102">
        <v>2.5</v>
      </c>
      <c r="Q102">
        <v>450</v>
      </c>
    </row>
    <row r="103" spans="3:19" x14ac:dyDescent="0.25">
      <c r="C103" t="s">
        <v>1662</v>
      </c>
      <c r="E103">
        <v>53.6</v>
      </c>
      <c r="I103">
        <v>6820.2</v>
      </c>
      <c r="L103">
        <v>94.5</v>
      </c>
      <c r="O103">
        <v>854232</v>
      </c>
      <c r="P103">
        <v>854232</v>
      </c>
      <c r="Q103">
        <v>3121332</v>
      </c>
      <c r="S103">
        <v>8139.0518084066462</v>
      </c>
    </row>
    <row r="104" spans="3:19" x14ac:dyDescent="0.25">
      <c r="C104">
        <v>8</v>
      </c>
      <c r="D104" t="s">
        <v>187</v>
      </c>
      <c r="E104">
        <v>12.65</v>
      </c>
      <c r="I104">
        <v>1575.3000000000002</v>
      </c>
      <c r="L104">
        <v>56</v>
      </c>
      <c r="O104">
        <v>25957</v>
      </c>
      <c r="P104">
        <v>25957</v>
      </c>
      <c r="Q104">
        <v>686259</v>
      </c>
      <c r="S104">
        <v>3555.7184750733136</v>
      </c>
    </row>
    <row r="105" spans="3:19" x14ac:dyDescent="0.25">
      <c r="C105">
        <v>8</v>
      </c>
      <c r="D105">
        <v>99</v>
      </c>
      <c r="S105">
        <v>3555.7184750733136</v>
      </c>
    </row>
    <row r="106" spans="3:19" x14ac:dyDescent="0.25">
      <c r="C106">
        <v>8</v>
      </c>
      <c r="D106">
        <v>102</v>
      </c>
      <c r="E106">
        <v>6.9</v>
      </c>
      <c r="I106">
        <v>916.6</v>
      </c>
      <c r="L106">
        <v>56</v>
      </c>
      <c r="O106">
        <v>3269</v>
      </c>
      <c r="P106">
        <v>3269</v>
      </c>
      <c r="Q106">
        <v>326742</v>
      </c>
    </row>
    <row r="107" spans="3:19" x14ac:dyDescent="0.25">
      <c r="C107">
        <v>8</v>
      </c>
      <c r="D107">
        <v>103</v>
      </c>
      <c r="E107">
        <v>5.75</v>
      </c>
      <c r="I107">
        <v>658.7</v>
      </c>
      <c r="O107">
        <v>22688</v>
      </c>
      <c r="P107">
        <v>22688</v>
      </c>
      <c r="Q107">
        <v>359517</v>
      </c>
    </row>
    <row r="108" spans="3:19" x14ac:dyDescent="0.25">
      <c r="C108">
        <v>8</v>
      </c>
      <c r="D108" t="s">
        <v>1653</v>
      </c>
      <c r="E108">
        <v>38</v>
      </c>
      <c r="I108">
        <v>4127.2</v>
      </c>
      <c r="O108">
        <v>2391</v>
      </c>
      <c r="P108">
        <v>2391</v>
      </c>
      <c r="Q108">
        <v>1452161</v>
      </c>
      <c r="S108">
        <v>4583.333333333333</v>
      </c>
    </row>
    <row r="109" spans="3:19" x14ac:dyDescent="0.25">
      <c r="C109">
        <v>8</v>
      </c>
      <c r="D109">
        <v>303</v>
      </c>
      <c r="E109">
        <v>22.4</v>
      </c>
      <c r="I109">
        <v>2400</v>
      </c>
      <c r="Q109">
        <v>812825</v>
      </c>
      <c r="S109">
        <v>4583.333333333333</v>
      </c>
    </row>
    <row r="110" spans="3:19" x14ac:dyDescent="0.25">
      <c r="C110">
        <v>8</v>
      </c>
      <c r="D110">
        <v>304</v>
      </c>
      <c r="E110">
        <v>5</v>
      </c>
      <c r="I110">
        <v>560</v>
      </c>
      <c r="Q110">
        <v>236665</v>
      </c>
    </row>
    <row r="111" spans="3:19" x14ac:dyDescent="0.25">
      <c r="C111">
        <v>8</v>
      </c>
      <c r="D111">
        <v>416</v>
      </c>
      <c r="E111">
        <v>10.6</v>
      </c>
      <c r="I111">
        <v>1167.2</v>
      </c>
      <c r="O111">
        <v>2391</v>
      </c>
      <c r="P111">
        <v>2391</v>
      </c>
      <c r="Q111">
        <v>402671</v>
      </c>
    </row>
    <row r="112" spans="3:19" x14ac:dyDescent="0.25">
      <c r="C112">
        <v>8</v>
      </c>
      <c r="D112" t="s">
        <v>1654</v>
      </c>
      <c r="E112">
        <v>1.95</v>
      </c>
      <c r="I112">
        <v>243.3</v>
      </c>
      <c r="L112">
        <v>27.5</v>
      </c>
      <c r="Q112">
        <v>50578</v>
      </c>
    </row>
    <row r="113" spans="3:19" x14ac:dyDescent="0.25">
      <c r="C113">
        <v>8</v>
      </c>
      <c r="D113">
        <v>25</v>
      </c>
      <c r="E113">
        <v>1</v>
      </c>
      <c r="I113">
        <v>128</v>
      </c>
      <c r="Q113">
        <v>21031</v>
      </c>
    </row>
    <row r="114" spans="3:19" x14ac:dyDescent="0.25">
      <c r="C114">
        <v>8</v>
      </c>
      <c r="D114">
        <v>30</v>
      </c>
      <c r="E114">
        <v>0.95</v>
      </c>
      <c r="I114">
        <v>115.3</v>
      </c>
      <c r="L114">
        <v>27.5</v>
      </c>
      <c r="Q114">
        <v>29547</v>
      </c>
    </row>
    <row r="115" spans="3:19" x14ac:dyDescent="0.25">
      <c r="C115" t="s">
        <v>1663</v>
      </c>
      <c r="E115">
        <v>52.6</v>
      </c>
      <c r="I115">
        <v>5945.8</v>
      </c>
      <c r="L115">
        <v>83.5</v>
      </c>
      <c r="O115">
        <v>28348</v>
      </c>
      <c r="P115">
        <v>28348</v>
      </c>
      <c r="Q115">
        <v>2188998</v>
      </c>
      <c r="S115">
        <v>8139.0518084066462</v>
      </c>
    </row>
    <row r="116" spans="3:19" x14ac:dyDescent="0.25">
      <c r="C116">
        <v>9</v>
      </c>
      <c r="D116" t="s">
        <v>187</v>
      </c>
      <c r="E116">
        <v>12.65</v>
      </c>
      <c r="I116">
        <v>2055.8000000000002</v>
      </c>
      <c r="L116">
        <v>77</v>
      </c>
      <c r="O116">
        <v>750</v>
      </c>
      <c r="P116">
        <v>750</v>
      </c>
      <c r="Q116">
        <v>671301</v>
      </c>
      <c r="S116">
        <v>3555.7184750733136</v>
      </c>
    </row>
    <row r="117" spans="3:19" x14ac:dyDescent="0.25">
      <c r="C117">
        <v>9</v>
      </c>
      <c r="D117">
        <v>99</v>
      </c>
      <c r="S117">
        <v>3555.7184750733136</v>
      </c>
    </row>
    <row r="118" spans="3:19" x14ac:dyDescent="0.25">
      <c r="C118">
        <v>9</v>
      </c>
      <c r="D118">
        <v>102</v>
      </c>
      <c r="E118">
        <v>6.9</v>
      </c>
      <c r="I118">
        <v>1116.8</v>
      </c>
      <c r="L118">
        <v>75</v>
      </c>
      <c r="O118">
        <v>750</v>
      </c>
      <c r="P118">
        <v>750</v>
      </c>
      <c r="Q118">
        <v>312584</v>
      </c>
    </row>
    <row r="119" spans="3:19" x14ac:dyDescent="0.25">
      <c r="C119">
        <v>9</v>
      </c>
      <c r="D119">
        <v>103</v>
      </c>
      <c r="E119">
        <v>5.75</v>
      </c>
      <c r="I119">
        <v>939</v>
      </c>
      <c r="L119">
        <v>2</v>
      </c>
      <c r="Q119">
        <v>358717</v>
      </c>
    </row>
    <row r="120" spans="3:19" x14ac:dyDescent="0.25">
      <c r="C120">
        <v>9</v>
      </c>
      <c r="D120" t="s">
        <v>1653</v>
      </c>
      <c r="E120">
        <v>38.599999999999994</v>
      </c>
      <c r="I120">
        <v>6096.7999999999993</v>
      </c>
      <c r="O120">
        <v>15000</v>
      </c>
      <c r="P120">
        <v>15000</v>
      </c>
      <c r="Q120">
        <v>1442934</v>
      </c>
      <c r="S120">
        <v>4583.333333333333</v>
      </c>
    </row>
    <row r="121" spans="3:19" x14ac:dyDescent="0.25">
      <c r="C121">
        <v>9</v>
      </c>
      <c r="D121">
        <v>303</v>
      </c>
      <c r="E121">
        <v>22.4</v>
      </c>
      <c r="I121">
        <v>3538.4</v>
      </c>
      <c r="Q121">
        <v>799148</v>
      </c>
      <c r="S121">
        <v>4583.333333333333</v>
      </c>
    </row>
    <row r="122" spans="3:19" x14ac:dyDescent="0.25">
      <c r="C122">
        <v>9</v>
      </c>
      <c r="D122">
        <v>304</v>
      </c>
      <c r="E122">
        <v>5</v>
      </c>
      <c r="I122">
        <v>784</v>
      </c>
      <c r="O122">
        <v>15000</v>
      </c>
      <c r="P122">
        <v>15000</v>
      </c>
      <c r="Q122">
        <v>239326</v>
      </c>
    </row>
    <row r="123" spans="3:19" x14ac:dyDescent="0.25">
      <c r="C123">
        <v>9</v>
      </c>
      <c r="D123">
        <v>416</v>
      </c>
      <c r="E123">
        <v>11.2</v>
      </c>
      <c r="I123">
        <v>1774.4</v>
      </c>
      <c r="Q123">
        <v>404460</v>
      </c>
    </row>
    <row r="124" spans="3:19" x14ac:dyDescent="0.25">
      <c r="C124">
        <v>9</v>
      </c>
      <c r="D124" t="s">
        <v>1654</v>
      </c>
      <c r="E124">
        <v>1.95</v>
      </c>
      <c r="I124">
        <v>338.6</v>
      </c>
      <c r="L124">
        <v>52.5</v>
      </c>
      <c r="Q124">
        <v>55453</v>
      </c>
    </row>
    <row r="125" spans="3:19" x14ac:dyDescent="0.25">
      <c r="C125">
        <v>9</v>
      </c>
      <c r="D125">
        <v>25</v>
      </c>
      <c r="E125">
        <v>1</v>
      </c>
      <c r="I125">
        <v>176</v>
      </c>
      <c r="Q125">
        <v>21190</v>
      </c>
    </row>
    <row r="126" spans="3:19" x14ac:dyDescent="0.25">
      <c r="C126">
        <v>9</v>
      </c>
      <c r="D126">
        <v>30</v>
      </c>
      <c r="E126">
        <v>0.95</v>
      </c>
      <c r="I126">
        <v>162.6</v>
      </c>
      <c r="L126">
        <v>52.5</v>
      </c>
      <c r="Q126">
        <v>34263</v>
      </c>
    </row>
    <row r="127" spans="3:19" x14ac:dyDescent="0.25">
      <c r="C127">
        <v>9</v>
      </c>
      <c r="D127" t="s">
        <v>1655</v>
      </c>
      <c r="L127">
        <v>11</v>
      </c>
      <c r="Q127">
        <v>1980</v>
      </c>
    </row>
    <row r="128" spans="3:19" x14ac:dyDescent="0.25">
      <c r="C128">
        <v>9</v>
      </c>
      <c r="D128">
        <v>417</v>
      </c>
      <c r="L128">
        <v>11</v>
      </c>
      <c r="Q128">
        <v>1980</v>
      </c>
    </row>
    <row r="129" spans="3:19" x14ac:dyDescent="0.25">
      <c r="C129" t="s">
        <v>1664</v>
      </c>
      <c r="E129">
        <v>53.2</v>
      </c>
      <c r="I129">
        <v>8491.2000000000007</v>
      </c>
      <c r="L129">
        <v>140.5</v>
      </c>
      <c r="O129">
        <v>15750</v>
      </c>
      <c r="P129">
        <v>15750</v>
      </c>
      <c r="Q129">
        <v>2171668</v>
      </c>
      <c r="S129">
        <v>8139.0518084066462</v>
      </c>
    </row>
  </sheetData>
  <hyperlinks>
    <hyperlink ref="A2" location="Obsah!A1" display="Zpět na Obsah  KL 01  1.-4.měsíc" xr:uid="{FBCC1870-3D04-4EED-BF58-127143F990E3}"/>
  </hyperlinks>
  <pageMargins left="0.7" right="0.7" top="0.78740157499999996" bottom="0.78740157499999996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23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14" customWidth="1" collapsed="1"/>
    <col min="2" max="2" width="7.7109375" style="91" hidden="1" customWidth="1" outlineLevel="1"/>
    <col min="3" max="4" width="5.42578125" style="114" hidden="1" customWidth="1"/>
    <col min="5" max="5" width="7.7109375" style="91" customWidth="1"/>
    <col min="6" max="6" width="7.7109375" style="91" hidden="1" customWidth="1"/>
    <col min="7" max="7" width="5.42578125" style="114" hidden="1" customWidth="1"/>
    <col min="8" max="8" width="7.7109375" style="91" customWidth="1" collapsed="1"/>
    <col min="9" max="9" width="7.7109375" style="192" hidden="1" customWidth="1" outlineLevel="1"/>
    <col min="10" max="10" width="7.7109375" style="192" customWidth="1" collapsed="1"/>
    <col min="11" max="12" width="7.7109375" style="91" hidden="1" customWidth="1"/>
    <col min="13" max="13" width="5.42578125" style="114" hidden="1" customWidth="1"/>
    <col min="14" max="14" width="7.7109375" style="91" customWidth="1"/>
    <col min="15" max="15" width="7.7109375" style="91" hidden="1" customWidth="1"/>
    <col min="16" max="16" width="5.42578125" style="114" hidden="1" customWidth="1"/>
    <col min="17" max="17" width="7.7109375" style="91" customWidth="1" collapsed="1"/>
    <col min="18" max="18" width="7.7109375" style="192" hidden="1" customWidth="1" outlineLevel="1"/>
    <col min="19" max="19" width="7.7109375" style="192" customWidth="1" collapsed="1"/>
    <col min="20" max="21" width="7.7109375" style="91" hidden="1" customWidth="1"/>
    <col min="22" max="22" width="5" style="114" hidden="1" customWidth="1"/>
    <col min="23" max="23" width="7.7109375" style="91" customWidth="1"/>
    <col min="24" max="24" width="7.7109375" style="91" hidden="1" customWidth="1"/>
    <col min="25" max="25" width="5" style="114" hidden="1" customWidth="1"/>
    <col min="26" max="26" width="7.7109375" style="91" customWidth="1" collapsed="1"/>
    <col min="27" max="27" width="7.7109375" style="192" hidden="1" customWidth="1" outlineLevel="1"/>
    <col min="28" max="28" width="7.7109375" style="192" customWidth="1" collapsed="1"/>
    <col min="29" max="16384" width="8.85546875" style="114"/>
  </cols>
  <sheetData>
    <row r="1" spans="1:28" ht="18.600000000000001" customHeight="1" thickBot="1" x14ac:dyDescent="0.35">
      <c r="A1" s="398" t="s">
        <v>1678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Z1" s="304"/>
      <c r="AA1" s="304"/>
      <c r="AB1" s="304"/>
    </row>
    <row r="2" spans="1:28" ht="14.45" customHeight="1" thickBot="1" x14ac:dyDescent="0.25">
      <c r="A2" s="207" t="s">
        <v>242</v>
      </c>
      <c r="B2" s="96"/>
      <c r="C2" s="96"/>
      <c r="D2" s="96"/>
      <c r="E2" s="96"/>
      <c r="F2" s="96"/>
      <c r="G2" s="96"/>
      <c r="H2" s="96"/>
      <c r="I2" s="204"/>
      <c r="J2" s="204"/>
      <c r="K2" s="96"/>
      <c r="L2" s="96"/>
      <c r="M2" s="96"/>
      <c r="N2" s="96"/>
      <c r="O2" s="96"/>
      <c r="P2" s="96"/>
      <c r="Q2" s="96"/>
      <c r="R2" s="204"/>
      <c r="S2" s="204"/>
      <c r="T2" s="96"/>
      <c r="U2" s="96"/>
      <c r="V2" s="96"/>
      <c r="W2" s="96"/>
      <c r="X2" s="96"/>
      <c r="Y2" s="96"/>
      <c r="Z2" s="96"/>
      <c r="AA2" s="204"/>
      <c r="AB2" s="204"/>
    </row>
    <row r="3" spans="1:28" ht="14.45" customHeight="1" thickBot="1" x14ac:dyDescent="0.25">
      <c r="A3" s="198" t="s">
        <v>107</v>
      </c>
      <c r="B3" s="199">
        <f>SUBTOTAL(9,B6:B1048576)/4</f>
        <v>13639178.869999999</v>
      </c>
      <c r="C3" s="200">
        <f t="shared" ref="C3:Z3" si="0">SUBTOTAL(9,C6:C1048576)</f>
        <v>13</v>
      </c>
      <c r="D3" s="200"/>
      <c r="E3" s="200">
        <f>SUBTOTAL(9,E6:E1048576)/4</f>
        <v>13151187.670000004</v>
      </c>
      <c r="F3" s="200"/>
      <c r="G3" s="200">
        <f t="shared" si="0"/>
        <v>13</v>
      </c>
      <c r="H3" s="200">
        <f>SUBTOTAL(9,H6:H1048576)/4</f>
        <v>14581292.109999996</v>
      </c>
      <c r="I3" s="203">
        <f>IF(B3&lt;&gt;0,H3/B3,"")</f>
        <v>1.069074043898069</v>
      </c>
      <c r="J3" s="201">
        <f>IF(E3&lt;&gt;0,H3/E3,"")</f>
        <v>1.1087433679668561</v>
      </c>
      <c r="K3" s="202">
        <f t="shared" si="0"/>
        <v>3144400</v>
      </c>
      <c r="L3" s="202"/>
      <c r="M3" s="200">
        <f t="shared" si="0"/>
        <v>3.1903883360600123</v>
      </c>
      <c r="N3" s="200">
        <f t="shared" si="0"/>
        <v>2984213.08</v>
      </c>
      <c r="O3" s="200"/>
      <c r="P3" s="200">
        <f t="shared" si="0"/>
        <v>3</v>
      </c>
      <c r="Q3" s="200">
        <f t="shared" si="0"/>
        <v>2668692</v>
      </c>
      <c r="R3" s="203">
        <f>IF(K3&lt;&gt;0,Q3/K3,"")</f>
        <v>0.84871263198066405</v>
      </c>
      <c r="S3" s="203">
        <f>IF(N3&lt;&gt;0,Q3/N3,"")</f>
        <v>0.89426992257536786</v>
      </c>
      <c r="T3" s="199">
        <f t="shared" si="0"/>
        <v>0</v>
      </c>
      <c r="U3" s="202"/>
      <c r="V3" s="200">
        <f t="shared" si="0"/>
        <v>0</v>
      </c>
      <c r="W3" s="200">
        <f t="shared" si="0"/>
        <v>0</v>
      </c>
      <c r="X3" s="200"/>
      <c r="Y3" s="200">
        <f t="shared" si="0"/>
        <v>0</v>
      </c>
      <c r="Z3" s="200">
        <f t="shared" si="0"/>
        <v>0</v>
      </c>
      <c r="AA3" s="203" t="str">
        <f>IF(T3&lt;&gt;0,Z3/T3,"")</f>
        <v/>
      </c>
      <c r="AB3" s="201" t="str">
        <f>IF(W3&lt;&gt;0,Z3/W3,"")</f>
        <v/>
      </c>
    </row>
    <row r="4" spans="1:28" ht="14.45" customHeight="1" x14ac:dyDescent="0.2">
      <c r="A4" s="399" t="s">
        <v>182</v>
      </c>
      <c r="B4" s="400" t="s">
        <v>84</v>
      </c>
      <c r="C4" s="401"/>
      <c r="D4" s="402"/>
      <c r="E4" s="401"/>
      <c r="F4" s="402"/>
      <c r="G4" s="401"/>
      <c r="H4" s="401"/>
      <c r="I4" s="402"/>
      <c r="J4" s="403"/>
      <c r="K4" s="400" t="s">
        <v>85</v>
      </c>
      <c r="L4" s="402"/>
      <c r="M4" s="401"/>
      <c r="N4" s="401"/>
      <c r="O4" s="402"/>
      <c r="P4" s="401"/>
      <c r="Q4" s="401"/>
      <c r="R4" s="402"/>
      <c r="S4" s="403"/>
      <c r="T4" s="400" t="s">
        <v>86</v>
      </c>
      <c r="U4" s="402"/>
      <c r="V4" s="401"/>
      <c r="W4" s="401"/>
      <c r="X4" s="402"/>
      <c r="Y4" s="401"/>
      <c r="Z4" s="401"/>
      <c r="AA4" s="402"/>
      <c r="AB4" s="403"/>
    </row>
    <row r="5" spans="1:28" ht="14.45" customHeight="1" thickBot="1" x14ac:dyDescent="0.25">
      <c r="A5" s="495"/>
      <c r="B5" s="496">
        <v>2018</v>
      </c>
      <c r="C5" s="497"/>
      <c r="D5" s="497"/>
      <c r="E5" s="497">
        <v>2019</v>
      </c>
      <c r="F5" s="497"/>
      <c r="G5" s="497"/>
      <c r="H5" s="497">
        <v>2020</v>
      </c>
      <c r="I5" s="498" t="s">
        <v>241</v>
      </c>
      <c r="J5" s="499" t="s">
        <v>2</v>
      </c>
      <c r="K5" s="496">
        <v>2015</v>
      </c>
      <c r="L5" s="497"/>
      <c r="M5" s="497"/>
      <c r="N5" s="497">
        <v>2019</v>
      </c>
      <c r="O5" s="497"/>
      <c r="P5" s="497"/>
      <c r="Q5" s="497">
        <v>2020</v>
      </c>
      <c r="R5" s="498" t="s">
        <v>241</v>
      </c>
      <c r="S5" s="499" t="s">
        <v>2</v>
      </c>
      <c r="T5" s="496">
        <v>2015</v>
      </c>
      <c r="U5" s="497"/>
      <c r="V5" s="497"/>
      <c r="W5" s="497">
        <v>2019</v>
      </c>
      <c r="X5" s="497"/>
      <c r="Y5" s="497"/>
      <c r="Z5" s="497">
        <v>2020</v>
      </c>
      <c r="AA5" s="498" t="s">
        <v>241</v>
      </c>
      <c r="AB5" s="499" t="s">
        <v>2</v>
      </c>
    </row>
    <row r="6" spans="1:28" ht="14.45" customHeight="1" x14ac:dyDescent="0.25">
      <c r="A6" s="500" t="s">
        <v>1675</v>
      </c>
      <c r="B6" s="501">
        <v>13639178.870000005</v>
      </c>
      <c r="C6" s="502">
        <v>1</v>
      </c>
      <c r="D6" s="502">
        <v>1.0371062456292968</v>
      </c>
      <c r="E6" s="501">
        <v>13151187.670000006</v>
      </c>
      <c r="F6" s="502">
        <v>0.96422136518252155</v>
      </c>
      <c r="G6" s="502">
        <v>1</v>
      </c>
      <c r="H6" s="501">
        <v>14581292.109999988</v>
      </c>
      <c r="I6" s="502">
        <v>1.0690740438980681</v>
      </c>
      <c r="J6" s="502">
        <v>1.1087433679668555</v>
      </c>
      <c r="K6" s="501">
        <v>1572200</v>
      </c>
      <c r="L6" s="502">
        <v>1</v>
      </c>
      <c r="M6" s="502">
        <v>1.0536781106796838</v>
      </c>
      <c r="N6" s="501">
        <v>1492106.54</v>
      </c>
      <c r="O6" s="502">
        <v>0.94905644320061067</v>
      </c>
      <c r="P6" s="502">
        <v>1</v>
      </c>
      <c r="Q6" s="501">
        <v>1334346</v>
      </c>
      <c r="R6" s="502">
        <v>0.84871263198066405</v>
      </c>
      <c r="S6" s="502">
        <v>0.89426992257536786</v>
      </c>
      <c r="T6" s="501"/>
      <c r="U6" s="502"/>
      <c r="V6" s="502"/>
      <c r="W6" s="501"/>
      <c r="X6" s="502"/>
      <c r="Y6" s="502"/>
      <c r="Z6" s="501"/>
      <c r="AA6" s="502"/>
      <c r="AB6" s="503"/>
    </row>
    <row r="7" spans="1:28" ht="14.45" customHeight="1" x14ac:dyDescent="0.25">
      <c r="A7" s="510" t="s">
        <v>1676</v>
      </c>
      <c r="B7" s="504">
        <v>9011976.6900000051</v>
      </c>
      <c r="C7" s="505">
        <v>1</v>
      </c>
      <c r="D7" s="505">
        <v>1.0681529511368046</v>
      </c>
      <c r="E7" s="504">
        <v>8436972.1400000025</v>
      </c>
      <c r="F7" s="505">
        <v>0.93619551295133208</v>
      </c>
      <c r="G7" s="505">
        <v>1</v>
      </c>
      <c r="H7" s="504">
        <v>9685342.1299999896</v>
      </c>
      <c r="I7" s="505">
        <v>1.0747189504769996</v>
      </c>
      <c r="J7" s="505">
        <v>1.1479642185946566</v>
      </c>
      <c r="K7" s="504">
        <v>806673</v>
      </c>
      <c r="L7" s="505">
        <v>1</v>
      </c>
      <c r="M7" s="505">
        <v>1.2081206034365271</v>
      </c>
      <c r="N7" s="504">
        <v>667709</v>
      </c>
      <c r="O7" s="505">
        <v>0.82773193103029352</v>
      </c>
      <c r="P7" s="505">
        <v>1</v>
      </c>
      <c r="Q7" s="504">
        <v>643240</v>
      </c>
      <c r="R7" s="505">
        <v>0.79739869810939501</v>
      </c>
      <c r="S7" s="505">
        <v>0.96335379633942331</v>
      </c>
      <c r="T7" s="504"/>
      <c r="U7" s="505"/>
      <c r="V7" s="505"/>
      <c r="W7" s="504"/>
      <c r="X7" s="505"/>
      <c r="Y7" s="505"/>
      <c r="Z7" s="504"/>
      <c r="AA7" s="505"/>
      <c r="AB7" s="506"/>
    </row>
    <row r="8" spans="1:28" ht="14.45" customHeight="1" thickBot="1" x14ac:dyDescent="0.3">
      <c r="A8" s="511" t="s">
        <v>1677</v>
      </c>
      <c r="B8" s="507">
        <v>4627202.1800000006</v>
      </c>
      <c r="C8" s="508">
        <v>1</v>
      </c>
      <c r="D8" s="508">
        <v>0.981542347937579</v>
      </c>
      <c r="E8" s="507">
        <v>4714215.5300000021</v>
      </c>
      <c r="F8" s="508">
        <v>1.0188047434745982</v>
      </c>
      <c r="G8" s="508">
        <v>1</v>
      </c>
      <c r="H8" s="507">
        <v>4895949.9799999995</v>
      </c>
      <c r="I8" s="508">
        <v>1.0580799778236616</v>
      </c>
      <c r="J8" s="508">
        <v>1.0385503057387784</v>
      </c>
      <c r="K8" s="507">
        <v>765527</v>
      </c>
      <c r="L8" s="508">
        <v>1</v>
      </c>
      <c r="M8" s="508">
        <v>0.92858962194380146</v>
      </c>
      <c r="N8" s="507">
        <v>824397.54</v>
      </c>
      <c r="O8" s="508">
        <v>1.0769019773306494</v>
      </c>
      <c r="P8" s="508">
        <v>1</v>
      </c>
      <c r="Q8" s="507">
        <v>691106</v>
      </c>
      <c r="R8" s="508">
        <v>0.90278461765554974</v>
      </c>
      <c r="S8" s="508">
        <v>0.83831642680544627</v>
      </c>
      <c r="T8" s="507"/>
      <c r="U8" s="508"/>
      <c r="V8" s="508"/>
      <c r="W8" s="507"/>
      <c r="X8" s="508"/>
      <c r="Y8" s="508"/>
      <c r="Z8" s="507"/>
      <c r="AA8" s="508"/>
      <c r="AB8" s="509"/>
    </row>
    <row r="9" spans="1:28" ht="14.45" customHeight="1" thickBot="1" x14ac:dyDescent="0.25"/>
    <row r="10" spans="1:28" ht="14.45" customHeight="1" x14ac:dyDescent="0.25">
      <c r="A10" s="500" t="s">
        <v>444</v>
      </c>
      <c r="B10" s="501">
        <v>759471.04999999946</v>
      </c>
      <c r="C10" s="502">
        <v>1</v>
      </c>
      <c r="D10" s="502">
        <v>0.95015977429898835</v>
      </c>
      <c r="E10" s="501">
        <v>799308.77999999968</v>
      </c>
      <c r="F10" s="502">
        <v>1.052454573482426</v>
      </c>
      <c r="G10" s="502">
        <v>1</v>
      </c>
      <c r="H10" s="501">
        <v>968316.64999999991</v>
      </c>
      <c r="I10" s="502">
        <v>1.2749882302952833</v>
      </c>
      <c r="J10" s="503">
        <v>1.211442529131233</v>
      </c>
    </row>
    <row r="11" spans="1:28" ht="14.45" customHeight="1" x14ac:dyDescent="0.25">
      <c r="A11" s="510" t="s">
        <v>1679</v>
      </c>
      <c r="B11" s="504">
        <v>759471.04999999946</v>
      </c>
      <c r="C11" s="505">
        <v>1</v>
      </c>
      <c r="D11" s="505">
        <v>0.95015977429898835</v>
      </c>
      <c r="E11" s="504">
        <v>799308.77999999968</v>
      </c>
      <c r="F11" s="505">
        <v>1.052454573482426</v>
      </c>
      <c r="G11" s="505">
        <v>1</v>
      </c>
      <c r="H11" s="504">
        <v>968316.64999999991</v>
      </c>
      <c r="I11" s="505">
        <v>1.2749882302952833</v>
      </c>
      <c r="J11" s="506">
        <v>1.211442529131233</v>
      </c>
    </row>
    <row r="12" spans="1:28" ht="14.45" customHeight="1" x14ac:dyDescent="0.25">
      <c r="A12" s="512" t="s">
        <v>1680</v>
      </c>
      <c r="B12" s="513">
        <v>4627202.1799999988</v>
      </c>
      <c r="C12" s="514">
        <v>1</v>
      </c>
      <c r="D12" s="514">
        <v>0.98154234793757922</v>
      </c>
      <c r="E12" s="513">
        <v>4714215.5299999993</v>
      </c>
      <c r="F12" s="514">
        <v>1.0188047434745979</v>
      </c>
      <c r="G12" s="514">
        <v>1</v>
      </c>
      <c r="H12" s="513">
        <v>4895949.9800000004</v>
      </c>
      <c r="I12" s="514">
        <v>1.0580799778236623</v>
      </c>
      <c r="J12" s="515">
        <v>1.0385503057387793</v>
      </c>
    </row>
    <row r="13" spans="1:28" ht="14.45" customHeight="1" x14ac:dyDescent="0.25">
      <c r="A13" s="510" t="s">
        <v>1679</v>
      </c>
      <c r="B13" s="504">
        <v>4627202.1799999988</v>
      </c>
      <c r="C13" s="505">
        <v>1</v>
      </c>
      <c r="D13" s="505">
        <v>0.98154234793757922</v>
      </c>
      <c r="E13" s="504">
        <v>4714215.5299999993</v>
      </c>
      <c r="F13" s="505">
        <v>1.0188047434745979</v>
      </c>
      <c r="G13" s="505">
        <v>1</v>
      </c>
      <c r="H13" s="504">
        <v>4895949.9800000004</v>
      </c>
      <c r="I13" s="505">
        <v>1.0580799778236623</v>
      </c>
      <c r="J13" s="506">
        <v>1.0385503057387793</v>
      </c>
    </row>
    <row r="14" spans="1:28" ht="14.45" customHeight="1" x14ac:dyDescent="0.25">
      <c r="A14" s="512" t="s">
        <v>1681</v>
      </c>
      <c r="B14" s="513">
        <v>2229246.7199999997</v>
      </c>
      <c r="C14" s="514">
        <v>1</v>
      </c>
      <c r="D14" s="514">
        <v>0.93375107919248679</v>
      </c>
      <c r="E14" s="513">
        <v>2387410.06</v>
      </c>
      <c r="F14" s="514">
        <v>1.0709492307787269</v>
      </c>
      <c r="G14" s="514">
        <v>1</v>
      </c>
      <c r="H14" s="513">
        <v>2696936.6100000003</v>
      </c>
      <c r="I14" s="514">
        <v>1.2097972762745617</v>
      </c>
      <c r="J14" s="515">
        <v>1.1296495123255033</v>
      </c>
    </row>
    <row r="15" spans="1:28" ht="14.45" customHeight="1" x14ac:dyDescent="0.25">
      <c r="A15" s="510" t="s">
        <v>1679</v>
      </c>
      <c r="B15" s="504">
        <v>2229246.7199999997</v>
      </c>
      <c r="C15" s="505">
        <v>1</v>
      </c>
      <c r="D15" s="505">
        <v>0.93375107919248679</v>
      </c>
      <c r="E15" s="504">
        <v>2387410.06</v>
      </c>
      <c r="F15" s="505">
        <v>1.0709492307787269</v>
      </c>
      <c r="G15" s="505">
        <v>1</v>
      </c>
      <c r="H15" s="504">
        <v>2696936.6100000003</v>
      </c>
      <c r="I15" s="505">
        <v>1.2097972762745617</v>
      </c>
      <c r="J15" s="506">
        <v>1.1296495123255033</v>
      </c>
    </row>
    <row r="16" spans="1:28" ht="14.45" customHeight="1" x14ac:dyDescent="0.25">
      <c r="A16" s="512" t="s">
        <v>1682</v>
      </c>
      <c r="B16" s="513">
        <v>2758416.6500000004</v>
      </c>
      <c r="C16" s="514">
        <v>1</v>
      </c>
      <c r="D16" s="514">
        <v>1.0965190389561561</v>
      </c>
      <c r="E16" s="513">
        <v>2515612.1799999997</v>
      </c>
      <c r="F16" s="514">
        <v>0.91197686904913344</v>
      </c>
      <c r="G16" s="514">
        <v>1</v>
      </c>
      <c r="H16" s="513">
        <v>2687633.3500000015</v>
      </c>
      <c r="I16" s="514">
        <v>0.97433915576169439</v>
      </c>
      <c r="J16" s="515">
        <v>1.0683814346931655</v>
      </c>
    </row>
    <row r="17" spans="1:10" ht="14.45" customHeight="1" x14ac:dyDescent="0.25">
      <c r="A17" s="510" t="s">
        <v>1679</v>
      </c>
      <c r="B17" s="504">
        <v>2758416.6500000004</v>
      </c>
      <c r="C17" s="505">
        <v>1</v>
      </c>
      <c r="D17" s="505">
        <v>1.0965190389561561</v>
      </c>
      <c r="E17" s="504">
        <v>2515612.1799999997</v>
      </c>
      <c r="F17" s="505">
        <v>0.91197686904913344</v>
      </c>
      <c r="G17" s="505">
        <v>1</v>
      </c>
      <c r="H17" s="504">
        <v>2687633.3500000015</v>
      </c>
      <c r="I17" s="505">
        <v>0.97433915576169439</v>
      </c>
      <c r="J17" s="506">
        <v>1.0683814346931655</v>
      </c>
    </row>
    <row r="18" spans="1:10" ht="14.45" customHeight="1" x14ac:dyDescent="0.25">
      <c r="A18" s="512" t="s">
        <v>1683</v>
      </c>
      <c r="B18" s="513">
        <v>3264842.2699999986</v>
      </c>
      <c r="C18" s="514">
        <v>1</v>
      </c>
      <c r="D18" s="514">
        <v>1.1938832653843805</v>
      </c>
      <c r="E18" s="513">
        <v>2734641.1199999992</v>
      </c>
      <c r="F18" s="514">
        <v>0.83760282851275392</v>
      </c>
      <c r="G18" s="514">
        <v>1</v>
      </c>
      <c r="H18" s="513">
        <v>3332455.5200000014</v>
      </c>
      <c r="I18" s="514">
        <v>1.0207094996965973</v>
      </c>
      <c r="J18" s="515">
        <v>1.2186079905066309</v>
      </c>
    </row>
    <row r="19" spans="1:10" ht="14.45" customHeight="1" thickBot="1" x14ac:dyDescent="0.3">
      <c r="A19" s="511" t="s">
        <v>1679</v>
      </c>
      <c r="B19" s="507">
        <v>3264842.2699999986</v>
      </c>
      <c r="C19" s="508">
        <v>1</v>
      </c>
      <c r="D19" s="508">
        <v>1.1938832653843805</v>
      </c>
      <c r="E19" s="507">
        <v>2734641.1199999992</v>
      </c>
      <c r="F19" s="508">
        <v>0.83760282851275392</v>
      </c>
      <c r="G19" s="508">
        <v>1</v>
      </c>
      <c r="H19" s="507">
        <v>3332455.5200000014</v>
      </c>
      <c r="I19" s="508">
        <v>1.0207094996965973</v>
      </c>
      <c r="J19" s="509">
        <v>1.2186079905066309</v>
      </c>
    </row>
    <row r="20" spans="1:10" ht="14.45" customHeight="1" x14ac:dyDescent="0.2">
      <c r="A20" s="516" t="s">
        <v>216</v>
      </c>
    </row>
    <row r="21" spans="1:10" ht="14.45" customHeight="1" x14ac:dyDescent="0.2">
      <c r="A21" s="517" t="s">
        <v>1684</v>
      </c>
    </row>
    <row r="22" spans="1:10" ht="14.45" customHeight="1" x14ac:dyDescent="0.2">
      <c r="A22" s="516" t="s">
        <v>1685</v>
      </c>
    </row>
    <row r="23" spans="1:10" ht="14.45" customHeight="1" x14ac:dyDescent="0.2">
      <c r="A23" s="516" t="s">
        <v>1686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B520A0CA-2356-4C01-906A-322A9F5551AB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14" bestFit="1" customWidth="1"/>
    <col min="2" max="2" width="7.7109375" style="189" hidden="1" customWidth="1" outlineLevel="1"/>
    <col min="3" max="3" width="7.7109375" style="189" customWidth="1" collapsed="1"/>
    <col min="4" max="4" width="7.7109375" style="189" customWidth="1"/>
    <col min="5" max="5" width="7.7109375" style="91" hidden="1" customWidth="1" outlineLevel="1"/>
    <col min="6" max="6" width="7.7109375" style="91" customWidth="1" collapsed="1"/>
    <col min="7" max="7" width="7.7109375" style="91" customWidth="1"/>
    <col min="8" max="16384" width="8.85546875" style="114"/>
  </cols>
  <sheetData>
    <row r="1" spans="1:7" ht="18.600000000000001" customHeight="1" thickBot="1" x14ac:dyDescent="0.35">
      <c r="A1" s="398" t="s">
        <v>1687</v>
      </c>
      <c r="B1" s="304"/>
      <c r="C1" s="304"/>
      <c r="D1" s="304"/>
      <c r="E1" s="304"/>
      <c r="F1" s="304"/>
      <c r="G1" s="304"/>
    </row>
    <row r="2" spans="1:7" ht="14.45" customHeight="1" thickBot="1" x14ac:dyDescent="0.25">
      <c r="A2" s="207" t="s">
        <v>242</v>
      </c>
      <c r="B2" s="96"/>
      <c r="C2" s="96"/>
      <c r="D2" s="96"/>
      <c r="E2" s="96"/>
      <c r="F2" s="96"/>
      <c r="G2" s="96"/>
    </row>
    <row r="3" spans="1:7" ht="14.45" customHeight="1" thickBot="1" x14ac:dyDescent="0.25">
      <c r="A3" s="248" t="s">
        <v>107</v>
      </c>
      <c r="B3" s="234">
        <f t="shared" ref="B3:G3" si="0">SUBTOTAL(9,B6:B1048576)</f>
        <v>56397</v>
      </c>
      <c r="C3" s="235">
        <f t="shared" si="0"/>
        <v>47545</v>
      </c>
      <c r="D3" s="247">
        <f t="shared" si="0"/>
        <v>47982</v>
      </c>
      <c r="E3" s="202">
        <f t="shared" si="0"/>
        <v>13639178.870000008</v>
      </c>
      <c r="F3" s="200">
        <f t="shared" si="0"/>
        <v>13151187.669999998</v>
      </c>
      <c r="G3" s="236">
        <f t="shared" si="0"/>
        <v>14581292.110000018</v>
      </c>
    </row>
    <row r="4" spans="1:7" ht="14.45" customHeight="1" x14ac:dyDescent="0.2">
      <c r="A4" s="399" t="s">
        <v>115</v>
      </c>
      <c r="B4" s="404" t="s">
        <v>180</v>
      </c>
      <c r="C4" s="402"/>
      <c r="D4" s="405"/>
      <c r="E4" s="404" t="s">
        <v>84</v>
      </c>
      <c r="F4" s="402"/>
      <c r="G4" s="405"/>
    </row>
    <row r="5" spans="1:7" ht="14.45" customHeight="1" thickBot="1" x14ac:dyDescent="0.25">
      <c r="A5" s="495"/>
      <c r="B5" s="496">
        <v>2018</v>
      </c>
      <c r="C5" s="497">
        <v>2019</v>
      </c>
      <c r="D5" s="518">
        <v>2020</v>
      </c>
      <c r="E5" s="496">
        <v>2018</v>
      </c>
      <c r="F5" s="497">
        <v>2019</v>
      </c>
      <c r="G5" s="518">
        <v>2020</v>
      </c>
    </row>
    <row r="6" spans="1:7" ht="14.45" customHeight="1" thickBot="1" x14ac:dyDescent="0.25">
      <c r="A6" s="521" t="s">
        <v>1679</v>
      </c>
      <c r="B6" s="462">
        <v>56397</v>
      </c>
      <c r="C6" s="462">
        <v>47545</v>
      </c>
      <c r="D6" s="462">
        <v>47982</v>
      </c>
      <c r="E6" s="519">
        <v>13639178.870000008</v>
      </c>
      <c r="F6" s="519">
        <v>13151187.669999998</v>
      </c>
      <c r="G6" s="520">
        <v>14581292.110000018</v>
      </c>
    </row>
    <row r="7" spans="1:7" ht="14.45" customHeight="1" x14ac:dyDescent="0.2">
      <c r="A7" s="516" t="s">
        <v>216</v>
      </c>
    </row>
    <row r="8" spans="1:7" ht="14.45" customHeight="1" x14ac:dyDescent="0.2">
      <c r="A8" s="517" t="s">
        <v>1684</v>
      </c>
    </row>
    <row r="9" spans="1:7" ht="14.45" customHeight="1" x14ac:dyDescent="0.2">
      <c r="A9" s="516" t="s">
        <v>1685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C40E6DE7-2FD8-453B-B145-D04C68EC9EAB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329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14" customWidth="1"/>
    <col min="2" max="2" width="8.7109375" style="114" bestFit="1" customWidth="1"/>
    <col min="3" max="3" width="6.140625" style="114" customWidth="1"/>
    <col min="4" max="4" width="2.140625" style="114" bestFit="1" customWidth="1"/>
    <col min="5" max="5" width="8" style="114" customWidth="1"/>
    <col min="6" max="6" width="50.85546875" style="114" bestFit="1" customWidth="1" collapsed="1"/>
    <col min="7" max="8" width="11.140625" style="189" hidden="1" customWidth="1" outlineLevel="1"/>
    <col min="9" max="10" width="9.28515625" style="114" hidden="1" customWidth="1"/>
    <col min="11" max="12" width="11.140625" style="189" customWidth="1"/>
    <col min="13" max="14" width="9.28515625" style="114" hidden="1" customWidth="1"/>
    <col min="15" max="16" width="11.140625" style="189" customWidth="1"/>
    <col min="17" max="17" width="11.140625" style="192" customWidth="1"/>
    <col min="18" max="18" width="11.140625" style="189" customWidth="1"/>
    <col min="19" max="16384" width="8.85546875" style="114"/>
  </cols>
  <sheetData>
    <row r="1" spans="1:18" ht="18.600000000000001" customHeight="1" thickBot="1" x14ac:dyDescent="0.35">
      <c r="A1" s="304" t="s">
        <v>1956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</row>
    <row r="2" spans="1:18" ht="14.45" customHeight="1" thickBot="1" x14ac:dyDescent="0.25">
      <c r="A2" s="207" t="s">
        <v>242</v>
      </c>
      <c r="B2" s="179"/>
      <c r="C2" s="179"/>
      <c r="D2" s="96"/>
      <c r="E2" s="96"/>
      <c r="F2" s="96"/>
      <c r="G2" s="205"/>
      <c r="H2" s="205"/>
      <c r="I2" s="96"/>
      <c r="J2" s="96"/>
      <c r="K2" s="205"/>
      <c r="L2" s="205"/>
      <c r="M2" s="96"/>
      <c r="N2" s="96"/>
      <c r="O2" s="205"/>
      <c r="P2" s="205"/>
      <c r="Q2" s="204"/>
      <c r="R2" s="205"/>
    </row>
    <row r="3" spans="1:18" ht="14.45" customHeight="1" thickBot="1" x14ac:dyDescent="0.25">
      <c r="F3" s="73" t="s">
        <v>107</v>
      </c>
      <c r="G3" s="88">
        <f t="shared" ref="G3:P3" si="0">SUBTOTAL(9,G6:G1048576)</f>
        <v>58694</v>
      </c>
      <c r="H3" s="89">
        <f t="shared" si="0"/>
        <v>15211378.870000003</v>
      </c>
      <c r="I3" s="66"/>
      <c r="J3" s="66"/>
      <c r="K3" s="89">
        <f t="shared" si="0"/>
        <v>49949</v>
      </c>
      <c r="L3" s="89">
        <f t="shared" si="0"/>
        <v>14643294.209999995</v>
      </c>
      <c r="M3" s="66"/>
      <c r="N3" s="66"/>
      <c r="O3" s="89">
        <f t="shared" si="0"/>
        <v>50042</v>
      </c>
      <c r="P3" s="89">
        <f t="shared" si="0"/>
        <v>15915638.109999999</v>
      </c>
      <c r="Q3" s="67">
        <f>IF(L3=0,0,P3/L3)</f>
        <v>1.086889185025806</v>
      </c>
      <c r="R3" s="90">
        <f>IF(O3=0,0,P3/O3)</f>
        <v>318.04560389273007</v>
      </c>
    </row>
    <row r="4" spans="1:18" ht="14.45" customHeight="1" x14ac:dyDescent="0.2">
      <c r="A4" s="406" t="s">
        <v>183</v>
      </c>
      <c r="B4" s="406" t="s">
        <v>81</v>
      </c>
      <c r="C4" s="414" t="s">
        <v>0</v>
      </c>
      <c r="D4" s="408" t="s">
        <v>82</v>
      </c>
      <c r="E4" s="413" t="s">
        <v>57</v>
      </c>
      <c r="F4" s="409" t="s">
        <v>56</v>
      </c>
      <c r="G4" s="410">
        <v>2018</v>
      </c>
      <c r="H4" s="411"/>
      <c r="I4" s="87"/>
      <c r="J4" s="87"/>
      <c r="K4" s="410">
        <v>2019</v>
      </c>
      <c r="L4" s="411"/>
      <c r="M4" s="87"/>
      <c r="N4" s="87"/>
      <c r="O4" s="410">
        <v>2020</v>
      </c>
      <c r="P4" s="411"/>
      <c r="Q4" s="412" t="s">
        <v>2</v>
      </c>
      <c r="R4" s="407" t="s">
        <v>83</v>
      </c>
    </row>
    <row r="5" spans="1:18" ht="14.45" customHeight="1" thickBot="1" x14ac:dyDescent="0.25">
      <c r="A5" s="522"/>
      <c r="B5" s="522"/>
      <c r="C5" s="523"/>
      <c r="D5" s="524"/>
      <c r="E5" s="525"/>
      <c r="F5" s="526"/>
      <c r="G5" s="527" t="s">
        <v>58</v>
      </c>
      <c r="H5" s="528" t="s">
        <v>14</v>
      </c>
      <c r="I5" s="529"/>
      <c r="J5" s="529"/>
      <c r="K5" s="527" t="s">
        <v>58</v>
      </c>
      <c r="L5" s="528" t="s">
        <v>14</v>
      </c>
      <c r="M5" s="529"/>
      <c r="N5" s="529"/>
      <c r="O5" s="527" t="s">
        <v>58</v>
      </c>
      <c r="P5" s="528" t="s">
        <v>14</v>
      </c>
      <c r="Q5" s="530"/>
      <c r="R5" s="531"/>
    </row>
    <row r="6" spans="1:18" ht="14.45" customHeight="1" x14ac:dyDescent="0.2">
      <c r="A6" s="434"/>
      <c r="B6" s="435" t="s">
        <v>1688</v>
      </c>
      <c r="C6" s="435" t="s">
        <v>444</v>
      </c>
      <c r="D6" s="435" t="s">
        <v>1689</v>
      </c>
      <c r="E6" s="435" t="s">
        <v>1690</v>
      </c>
      <c r="F6" s="435"/>
      <c r="G6" s="439">
        <v>2</v>
      </c>
      <c r="H6" s="439">
        <v>226</v>
      </c>
      <c r="I6" s="435">
        <v>1</v>
      </c>
      <c r="J6" s="435">
        <v>113</v>
      </c>
      <c r="K6" s="439">
        <v>2</v>
      </c>
      <c r="L6" s="439">
        <v>226</v>
      </c>
      <c r="M6" s="435">
        <v>1</v>
      </c>
      <c r="N6" s="435">
        <v>113</v>
      </c>
      <c r="O6" s="439"/>
      <c r="P6" s="439"/>
      <c r="Q6" s="460"/>
      <c r="R6" s="440"/>
    </row>
    <row r="7" spans="1:18" ht="14.45" customHeight="1" x14ac:dyDescent="0.2">
      <c r="A7" s="441"/>
      <c r="B7" s="442" t="s">
        <v>1688</v>
      </c>
      <c r="C7" s="442" t="s">
        <v>444</v>
      </c>
      <c r="D7" s="442" t="s">
        <v>1689</v>
      </c>
      <c r="E7" s="442" t="s">
        <v>1691</v>
      </c>
      <c r="F7" s="442"/>
      <c r="G7" s="446">
        <v>3</v>
      </c>
      <c r="H7" s="446">
        <v>999</v>
      </c>
      <c r="I7" s="442"/>
      <c r="J7" s="442">
        <v>333</v>
      </c>
      <c r="K7" s="446"/>
      <c r="L7" s="446"/>
      <c r="M7" s="442"/>
      <c r="N7" s="442"/>
      <c r="O7" s="446"/>
      <c r="P7" s="446"/>
      <c r="Q7" s="469"/>
      <c r="R7" s="447"/>
    </row>
    <row r="8" spans="1:18" ht="14.45" customHeight="1" x14ac:dyDescent="0.2">
      <c r="A8" s="441"/>
      <c r="B8" s="442" t="s">
        <v>1688</v>
      </c>
      <c r="C8" s="442" t="s">
        <v>444</v>
      </c>
      <c r="D8" s="442" t="s">
        <v>1689</v>
      </c>
      <c r="E8" s="442" t="s">
        <v>1692</v>
      </c>
      <c r="F8" s="442"/>
      <c r="G8" s="446"/>
      <c r="H8" s="446"/>
      <c r="I8" s="442"/>
      <c r="J8" s="442"/>
      <c r="K8" s="446">
        <v>1</v>
      </c>
      <c r="L8" s="446">
        <v>1657</v>
      </c>
      <c r="M8" s="442">
        <v>1</v>
      </c>
      <c r="N8" s="442">
        <v>1657</v>
      </c>
      <c r="O8" s="446"/>
      <c r="P8" s="446"/>
      <c r="Q8" s="469"/>
      <c r="R8" s="447"/>
    </row>
    <row r="9" spans="1:18" ht="14.45" customHeight="1" x14ac:dyDescent="0.2">
      <c r="A9" s="441"/>
      <c r="B9" s="442" t="s">
        <v>1688</v>
      </c>
      <c r="C9" s="442" t="s">
        <v>444</v>
      </c>
      <c r="D9" s="442" t="s">
        <v>1689</v>
      </c>
      <c r="E9" s="442" t="s">
        <v>1693</v>
      </c>
      <c r="F9" s="442"/>
      <c r="G9" s="446">
        <v>81</v>
      </c>
      <c r="H9" s="446">
        <v>9153</v>
      </c>
      <c r="I9" s="442">
        <v>1</v>
      </c>
      <c r="J9" s="442">
        <v>113</v>
      </c>
      <c r="K9" s="446">
        <v>81</v>
      </c>
      <c r="L9" s="446">
        <v>9153</v>
      </c>
      <c r="M9" s="442">
        <v>1</v>
      </c>
      <c r="N9" s="442">
        <v>113</v>
      </c>
      <c r="O9" s="446">
        <v>88</v>
      </c>
      <c r="P9" s="446">
        <v>9944</v>
      </c>
      <c r="Q9" s="469">
        <v>1.0864197530864197</v>
      </c>
      <c r="R9" s="447">
        <v>113</v>
      </c>
    </row>
    <row r="10" spans="1:18" ht="14.45" customHeight="1" x14ac:dyDescent="0.2">
      <c r="A10" s="441"/>
      <c r="B10" s="442" t="s">
        <v>1688</v>
      </c>
      <c r="C10" s="442" t="s">
        <v>444</v>
      </c>
      <c r="D10" s="442" t="s">
        <v>1689</v>
      </c>
      <c r="E10" s="442" t="s">
        <v>1694</v>
      </c>
      <c r="F10" s="442"/>
      <c r="G10" s="446">
        <v>1</v>
      </c>
      <c r="H10" s="446">
        <v>132</v>
      </c>
      <c r="I10" s="442"/>
      <c r="J10" s="442">
        <v>132</v>
      </c>
      <c r="K10" s="446"/>
      <c r="L10" s="446"/>
      <c r="M10" s="442"/>
      <c r="N10" s="442"/>
      <c r="O10" s="446">
        <v>1</v>
      </c>
      <c r="P10" s="446">
        <v>132</v>
      </c>
      <c r="Q10" s="469"/>
      <c r="R10" s="447">
        <v>132</v>
      </c>
    </row>
    <row r="11" spans="1:18" ht="14.45" customHeight="1" x14ac:dyDescent="0.2">
      <c r="A11" s="441"/>
      <c r="B11" s="442" t="s">
        <v>1688</v>
      </c>
      <c r="C11" s="442" t="s">
        <v>444</v>
      </c>
      <c r="D11" s="442" t="s">
        <v>1689</v>
      </c>
      <c r="E11" s="442" t="s">
        <v>1695</v>
      </c>
      <c r="F11" s="442"/>
      <c r="G11" s="446">
        <v>4</v>
      </c>
      <c r="H11" s="446">
        <v>624</v>
      </c>
      <c r="I11" s="442"/>
      <c r="J11" s="442">
        <v>156</v>
      </c>
      <c r="K11" s="446"/>
      <c r="L11" s="446"/>
      <c r="M11" s="442"/>
      <c r="N11" s="442"/>
      <c r="O11" s="446"/>
      <c r="P11" s="446"/>
      <c r="Q11" s="469"/>
      <c r="R11" s="447"/>
    </row>
    <row r="12" spans="1:18" ht="14.45" customHeight="1" x14ac:dyDescent="0.2">
      <c r="A12" s="441"/>
      <c r="B12" s="442" t="s">
        <v>1688</v>
      </c>
      <c r="C12" s="442" t="s">
        <v>444</v>
      </c>
      <c r="D12" s="442" t="s">
        <v>1689</v>
      </c>
      <c r="E12" s="442" t="s">
        <v>1696</v>
      </c>
      <c r="F12" s="442"/>
      <c r="G12" s="446">
        <v>2</v>
      </c>
      <c r="H12" s="446">
        <v>438</v>
      </c>
      <c r="I12" s="442">
        <v>2</v>
      </c>
      <c r="J12" s="442">
        <v>219</v>
      </c>
      <c r="K12" s="446">
        <v>1</v>
      </c>
      <c r="L12" s="446">
        <v>219</v>
      </c>
      <c r="M12" s="442">
        <v>1</v>
      </c>
      <c r="N12" s="442">
        <v>219</v>
      </c>
      <c r="O12" s="446">
        <v>5</v>
      </c>
      <c r="P12" s="446">
        <v>1095</v>
      </c>
      <c r="Q12" s="469">
        <v>5</v>
      </c>
      <c r="R12" s="447">
        <v>219</v>
      </c>
    </row>
    <row r="13" spans="1:18" ht="14.45" customHeight="1" x14ac:dyDescent="0.2">
      <c r="A13" s="441"/>
      <c r="B13" s="442" t="s">
        <v>1688</v>
      </c>
      <c r="C13" s="442" t="s">
        <v>444</v>
      </c>
      <c r="D13" s="442" t="s">
        <v>1689</v>
      </c>
      <c r="E13" s="442" t="s">
        <v>1697</v>
      </c>
      <c r="F13" s="442"/>
      <c r="G13" s="446">
        <v>2</v>
      </c>
      <c r="H13" s="446">
        <v>472</v>
      </c>
      <c r="I13" s="442">
        <v>1</v>
      </c>
      <c r="J13" s="442">
        <v>236</v>
      </c>
      <c r="K13" s="446">
        <v>2</v>
      </c>
      <c r="L13" s="446">
        <v>472</v>
      </c>
      <c r="M13" s="442">
        <v>1</v>
      </c>
      <c r="N13" s="442">
        <v>236</v>
      </c>
      <c r="O13" s="446">
        <v>4</v>
      </c>
      <c r="P13" s="446">
        <v>944</v>
      </c>
      <c r="Q13" s="469">
        <v>2</v>
      </c>
      <c r="R13" s="447">
        <v>236</v>
      </c>
    </row>
    <row r="14" spans="1:18" ht="14.45" customHeight="1" x14ac:dyDescent="0.2">
      <c r="A14" s="441"/>
      <c r="B14" s="442" t="s">
        <v>1688</v>
      </c>
      <c r="C14" s="442" t="s">
        <v>444</v>
      </c>
      <c r="D14" s="442" t="s">
        <v>1689</v>
      </c>
      <c r="E14" s="442" t="s">
        <v>1698</v>
      </c>
      <c r="F14" s="442"/>
      <c r="G14" s="446">
        <v>19</v>
      </c>
      <c r="H14" s="446">
        <v>2964</v>
      </c>
      <c r="I14" s="442">
        <v>2.1111111111111112</v>
      </c>
      <c r="J14" s="442">
        <v>156</v>
      </c>
      <c r="K14" s="446">
        <v>9</v>
      </c>
      <c r="L14" s="446">
        <v>1404</v>
      </c>
      <c r="M14" s="442">
        <v>1</v>
      </c>
      <c r="N14" s="442">
        <v>156</v>
      </c>
      <c r="O14" s="446">
        <v>9</v>
      </c>
      <c r="P14" s="446">
        <v>1404</v>
      </c>
      <c r="Q14" s="469">
        <v>1</v>
      </c>
      <c r="R14" s="447">
        <v>156</v>
      </c>
    </row>
    <row r="15" spans="1:18" ht="14.45" customHeight="1" x14ac:dyDescent="0.2">
      <c r="A15" s="441"/>
      <c r="B15" s="442" t="s">
        <v>1688</v>
      </c>
      <c r="C15" s="442" t="s">
        <v>444</v>
      </c>
      <c r="D15" s="442" t="s">
        <v>1689</v>
      </c>
      <c r="E15" s="442" t="s">
        <v>1699</v>
      </c>
      <c r="F15" s="442"/>
      <c r="G15" s="446">
        <v>13</v>
      </c>
      <c r="H15" s="446">
        <v>2470</v>
      </c>
      <c r="I15" s="442">
        <v>0.9285714285714286</v>
      </c>
      <c r="J15" s="442">
        <v>190</v>
      </c>
      <c r="K15" s="446">
        <v>14</v>
      </c>
      <c r="L15" s="446">
        <v>2660</v>
      </c>
      <c r="M15" s="442">
        <v>1</v>
      </c>
      <c r="N15" s="442">
        <v>190</v>
      </c>
      <c r="O15" s="446">
        <v>9</v>
      </c>
      <c r="P15" s="446">
        <v>1710</v>
      </c>
      <c r="Q15" s="469">
        <v>0.6428571428571429</v>
      </c>
      <c r="R15" s="447">
        <v>190</v>
      </c>
    </row>
    <row r="16" spans="1:18" ht="14.45" customHeight="1" x14ac:dyDescent="0.2">
      <c r="A16" s="441"/>
      <c r="B16" s="442" t="s">
        <v>1688</v>
      </c>
      <c r="C16" s="442" t="s">
        <v>444</v>
      </c>
      <c r="D16" s="442" t="s">
        <v>1689</v>
      </c>
      <c r="E16" s="442" t="s">
        <v>1700</v>
      </c>
      <c r="F16" s="442"/>
      <c r="G16" s="446">
        <v>7</v>
      </c>
      <c r="H16" s="446">
        <v>588</v>
      </c>
      <c r="I16" s="442">
        <v>2.3333333333333335</v>
      </c>
      <c r="J16" s="442">
        <v>84</v>
      </c>
      <c r="K16" s="446">
        <v>3</v>
      </c>
      <c r="L16" s="446">
        <v>252</v>
      </c>
      <c r="M16" s="442">
        <v>1</v>
      </c>
      <c r="N16" s="442">
        <v>84</v>
      </c>
      <c r="O16" s="446">
        <v>5</v>
      </c>
      <c r="P16" s="446">
        <v>420</v>
      </c>
      <c r="Q16" s="469">
        <v>1.6666666666666667</v>
      </c>
      <c r="R16" s="447">
        <v>84</v>
      </c>
    </row>
    <row r="17" spans="1:18" ht="14.45" customHeight="1" x14ac:dyDescent="0.2">
      <c r="A17" s="441"/>
      <c r="B17" s="442" t="s">
        <v>1688</v>
      </c>
      <c r="C17" s="442" t="s">
        <v>444</v>
      </c>
      <c r="D17" s="442" t="s">
        <v>1689</v>
      </c>
      <c r="E17" s="442" t="s">
        <v>1701</v>
      </c>
      <c r="F17" s="442"/>
      <c r="G17" s="446">
        <v>1</v>
      </c>
      <c r="H17" s="446">
        <v>105</v>
      </c>
      <c r="I17" s="442">
        <v>9.0909090909090912E-2</v>
      </c>
      <c r="J17" s="442">
        <v>105</v>
      </c>
      <c r="K17" s="446">
        <v>11</v>
      </c>
      <c r="L17" s="446">
        <v>1155</v>
      </c>
      <c r="M17" s="442">
        <v>1</v>
      </c>
      <c r="N17" s="442">
        <v>105</v>
      </c>
      <c r="O17" s="446">
        <v>6</v>
      </c>
      <c r="P17" s="446">
        <v>630</v>
      </c>
      <c r="Q17" s="469">
        <v>0.54545454545454541</v>
      </c>
      <c r="R17" s="447">
        <v>105</v>
      </c>
    </row>
    <row r="18" spans="1:18" ht="14.45" customHeight="1" x14ac:dyDescent="0.2">
      <c r="A18" s="441"/>
      <c r="B18" s="442" t="s">
        <v>1688</v>
      </c>
      <c r="C18" s="442" t="s">
        <v>444</v>
      </c>
      <c r="D18" s="442" t="s">
        <v>1689</v>
      </c>
      <c r="E18" s="442" t="s">
        <v>1702</v>
      </c>
      <c r="F18" s="442"/>
      <c r="G18" s="446">
        <v>13</v>
      </c>
      <c r="H18" s="446">
        <v>7748</v>
      </c>
      <c r="I18" s="442">
        <v>2.1666666666666665</v>
      </c>
      <c r="J18" s="442">
        <v>596</v>
      </c>
      <c r="K18" s="446">
        <v>6</v>
      </c>
      <c r="L18" s="446">
        <v>3576</v>
      </c>
      <c r="M18" s="442">
        <v>1</v>
      </c>
      <c r="N18" s="442">
        <v>596</v>
      </c>
      <c r="O18" s="446">
        <v>6</v>
      </c>
      <c r="P18" s="446">
        <v>3576</v>
      </c>
      <c r="Q18" s="469">
        <v>1</v>
      </c>
      <c r="R18" s="447">
        <v>596</v>
      </c>
    </row>
    <row r="19" spans="1:18" ht="14.45" customHeight="1" x14ac:dyDescent="0.2">
      <c r="A19" s="441"/>
      <c r="B19" s="442" t="s">
        <v>1688</v>
      </c>
      <c r="C19" s="442" t="s">
        <v>444</v>
      </c>
      <c r="D19" s="442" t="s">
        <v>1689</v>
      </c>
      <c r="E19" s="442" t="s">
        <v>1703</v>
      </c>
      <c r="F19" s="442"/>
      <c r="G19" s="446">
        <v>1</v>
      </c>
      <c r="H19" s="446">
        <v>666</v>
      </c>
      <c r="I19" s="442">
        <v>1</v>
      </c>
      <c r="J19" s="442">
        <v>666</v>
      </c>
      <c r="K19" s="446">
        <v>1</v>
      </c>
      <c r="L19" s="446">
        <v>666</v>
      </c>
      <c r="M19" s="442">
        <v>1</v>
      </c>
      <c r="N19" s="442">
        <v>666</v>
      </c>
      <c r="O19" s="446"/>
      <c r="P19" s="446"/>
      <c r="Q19" s="469"/>
      <c r="R19" s="447"/>
    </row>
    <row r="20" spans="1:18" ht="14.45" customHeight="1" x14ac:dyDescent="0.2">
      <c r="A20" s="441"/>
      <c r="B20" s="442" t="s">
        <v>1688</v>
      </c>
      <c r="C20" s="442" t="s">
        <v>444</v>
      </c>
      <c r="D20" s="442" t="s">
        <v>1689</v>
      </c>
      <c r="E20" s="442" t="s">
        <v>1704</v>
      </c>
      <c r="F20" s="442"/>
      <c r="G20" s="446">
        <v>8</v>
      </c>
      <c r="H20" s="446">
        <v>9376</v>
      </c>
      <c r="I20" s="442">
        <v>0.66666666666666663</v>
      </c>
      <c r="J20" s="442">
        <v>1172</v>
      </c>
      <c r="K20" s="446">
        <v>12</v>
      </c>
      <c r="L20" s="446">
        <v>14064</v>
      </c>
      <c r="M20" s="442">
        <v>1</v>
      </c>
      <c r="N20" s="442">
        <v>1172</v>
      </c>
      <c r="O20" s="446">
        <v>5</v>
      </c>
      <c r="P20" s="446">
        <v>7280</v>
      </c>
      <c r="Q20" s="469">
        <v>0.51763367463026166</v>
      </c>
      <c r="R20" s="447">
        <v>1456</v>
      </c>
    </row>
    <row r="21" spans="1:18" ht="14.45" customHeight="1" x14ac:dyDescent="0.2">
      <c r="A21" s="441"/>
      <c r="B21" s="442" t="s">
        <v>1688</v>
      </c>
      <c r="C21" s="442" t="s">
        <v>444</v>
      </c>
      <c r="D21" s="442" t="s">
        <v>1689</v>
      </c>
      <c r="E21" s="442" t="s">
        <v>1705</v>
      </c>
      <c r="F21" s="442"/>
      <c r="G21" s="446">
        <v>17</v>
      </c>
      <c r="H21" s="446">
        <v>13600</v>
      </c>
      <c r="I21" s="442">
        <v>1</v>
      </c>
      <c r="J21" s="442">
        <v>800</v>
      </c>
      <c r="K21" s="446">
        <v>17</v>
      </c>
      <c r="L21" s="446">
        <v>13600</v>
      </c>
      <c r="M21" s="442">
        <v>1</v>
      </c>
      <c r="N21" s="442">
        <v>800</v>
      </c>
      <c r="O21" s="446">
        <v>12</v>
      </c>
      <c r="P21" s="446">
        <v>10800</v>
      </c>
      <c r="Q21" s="469">
        <v>0.79411764705882348</v>
      </c>
      <c r="R21" s="447">
        <v>900</v>
      </c>
    </row>
    <row r="22" spans="1:18" ht="14.45" customHeight="1" x14ac:dyDescent="0.2">
      <c r="A22" s="441"/>
      <c r="B22" s="442" t="s">
        <v>1688</v>
      </c>
      <c r="C22" s="442" t="s">
        <v>444</v>
      </c>
      <c r="D22" s="442" t="s">
        <v>1689</v>
      </c>
      <c r="E22" s="442" t="s">
        <v>1706</v>
      </c>
      <c r="F22" s="442"/>
      <c r="G22" s="446">
        <v>1</v>
      </c>
      <c r="H22" s="446">
        <v>745</v>
      </c>
      <c r="I22" s="442">
        <v>0.1</v>
      </c>
      <c r="J22" s="442">
        <v>745</v>
      </c>
      <c r="K22" s="446">
        <v>10</v>
      </c>
      <c r="L22" s="446">
        <v>7450</v>
      </c>
      <c r="M22" s="442">
        <v>1</v>
      </c>
      <c r="N22" s="442">
        <v>745</v>
      </c>
      <c r="O22" s="446">
        <v>2</v>
      </c>
      <c r="P22" s="446">
        <v>1490</v>
      </c>
      <c r="Q22" s="469">
        <v>0.2</v>
      </c>
      <c r="R22" s="447">
        <v>745</v>
      </c>
    </row>
    <row r="23" spans="1:18" ht="14.45" customHeight="1" x14ac:dyDescent="0.2">
      <c r="A23" s="441"/>
      <c r="B23" s="442" t="s">
        <v>1688</v>
      </c>
      <c r="C23" s="442" t="s">
        <v>444</v>
      </c>
      <c r="D23" s="442" t="s">
        <v>1689</v>
      </c>
      <c r="E23" s="442" t="s">
        <v>1707</v>
      </c>
      <c r="F23" s="442"/>
      <c r="G23" s="446">
        <v>71</v>
      </c>
      <c r="H23" s="446">
        <v>52895</v>
      </c>
      <c r="I23" s="442">
        <v>1.5777777777777777</v>
      </c>
      <c r="J23" s="442">
        <v>745</v>
      </c>
      <c r="K23" s="446">
        <v>45</v>
      </c>
      <c r="L23" s="446">
        <v>33525</v>
      </c>
      <c r="M23" s="442">
        <v>1</v>
      </c>
      <c r="N23" s="442">
        <v>745</v>
      </c>
      <c r="O23" s="446">
        <v>53</v>
      </c>
      <c r="P23" s="446">
        <v>39485</v>
      </c>
      <c r="Q23" s="469">
        <v>1.1777777777777778</v>
      </c>
      <c r="R23" s="447">
        <v>745</v>
      </c>
    </row>
    <row r="24" spans="1:18" ht="14.45" customHeight="1" x14ac:dyDescent="0.2">
      <c r="A24" s="441"/>
      <c r="B24" s="442" t="s">
        <v>1688</v>
      </c>
      <c r="C24" s="442" t="s">
        <v>444</v>
      </c>
      <c r="D24" s="442" t="s">
        <v>1689</v>
      </c>
      <c r="E24" s="442" t="s">
        <v>1708</v>
      </c>
      <c r="F24" s="442"/>
      <c r="G24" s="446">
        <v>1</v>
      </c>
      <c r="H24" s="446">
        <v>592</v>
      </c>
      <c r="I24" s="442"/>
      <c r="J24" s="442">
        <v>592</v>
      </c>
      <c r="K24" s="446"/>
      <c r="L24" s="446"/>
      <c r="M24" s="442"/>
      <c r="N24" s="442"/>
      <c r="O24" s="446">
        <v>4</v>
      </c>
      <c r="P24" s="446">
        <v>2368</v>
      </c>
      <c r="Q24" s="469"/>
      <c r="R24" s="447">
        <v>592</v>
      </c>
    </row>
    <row r="25" spans="1:18" ht="14.45" customHeight="1" x14ac:dyDescent="0.2">
      <c r="A25" s="441"/>
      <c r="B25" s="442" t="s">
        <v>1688</v>
      </c>
      <c r="C25" s="442" t="s">
        <v>444</v>
      </c>
      <c r="D25" s="442" t="s">
        <v>1689</v>
      </c>
      <c r="E25" s="442" t="s">
        <v>1709</v>
      </c>
      <c r="F25" s="442"/>
      <c r="G25" s="446">
        <v>53</v>
      </c>
      <c r="H25" s="446">
        <v>29733</v>
      </c>
      <c r="I25" s="442">
        <v>0.81538461538461537</v>
      </c>
      <c r="J25" s="442">
        <v>561</v>
      </c>
      <c r="K25" s="446">
        <v>65</v>
      </c>
      <c r="L25" s="446">
        <v>36465</v>
      </c>
      <c r="M25" s="442">
        <v>1</v>
      </c>
      <c r="N25" s="442">
        <v>561</v>
      </c>
      <c r="O25" s="446">
        <v>26</v>
      </c>
      <c r="P25" s="446">
        <v>14586</v>
      </c>
      <c r="Q25" s="469">
        <v>0.4</v>
      </c>
      <c r="R25" s="447">
        <v>561</v>
      </c>
    </row>
    <row r="26" spans="1:18" ht="14.45" customHeight="1" x14ac:dyDescent="0.2">
      <c r="A26" s="441"/>
      <c r="B26" s="442" t="s">
        <v>1688</v>
      </c>
      <c r="C26" s="442" t="s">
        <v>444</v>
      </c>
      <c r="D26" s="442" t="s">
        <v>1689</v>
      </c>
      <c r="E26" s="442" t="s">
        <v>1710</v>
      </c>
      <c r="F26" s="442"/>
      <c r="G26" s="446">
        <v>63</v>
      </c>
      <c r="H26" s="446">
        <v>32697</v>
      </c>
      <c r="I26" s="442">
        <v>1.3695652173913044</v>
      </c>
      <c r="J26" s="442">
        <v>519</v>
      </c>
      <c r="K26" s="446">
        <v>46</v>
      </c>
      <c r="L26" s="446">
        <v>23874</v>
      </c>
      <c r="M26" s="442">
        <v>1</v>
      </c>
      <c r="N26" s="442">
        <v>519</v>
      </c>
      <c r="O26" s="446">
        <v>27</v>
      </c>
      <c r="P26" s="446">
        <v>14013</v>
      </c>
      <c r="Q26" s="469">
        <v>0.58695652173913049</v>
      </c>
      <c r="R26" s="447">
        <v>519</v>
      </c>
    </row>
    <row r="27" spans="1:18" ht="14.45" customHeight="1" x14ac:dyDescent="0.2">
      <c r="A27" s="441"/>
      <c r="B27" s="442" t="s">
        <v>1688</v>
      </c>
      <c r="C27" s="442" t="s">
        <v>444</v>
      </c>
      <c r="D27" s="442" t="s">
        <v>1689</v>
      </c>
      <c r="E27" s="442" t="s">
        <v>1711</v>
      </c>
      <c r="F27" s="442"/>
      <c r="G27" s="446">
        <v>4</v>
      </c>
      <c r="H27" s="446">
        <v>1284</v>
      </c>
      <c r="I27" s="442">
        <v>2</v>
      </c>
      <c r="J27" s="442">
        <v>321</v>
      </c>
      <c r="K27" s="446">
        <v>2</v>
      </c>
      <c r="L27" s="446">
        <v>642</v>
      </c>
      <c r="M27" s="442">
        <v>1</v>
      </c>
      <c r="N27" s="442">
        <v>321</v>
      </c>
      <c r="O27" s="446">
        <v>1</v>
      </c>
      <c r="P27" s="446">
        <v>321</v>
      </c>
      <c r="Q27" s="469">
        <v>0.5</v>
      </c>
      <c r="R27" s="447">
        <v>321</v>
      </c>
    </row>
    <row r="28" spans="1:18" ht="14.45" customHeight="1" x14ac:dyDescent="0.2">
      <c r="A28" s="441"/>
      <c r="B28" s="442" t="s">
        <v>1688</v>
      </c>
      <c r="C28" s="442" t="s">
        <v>444</v>
      </c>
      <c r="D28" s="442" t="s">
        <v>1689</v>
      </c>
      <c r="E28" s="442" t="s">
        <v>1712</v>
      </c>
      <c r="F28" s="442"/>
      <c r="G28" s="446">
        <v>14</v>
      </c>
      <c r="H28" s="446">
        <v>4494</v>
      </c>
      <c r="I28" s="442">
        <v>7</v>
      </c>
      <c r="J28" s="442">
        <v>321</v>
      </c>
      <c r="K28" s="446">
        <v>2</v>
      </c>
      <c r="L28" s="446">
        <v>642</v>
      </c>
      <c r="M28" s="442">
        <v>1</v>
      </c>
      <c r="N28" s="442">
        <v>321</v>
      </c>
      <c r="O28" s="446">
        <v>1</v>
      </c>
      <c r="P28" s="446">
        <v>321</v>
      </c>
      <c r="Q28" s="469">
        <v>0.5</v>
      </c>
      <c r="R28" s="447">
        <v>321</v>
      </c>
    </row>
    <row r="29" spans="1:18" ht="14.45" customHeight="1" x14ac:dyDescent="0.2">
      <c r="A29" s="441"/>
      <c r="B29" s="442" t="s">
        <v>1688</v>
      </c>
      <c r="C29" s="442" t="s">
        <v>444</v>
      </c>
      <c r="D29" s="442" t="s">
        <v>1689</v>
      </c>
      <c r="E29" s="442" t="s">
        <v>1713</v>
      </c>
      <c r="F29" s="442"/>
      <c r="G29" s="446">
        <v>40</v>
      </c>
      <c r="H29" s="446">
        <v>12840</v>
      </c>
      <c r="I29" s="442">
        <v>1.5384615384615385</v>
      </c>
      <c r="J29" s="442">
        <v>321</v>
      </c>
      <c r="K29" s="446">
        <v>26</v>
      </c>
      <c r="L29" s="446">
        <v>8346</v>
      </c>
      <c r="M29" s="442">
        <v>1</v>
      </c>
      <c r="N29" s="442">
        <v>321</v>
      </c>
      <c r="O29" s="446">
        <v>21</v>
      </c>
      <c r="P29" s="446">
        <v>6741</v>
      </c>
      <c r="Q29" s="469">
        <v>0.80769230769230771</v>
      </c>
      <c r="R29" s="447">
        <v>321</v>
      </c>
    </row>
    <row r="30" spans="1:18" ht="14.45" customHeight="1" x14ac:dyDescent="0.2">
      <c r="A30" s="441"/>
      <c r="B30" s="442" t="s">
        <v>1688</v>
      </c>
      <c r="C30" s="442" t="s">
        <v>444</v>
      </c>
      <c r="D30" s="442" t="s">
        <v>1689</v>
      </c>
      <c r="E30" s="442" t="s">
        <v>1714</v>
      </c>
      <c r="F30" s="442"/>
      <c r="G30" s="446">
        <v>1</v>
      </c>
      <c r="H30" s="446">
        <v>1230</v>
      </c>
      <c r="I30" s="442"/>
      <c r="J30" s="442">
        <v>1230</v>
      </c>
      <c r="K30" s="446"/>
      <c r="L30" s="446"/>
      <c r="M30" s="442"/>
      <c r="N30" s="442"/>
      <c r="O30" s="446"/>
      <c r="P30" s="446"/>
      <c r="Q30" s="469"/>
      <c r="R30" s="447"/>
    </row>
    <row r="31" spans="1:18" ht="14.45" customHeight="1" x14ac:dyDescent="0.2">
      <c r="A31" s="441"/>
      <c r="B31" s="442" t="s">
        <v>1688</v>
      </c>
      <c r="C31" s="442" t="s">
        <v>444</v>
      </c>
      <c r="D31" s="442" t="s">
        <v>1689</v>
      </c>
      <c r="E31" s="442" t="s">
        <v>1715</v>
      </c>
      <c r="F31" s="442"/>
      <c r="G31" s="446">
        <v>83</v>
      </c>
      <c r="H31" s="446">
        <v>23406</v>
      </c>
      <c r="I31" s="442">
        <v>2.024390243902439</v>
      </c>
      <c r="J31" s="442">
        <v>282</v>
      </c>
      <c r="K31" s="446">
        <v>41</v>
      </c>
      <c r="L31" s="446">
        <v>11562</v>
      </c>
      <c r="M31" s="442">
        <v>1</v>
      </c>
      <c r="N31" s="442">
        <v>282</v>
      </c>
      <c r="O31" s="446">
        <v>46</v>
      </c>
      <c r="P31" s="446">
        <v>12972</v>
      </c>
      <c r="Q31" s="469">
        <v>1.1219512195121952</v>
      </c>
      <c r="R31" s="447">
        <v>282</v>
      </c>
    </row>
    <row r="32" spans="1:18" ht="14.45" customHeight="1" x14ac:dyDescent="0.2">
      <c r="A32" s="441"/>
      <c r="B32" s="442" t="s">
        <v>1688</v>
      </c>
      <c r="C32" s="442" t="s">
        <v>444</v>
      </c>
      <c r="D32" s="442" t="s">
        <v>1689</v>
      </c>
      <c r="E32" s="442" t="s">
        <v>1716</v>
      </c>
      <c r="F32" s="442"/>
      <c r="G32" s="446">
        <v>31</v>
      </c>
      <c r="H32" s="446">
        <v>21049</v>
      </c>
      <c r="I32" s="442">
        <v>1.1923076923076923</v>
      </c>
      <c r="J32" s="442">
        <v>679</v>
      </c>
      <c r="K32" s="446">
        <v>26</v>
      </c>
      <c r="L32" s="446">
        <v>17654</v>
      </c>
      <c r="M32" s="442">
        <v>1</v>
      </c>
      <c r="N32" s="442">
        <v>679</v>
      </c>
      <c r="O32" s="446">
        <v>16</v>
      </c>
      <c r="P32" s="446">
        <v>10864</v>
      </c>
      <c r="Q32" s="469">
        <v>0.61538461538461542</v>
      </c>
      <c r="R32" s="447">
        <v>679</v>
      </c>
    </row>
    <row r="33" spans="1:18" ht="14.45" customHeight="1" x14ac:dyDescent="0.2">
      <c r="A33" s="441"/>
      <c r="B33" s="442" t="s">
        <v>1688</v>
      </c>
      <c r="C33" s="442" t="s">
        <v>444</v>
      </c>
      <c r="D33" s="442" t="s">
        <v>1689</v>
      </c>
      <c r="E33" s="442" t="s">
        <v>1717</v>
      </c>
      <c r="F33" s="442"/>
      <c r="G33" s="446">
        <v>13</v>
      </c>
      <c r="H33" s="446">
        <v>12077</v>
      </c>
      <c r="I33" s="442">
        <v>2.1666666666666665</v>
      </c>
      <c r="J33" s="442">
        <v>929</v>
      </c>
      <c r="K33" s="446">
        <v>6</v>
      </c>
      <c r="L33" s="446">
        <v>5574</v>
      </c>
      <c r="M33" s="442">
        <v>1</v>
      </c>
      <c r="N33" s="442">
        <v>929</v>
      </c>
      <c r="O33" s="446">
        <v>4</v>
      </c>
      <c r="P33" s="446">
        <v>3716</v>
      </c>
      <c r="Q33" s="469">
        <v>0.66666666666666663</v>
      </c>
      <c r="R33" s="447">
        <v>929</v>
      </c>
    </row>
    <row r="34" spans="1:18" ht="14.45" customHeight="1" x14ac:dyDescent="0.2">
      <c r="A34" s="441"/>
      <c r="B34" s="442" t="s">
        <v>1688</v>
      </c>
      <c r="C34" s="442" t="s">
        <v>444</v>
      </c>
      <c r="D34" s="442" t="s">
        <v>1689</v>
      </c>
      <c r="E34" s="442" t="s">
        <v>1718</v>
      </c>
      <c r="F34" s="442"/>
      <c r="G34" s="446">
        <v>1</v>
      </c>
      <c r="H34" s="446">
        <v>208</v>
      </c>
      <c r="I34" s="442"/>
      <c r="J34" s="442">
        <v>208</v>
      </c>
      <c r="K34" s="446"/>
      <c r="L34" s="446"/>
      <c r="M34" s="442"/>
      <c r="N34" s="442"/>
      <c r="O34" s="446"/>
      <c r="P34" s="446"/>
      <c r="Q34" s="469"/>
      <c r="R34" s="447"/>
    </row>
    <row r="35" spans="1:18" ht="14.45" customHeight="1" x14ac:dyDescent="0.2">
      <c r="A35" s="441"/>
      <c r="B35" s="442" t="s">
        <v>1688</v>
      </c>
      <c r="C35" s="442" t="s">
        <v>444</v>
      </c>
      <c r="D35" s="442" t="s">
        <v>1689</v>
      </c>
      <c r="E35" s="442" t="s">
        <v>1719</v>
      </c>
      <c r="F35" s="442"/>
      <c r="G35" s="446">
        <v>40</v>
      </c>
      <c r="H35" s="446">
        <v>80000</v>
      </c>
      <c r="I35" s="442">
        <v>0.68965517241379315</v>
      </c>
      <c r="J35" s="442">
        <v>2000</v>
      </c>
      <c r="K35" s="446">
        <v>58</v>
      </c>
      <c r="L35" s="446">
        <v>116000</v>
      </c>
      <c r="M35" s="442">
        <v>1</v>
      </c>
      <c r="N35" s="442">
        <v>2000</v>
      </c>
      <c r="O35" s="446">
        <v>32</v>
      </c>
      <c r="P35" s="446">
        <v>64000</v>
      </c>
      <c r="Q35" s="469">
        <v>0.55172413793103448</v>
      </c>
      <c r="R35" s="447">
        <v>2000</v>
      </c>
    </row>
    <row r="36" spans="1:18" ht="14.45" customHeight="1" x14ac:dyDescent="0.2">
      <c r="A36" s="441"/>
      <c r="B36" s="442" t="s">
        <v>1688</v>
      </c>
      <c r="C36" s="442" t="s">
        <v>444</v>
      </c>
      <c r="D36" s="442" t="s">
        <v>1689</v>
      </c>
      <c r="E36" s="442" t="s">
        <v>1720</v>
      </c>
      <c r="F36" s="442"/>
      <c r="G36" s="446">
        <v>7</v>
      </c>
      <c r="H36" s="446">
        <v>14168</v>
      </c>
      <c r="I36" s="442">
        <v>0.53846153846153844</v>
      </c>
      <c r="J36" s="442">
        <v>2024</v>
      </c>
      <c r="K36" s="446">
        <v>13</v>
      </c>
      <c r="L36" s="446">
        <v>26312</v>
      </c>
      <c r="M36" s="442">
        <v>1</v>
      </c>
      <c r="N36" s="442">
        <v>2024</v>
      </c>
      <c r="O36" s="446">
        <v>14</v>
      </c>
      <c r="P36" s="446">
        <v>28336</v>
      </c>
      <c r="Q36" s="469">
        <v>1.0769230769230769</v>
      </c>
      <c r="R36" s="447">
        <v>2024</v>
      </c>
    </row>
    <row r="37" spans="1:18" ht="14.45" customHeight="1" x14ac:dyDescent="0.2">
      <c r="A37" s="441"/>
      <c r="B37" s="442" t="s">
        <v>1688</v>
      </c>
      <c r="C37" s="442" t="s">
        <v>444</v>
      </c>
      <c r="D37" s="442" t="s">
        <v>1689</v>
      </c>
      <c r="E37" s="442" t="s">
        <v>1721</v>
      </c>
      <c r="F37" s="442"/>
      <c r="G37" s="446">
        <v>6</v>
      </c>
      <c r="H37" s="446">
        <v>12060</v>
      </c>
      <c r="I37" s="442">
        <v>3</v>
      </c>
      <c r="J37" s="442">
        <v>2010</v>
      </c>
      <c r="K37" s="446">
        <v>2</v>
      </c>
      <c r="L37" s="446">
        <v>4020</v>
      </c>
      <c r="M37" s="442">
        <v>1</v>
      </c>
      <c r="N37" s="442">
        <v>2010</v>
      </c>
      <c r="O37" s="446">
        <v>3</v>
      </c>
      <c r="P37" s="446">
        <v>6030</v>
      </c>
      <c r="Q37" s="469">
        <v>1.5</v>
      </c>
      <c r="R37" s="447">
        <v>2010</v>
      </c>
    </row>
    <row r="38" spans="1:18" ht="14.45" customHeight="1" x14ac:dyDescent="0.2">
      <c r="A38" s="441"/>
      <c r="B38" s="442" t="s">
        <v>1688</v>
      </c>
      <c r="C38" s="442" t="s">
        <v>444</v>
      </c>
      <c r="D38" s="442" t="s">
        <v>1689</v>
      </c>
      <c r="E38" s="442" t="s">
        <v>1722</v>
      </c>
      <c r="F38" s="442"/>
      <c r="G38" s="446">
        <v>1</v>
      </c>
      <c r="H38" s="446">
        <v>2146</v>
      </c>
      <c r="I38" s="442">
        <v>0.33333333333333331</v>
      </c>
      <c r="J38" s="442">
        <v>2146</v>
      </c>
      <c r="K38" s="446">
        <v>3</v>
      </c>
      <c r="L38" s="446">
        <v>6438</v>
      </c>
      <c r="M38" s="442">
        <v>1</v>
      </c>
      <c r="N38" s="442">
        <v>2146</v>
      </c>
      <c r="O38" s="446">
        <v>2</v>
      </c>
      <c r="P38" s="446">
        <v>4292</v>
      </c>
      <c r="Q38" s="469">
        <v>0.66666666666666663</v>
      </c>
      <c r="R38" s="447">
        <v>2146</v>
      </c>
    </row>
    <row r="39" spans="1:18" ht="14.45" customHeight="1" x14ac:dyDescent="0.2">
      <c r="A39" s="441"/>
      <c r="B39" s="442" t="s">
        <v>1688</v>
      </c>
      <c r="C39" s="442" t="s">
        <v>444</v>
      </c>
      <c r="D39" s="442" t="s">
        <v>1689</v>
      </c>
      <c r="E39" s="442" t="s">
        <v>1723</v>
      </c>
      <c r="F39" s="442"/>
      <c r="G39" s="446">
        <v>2</v>
      </c>
      <c r="H39" s="446">
        <v>2492</v>
      </c>
      <c r="I39" s="442">
        <v>1</v>
      </c>
      <c r="J39" s="442">
        <v>1246</v>
      </c>
      <c r="K39" s="446">
        <v>2</v>
      </c>
      <c r="L39" s="446">
        <v>2492</v>
      </c>
      <c r="M39" s="442">
        <v>1</v>
      </c>
      <c r="N39" s="442">
        <v>1246</v>
      </c>
      <c r="O39" s="446">
        <v>2</v>
      </c>
      <c r="P39" s="446">
        <v>2492</v>
      </c>
      <c r="Q39" s="469">
        <v>1</v>
      </c>
      <c r="R39" s="447">
        <v>1246</v>
      </c>
    </row>
    <row r="40" spans="1:18" ht="14.45" customHeight="1" x14ac:dyDescent="0.2">
      <c r="A40" s="441"/>
      <c r="B40" s="442" t="s">
        <v>1688</v>
      </c>
      <c r="C40" s="442" t="s">
        <v>444</v>
      </c>
      <c r="D40" s="442" t="s">
        <v>1689</v>
      </c>
      <c r="E40" s="442" t="s">
        <v>1724</v>
      </c>
      <c r="F40" s="442"/>
      <c r="G40" s="446">
        <v>2</v>
      </c>
      <c r="H40" s="446">
        <v>2690</v>
      </c>
      <c r="I40" s="442">
        <v>2</v>
      </c>
      <c r="J40" s="442">
        <v>1345</v>
      </c>
      <c r="K40" s="446">
        <v>1</v>
      </c>
      <c r="L40" s="446">
        <v>1345</v>
      </c>
      <c r="M40" s="442">
        <v>1</v>
      </c>
      <c r="N40" s="442">
        <v>1345</v>
      </c>
      <c r="O40" s="446">
        <v>2</v>
      </c>
      <c r="P40" s="446">
        <v>2690</v>
      </c>
      <c r="Q40" s="469">
        <v>2</v>
      </c>
      <c r="R40" s="447">
        <v>1345</v>
      </c>
    </row>
    <row r="41" spans="1:18" ht="14.45" customHeight="1" x14ac:dyDescent="0.2">
      <c r="A41" s="441"/>
      <c r="B41" s="442" t="s">
        <v>1688</v>
      </c>
      <c r="C41" s="442" t="s">
        <v>444</v>
      </c>
      <c r="D41" s="442" t="s">
        <v>1689</v>
      </c>
      <c r="E41" s="442" t="s">
        <v>1725</v>
      </c>
      <c r="F41" s="442"/>
      <c r="G41" s="446">
        <v>57</v>
      </c>
      <c r="H41" s="446">
        <v>222300</v>
      </c>
      <c r="I41" s="442">
        <v>1.2666666666666666</v>
      </c>
      <c r="J41" s="442">
        <v>3900</v>
      </c>
      <c r="K41" s="446">
        <v>45</v>
      </c>
      <c r="L41" s="446">
        <v>175500</v>
      </c>
      <c r="M41" s="442">
        <v>1</v>
      </c>
      <c r="N41" s="442">
        <v>3900</v>
      </c>
      <c r="O41" s="446">
        <v>36</v>
      </c>
      <c r="P41" s="446">
        <v>175750</v>
      </c>
      <c r="Q41" s="469">
        <v>1.0014245014245013</v>
      </c>
      <c r="R41" s="447">
        <v>4881.9444444444443</v>
      </c>
    </row>
    <row r="42" spans="1:18" ht="14.45" customHeight="1" x14ac:dyDescent="0.2">
      <c r="A42" s="441"/>
      <c r="B42" s="442" t="s">
        <v>1688</v>
      </c>
      <c r="C42" s="442" t="s">
        <v>444</v>
      </c>
      <c r="D42" s="442" t="s">
        <v>1689</v>
      </c>
      <c r="E42" s="442" t="s">
        <v>1726</v>
      </c>
      <c r="F42" s="442"/>
      <c r="G42" s="446">
        <v>35</v>
      </c>
      <c r="H42" s="446">
        <v>136500</v>
      </c>
      <c r="I42" s="442">
        <v>2.0588235294117645</v>
      </c>
      <c r="J42" s="442">
        <v>3900</v>
      </c>
      <c r="K42" s="446">
        <v>17</v>
      </c>
      <c r="L42" s="446">
        <v>66300</v>
      </c>
      <c r="M42" s="442">
        <v>1</v>
      </c>
      <c r="N42" s="442">
        <v>3900</v>
      </c>
      <c r="O42" s="446">
        <v>28</v>
      </c>
      <c r="P42" s="446">
        <v>136600</v>
      </c>
      <c r="Q42" s="469">
        <v>2.0603318250377072</v>
      </c>
      <c r="R42" s="447">
        <v>4878.5714285714284</v>
      </c>
    </row>
    <row r="43" spans="1:18" ht="14.45" customHeight="1" x14ac:dyDescent="0.2">
      <c r="A43" s="441"/>
      <c r="B43" s="442" t="s">
        <v>1688</v>
      </c>
      <c r="C43" s="442" t="s">
        <v>444</v>
      </c>
      <c r="D43" s="442" t="s">
        <v>1689</v>
      </c>
      <c r="E43" s="442" t="s">
        <v>1727</v>
      </c>
      <c r="F43" s="442"/>
      <c r="G43" s="446">
        <v>4</v>
      </c>
      <c r="H43" s="446">
        <v>5404</v>
      </c>
      <c r="I43" s="442">
        <v>1.3333333333333333</v>
      </c>
      <c r="J43" s="442">
        <v>1351</v>
      </c>
      <c r="K43" s="446">
        <v>3</v>
      </c>
      <c r="L43" s="446">
        <v>4053</v>
      </c>
      <c r="M43" s="442">
        <v>1</v>
      </c>
      <c r="N43" s="442">
        <v>1351</v>
      </c>
      <c r="O43" s="446"/>
      <c r="P43" s="446"/>
      <c r="Q43" s="469"/>
      <c r="R43" s="447"/>
    </row>
    <row r="44" spans="1:18" ht="14.45" customHeight="1" x14ac:dyDescent="0.2">
      <c r="A44" s="441"/>
      <c r="B44" s="442" t="s">
        <v>1688</v>
      </c>
      <c r="C44" s="442" t="s">
        <v>444</v>
      </c>
      <c r="D44" s="442" t="s">
        <v>1689</v>
      </c>
      <c r="E44" s="442" t="s">
        <v>1728</v>
      </c>
      <c r="F44" s="442"/>
      <c r="G44" s="446">
        <v>10</v>
      </c>
      <c r="H44" s="446">
        <v>1640</v>
      </c>
      <c r="I44" s="442">
        <v>0.5</v>
      </c>
      <c r="J44" s="442">
        <v>164</v>
      </c>
      <c r="K44" s="446">
        <v>20</v>
      </c>
      <c r="L44" s="446">
        <v>3280</v>
      </c>
      <c r="M44" s="442">
        <v>1</v>
      </c>
      <c r="N44" s="442">
        <v>164</v>
      </c>
      <c r="O44" s="446">
        <v>16</v>
      </c>
      <c r="P44" s="446">
        <v>2624</v>
      </c>
      <c r="Q44" s="469">
        <v>0.8</v>
      </c>
      <c r="R44" s="447">
        <v>164</v>
      </c>
    </row>
    <row r="45" spans="1:18" ht="14.45" customHeight="1" x14ac:dyDescent="0.2">
      <c r="A45" s="441"/>
      <c r="B45" s="442" t="s">
        <v>1688</v>
      </c>
      <c r="C45" s="442" t="s">
        <v>444</v>
      </c>
      <c r="D45" s="442" t="s">
        <v>1689</v>
      </c>
      <c r="E45" s="442" t="s">
        <v>1729</v>
      </c>
      <c r="F45" s="442"/>
      <c r="G45" s="446">
        <v>41</v>
      </c>
      <c r="H45" s="446">
        <v>9225</v>
      </c>
      <c r="I45" s="442">
        <v>0.95348837209302328</v>
      </c>
      <c r="J45" s="442">
        <v>225</v>
      </c>
      <c r="K45" s="446">
        <v>43</v>
      </c>
      <c r="L45" s="446">
        <v>9675</v>
      </c>
      <c r="M45" s="442">
        <v>1</v>
      </c>
      <c r="N45" s="442">
        <v>225</v>
      </c>
      <c r="O45" s="446">
        <v>67</v>
      </c>
      <c r="P45" s="446">
        <v>15075</v>
      </c>
      <c r="Q45" s="469">
        <v>1.558139534883721</v>
      </c>
      <c r="R45" s="447">
        <v>225</v>
      </c>
    </row>
    <row r="46" spans="1:18" ht="14.45" customHeight="1" x14ac:dyDescent="0.2">
      <c r="A46" s="441"/>
      <c r="B46" s="442" t="s">
        <v>1688</v>
      </c>
      <c r="C46" s="442" t="s">
        <v>444</v>
      </c>
      <c r="D46" s="442" t="s">
        <v>1689</v>
      </c>
      <c r="E46" s="442" t="s">
        <v>1730</v>
      </c>
      <c r="F46" s="442"/>
      <c r="G46" s="446">
        <v>23</v>
      </c>
      <c r="H46" s="446">
        <v>8349</v>
      </c>
      <c r="I46" s="442">
        <v>2.5555555555555554</v>
      </c>
      <c r="J46" s="442">
        <v>363</v>
      </c>
      <c r="K46" s="446">
        <v>9</v>
      </c>
      <c r="L46" s="446">
        <v>3267</v>
      </c>
      <c r="M46" s="442">
        <v>1</v>
      </c>
      <c r="N46" s="442">
        <v>363</v>
      </c>
      <c r="O46" s="446">
        <v>15</v>
      </c>
      <c r="P46" s="446">
        <v>5445</v>
      </c>
      <c r="Q46" s="469">
        <v>1.6666666666666667</v>
      </c>
      <c r="R46" s="447">
        <v>363</v>
      </c>
    </row>
    <row r="47" spans="1:18" ht="14.45" customHeight="1" x14ac:dyDescent="0.2">
      <c r="A47" s="441"/>
      <c r="B47" s="442" t="s">
        <v>1688</v>
      </c>
      <c r="C47" s="442" t="s">
        <v>444</v>
      </c>
      <c r="D47" s="442" t="s">
        <v>1689</v>
      </c>
      <c r="E47" s="442" t="s">
        <v>1731</v>
      </c>
      <c r="F47" s="442"/>
      <c r="G47" s="446">
        <v>26</v>
      </c>
      <c r="H47" s="446">
        <v>15262</v>
      </c>
      <c r="I47" s="442">
        <v>1.7333333333333334</v>
      </c>
      <c r="J47" s="442">
        <v>587</v>
      </c>
      <c r="K47" s="446">
        <v>15</v>
      </c>
      <c r="L47" s="446">
        <v>8805</v>
      </c>
      <c r="M47" s="442">
        <v>1</v>
      </c>
      <c r="N47" s="442">
        <v>587</v>
      </c>
      <c r="O47" s="446">
        <v>15</v>
      </c>
      <c r="P47" s="446">
        <v>8805</v>
      </c>
      <c r="Q47" s="469">
        <v>1</v>
      </c>
      <c r="R47" s="447">
        <v>587</v>
      </c>
    </row>
    <row r="48" spans="1:18" ht="14.45" customHeight="1" x14ac:dyDescent="0.2">
      <c r="A48" s="441"/>
      <c r="B48" s="442" t="s">
        <v>1688</v>
      </c>
      <c r="C48" s="442" t="s">
        <v>444</v>
      </c>
      <c r="D48" s="442" t="s">
        <v>1689</v>
      </c>
      <c r="E48" s="442" t="s">
        <v>1732</v>
      </c>
      <c r="F48" s="442"/>
      <c r="G48" s="446">
        <v>7</v>
      </c>
      <c r="H48" s="446">
        <v>4200</v>
      </c>
      <c r="I48" s="442">
        <v>7</v>
      </c>
      <c r="J48" s="442">
        <v>600</v>
      </c>
      <c r="K48" s="446">
        <v>1</v>
      </c>
      <c r="L48" s="446">
        <v>600</v>
      </c>
      <c r="M48" s="442">
        <v>1</v>
      </c>
      <c r="N48" s="442">
        <v>600</v>
      </c>
      <c r="O48" s="446">
        <v>7</v>
      </c>
      <c r="P48" s="446">
        <v>4200</v>
      </c>
      <c r="Q48" s="469">
        <v>7</v>
      </c>
      <c r="R48" s="447">
        <v>600</v>
      </c>
    </row>
    <row r="49" spans="1:18" ht="14.45" customHeight="1" x14ac:dyDescent="0.2">
      <c r="A49" s="441"/>
      <c r="B49" s="442" t="s">
        <v>1688</v>
      </c>
      <c r="C49" s="442" t="s">
        <v>444</v>
      </c>
      <c r="D49" s="442" t="s">
        <v>1689</v>
      </c>
      <c r="E49" s="442" t="s">
        <v>1733</v>
      </c>
      <c r="F49" s="442"/>
      <c r="G49" s="446"/>
      <c r="H49" s="446"/>
      <c r="I49" s="442"/>
      <c r="J49" s="442"/>
      <c r="K49" s="446">
        <v>1</v>
      </c>
      <c r="L49" s="446">
        <v>4231</v>
      </c>
      <c r="M49" s="442">
        <v>1</v>
      </c>
      <c r="N49" s="442">
        <v>4231</v>
      </c>
      <c r="O49" s="446">
        <v>2</v>
      </c>
      <c r="P49" s="446">
        <v>8462</v>
      </c>
      <c r="Q49" s="469">
        <v>2</v>
      </c>
      <c r="R49" s="447">
        <v>4231</v>
      </c>
    </row>
    <row r="50" spans="1:18" ht="14.45" customHeight="1" x14ac:dyDescent="0.2">
      <c r="A50" s="441"/>
      <c r="B50" s="442" t="s">
        <v>1688</v>
      </c>
      <c r="C50" s="442" t="s">
        <v>444</v>
      </c>
      <c r="D50" s="442" t="s">
        <v>1689</v>
      </c>
      <c r="E50" s="442" t="s">
        <v>1734</v>
      </c>
      <c r="F50" s="442"/>
      <c r="G50" s="446"/>
      <c r="H50" s="446"/>
      <c r="I50" s="442"/>
      <c r="J50" s="442"/>
      <c r="K50" s="446">
        <v>7</v>
      </c>
      <c r="L50" s="446">
        <v>7056</v>
      </c>
      <c r="M50" s="442">
        <v>1</v>
      </c>
      <c r="N50" s="442">
        <v>1008</v>
      </c>
      <c r="O50" s="446">
        <v>1</v>
      </c>
      <c r="P50" s="446">
        <v>1008</v>
      </c>
      <c r="Q50" s="469">
        <v>0.14285714285714285</v>
      </c>
      <c r="R50" s="447">
        <v>1008</v>
      </c>
    </row>
    <row r="51" spans="1:18" ht="14.45" customHeight="1" x14ac:dyDescent="0.2">
      <c r="A51" s="441"/>
      <c r="B51" s="442" t="s">
        <v>1688</v>
      </c>
      <c r="C51" s="442" t="s">
        <v>444</v>
      </c>
      <c r="D51" s="442" t="s">
        <v>1689</v>
      </c>
      <c r="E51" s="442" t="s">
        <v>1735</v>
      </c>
      <c r="F51" s="442"/>
      <c r="G51" s="446">
        <v>3</v>
      </c>
      <c r="H51" s="446">
        <v>2235</v>
      </c>
      <c r="I51" s="442">
        <v>0.42857142857142855</v>
      </c>
      <c r="J51" s="442">
        <v>745</v>
      </c>
      <c r="K51" s="446">
        <v>7</v>
      </c>
      <c r="L51" s="446">
        <v>5215</v>
      </c>
      <c r="M51" s="442">
        <v>1</v>
      </c>
      <c r="N51" s="442">
        <v>745</v>
      </c>
      <c r="O51" s="446">
        <v>3</v>
      </c>
      <c r="P51" s="446">
        <v>2235</v>
      </c>
      <c r="Q51" s="469">
        <v>0.42857142857142855</v>
      </c>
      <c r="R51" s="447">
        <v>745</v>
      </c>
    </row>
    <row r="52" spans="1:18" ht="14.45" customHeight="1" x14ac:dyDescent="0.2">
      <c r="A52" s="441"/>
      <c r="B52" s="442" t="s">
        <v>1688</v>
      </c>
      <c r="C52" s="442" t="s">
        <v>444</v>
      </c>
      <c r="D52" s="442" t="s">
        <v>1689</v>
      </c>
      <c r="E52" s="442" t="s">
        <v>1736</v>
      </c>
      <c r="F52" s="442"/>
      <c r="G52" s="446">
        <v>10</v>
      </c>
      <c r="H52" s="446">
        <v>5610</v>
      </c>
      <c r="I52" s="442">
        <v>0.7142857142857143</v>
      </c>
      <c r="J52" s="442">
        <v>561</v>
      </c>
      <c r="K52" s="446">
        <v>14</v>
      </c>
      <c r="L52" s="446">
        <v>7854</v>
      </c>
      <c r="M52" s="442">
        <v>1</v>
      </c>
      <c r="N52" s="442">
        <v>561</v>
      </c>
      <c r="O52" s="446"/>
      <c r="P52" s="446"/>
      <c r="Q52" s="469"/>
      <c r="R52" s="447"/>
    </row>
    <row r="53" spans="1:18" ht="14.45" customHeight="1" x14ac:dyDescent="0.2">
      <c r="A53" s="441"/>
      <c r="B53" s="442" t="s">
        <v>1688</v>
      </c>
      <c r="C53" s="442" t="s">
        <v>444</v>
      </c>
      <c r="D53" s="442" t="s">
        <v>1689</v>
      </c>
      <c r="E53" s="442" t="s">
        <v>1737</v>
      </c>
      <c r="F53" s="442"/>
      <c r="G53" s="446">
        <v>3</v>
      </c>
      <c r="H53" s="446">
        <v>3366</v>
      </c>
      <c r="I53" s="442"/>
      <c r="J53" s="442">
        <v>1122</v>
      </c>
      <c r="K53" s="446"/>
      <c r="L53" s="446"/>
      <c r="M53" s="442"/>
      <c r="N53" s="442"/>
      <c r="O53" s="446"/>
      <c r="P53" s="446"/>
      <c r="Q53" s="469"/>
      <c r="R53" s="447"/>
    </row>
    <row r="54" spans="1:18" ht="14.45" customHeight="1" x14ac:dyDescent="0.2">
      <c r="A54" s="441"/>
      <c r="B54" s="442" t="s">
        <v>1688</v>
      </c>
      <c r="C54" s="442" t="s">
        <v>444</v>
      </c>
      <c r="D54" s="442" t="s">
        <v>1689</v>
      </c>
      <c r="E54" s="442" t="s">
        <v>1738</v>
      </c>
      <c r="F54" s="442"/>
      <c r="G54" s="446">
        <v>3</v>
      </c>
      <c r="H54" s="446">
        <v>2601</v>
      </c>
      <c r="I54" s="442">
        <v>3</v>
      </c>
      <c r="J54" s="442">
        <v>867</v>
      </c>
      <c r="K54" s="446">
        <v>1</v>
      </c>
      <c r="L54" s="446">
        <v>867</v>
      </c>
      <c r="M54" s="442">
        <v>1</v>
      </c>
      <c r="N54" s="442">
        <v>867</v>
      </c>
      <c r="O54" s="446"/>
      <c r="P54" s="446"/>
      <c r="Q54" s="469"/>
      <c r="R54" s="447"/>
    </row>
    <row r="55" spans="1:18" ht="14.45" customHeight="1" x14ac:dyDescent="0.2">
      <c r="A55" s="441"/>
      <c r="B55" s="442" t="s">
        <v>1688</v>
      </c>
      <c r="C55" s="442" t="s">
        <v>444</v>
      </c>
      <c r="D55" s="442" t="s">
        <v>1689</v>
      </c>
      <c r="E55" s="442" t="s">
        <v>1739</v>
      </c>
      <c r="F55" s="442"/>
      <c r="G55" s="446">
        <v>4</v>
      </c>
      <c r="H55" s="446">
        <v>2200</v>
      </c>
      <c r="I55" s="442">
        <v>4</v>
      </c>
      <c r="J55" s="442">
        <v>550</v>
      </c>
      <c r="K55" s="446">
        <v>1</v>
      </c>
      <c r="L55" s="446">
        <v>550</v>
      </c>
      <c r="M55" s="442">
        <v>1</v>
      </c>
      <c r="N55" s="442">
        <v>550</v>
      </c>
      <c r="O55" s="446">
        <v>1</v>
      </c>
      <c r="P55" s="446">
        <v>550</v>
      </c>
      <c r="Q55" s="469">
        <v>1</v>
      </c>
      <c r="R55" s="447">
        <v>550</v>
      </c>
    </row>
    <row r="56" spans="1:18" ht="14.45" customHeight="1" x14ac:dyDescent="0.2">
      <c r="A56" s="441"/>
      <c r="B56" s="442" t="s">
        <v>1688</v>
      </c>
      <c r="C56" s="442" t="s">
        <v>444</v>
      </c>
      <c r="D56" s="442" t="s">
        <v>1689</v>
      </c>
      <c r="E56" s="442" t="s">
        <v>1740</v>
      </c>
      <c r="F56" s="442"/>
      <c r="G56" s="446">
        <v>1</v>
      </c>
      <c r="H56" s="446">
        <v>1395</v>
      </c>
      <c r="I56" s="442"/>
      <c r="J56" s="442">
        <v>1395</v>
      </c>
      <c r="K56" s="446"/>
      <c r="L56" s="446"/>
      <c r="M56" s="442"/>
      <c r="N56" s="442"/>
      <c r="O56" s="446">
        <v>4</v>
      </c>
      <c r="P56" s="446">
        <v>5580</v>
      </c>
      <c r="Q56" s="469"/>
      <c r="R56" s="447">
        <v>1395</v>
      </c>
    </row>
    <row r="57" spans="1:18" ht="14.45" customHeight="1" x14ac:dyDescent="0.2">
      <c r="A57" s="441"/>
      <c r="B57" s="442" t="s">
        <v>1688</v>
      </c>
      <c r="C57" s="442" t="s">
        <v>444</v>
      </c>
      <c r="D57" s="442" t="s">
        <v>1689</v>
      </c>
      <c r="E57" s="442" t="s">
        <v>1741</v>
      </c>
      <c r="F57" s="442"/>
      <c r="G57" s="446">
        <v>3</v>
      </c>
      <c r="H57" s="446">
        <v>1557</v>
      </c>
      <c r="I57" s="442">
        <v>0.5</v>
      </c>
      <c r="J57" s="442">
        <v>519</v>
      </c>
      <c r="K57" s="446">
        <v>6</v>
      </c>
      <c r="L57" s="446">
        <v>3114</v>
      </c>
      <c r="M57" s="442">
        <v>1</v>
      </c>
      <c r="N57" s="442">
        <v>519</v>
      </c>
      <c r="O57" s="446">
        <v>1</v>
      </c>
      <c r="P57" s="446">
        <v>519</v>
      </c>
      <c r="Q57" s="469">
        <v>0.16666666666666666</v>
      </c>
      <c r="R57" s="447">
        <v>519</v>
      </c>
    </row>
    <row r="58" spans="1:18" ht="14.45" customHeight="1" x14ac:dyDescent="0.2">
      <c r="A58" s="441"/>
      <c r="B58" s="442" t="s">
        <v>1688</v>
      </c>
      <c r="C58" s="442" t="s">
        <v>444</v>
      </c>
      <c r="D58" s="442" t="s">
        <v>1689</v>
      </c>
      <c r="E58" s="442" t="s">
        <v>1742</v>
      </c>
      <c r="F58" s="442"/>
      <c r="G58" s="446"/>
      <c r="H58" s="446"/>
      <c r="I58" s="442"/>
      <c r="J58" s="442"/>
      <c r="K58" s="446">
        <v>1</v>
      </c>
      <c r="L58" s="446">
        <v>1326</v>
      </c>
      <c r="M58" s="442">
        <v>1</v>
      </c>
      <c r="N58" s="442">
        <v>1326</v>
      </c>
      <c r="O58" s="446">
        <v>3</v>
      </c>
      <c r="P58" s="446">
        <v>3978</v>
      </c>
      <c r="Q58" s="469">
        <v>3</v>
      </c>
      <c r="R58" s="447">
        <v>1326</v>
      </c>
    </row>
    <row r="59" spans="1:18" ht="14.45" customHeight="1" x14ac:dyDescent="0.2">
      <c r="A59" s="441"/>
      <c r="B59" s="442" t="s">
        <v>1688</v>
      </c>
      <c r="C59" s="442" t="s">
        <v>444</v>
      </c>
      <c r="D59" s="442" t="s">
        <v>1689</v>
      </c>
      <c r="E59" s="442" t="s">
        <v>1743</v>
      </c>
      <c r="F59" s="442"/>
      <c r="G59" s="446">
        <v>7</v>
      </c>
      <c r="H59" s="446">
        <v>2835</v>
      </c>
      <c r="I59" s="442">
        <v>2.3333333333333335</v>
      </c>
      <c r="J59" s="442">
        <v>405</v>
      </c>
      <c r="K59" s="446">
        <v>3</v>
      </c>
      <c r="L59" s="446">
        <v>1215</v>
      </c>
      <c r="M59" s="442">
        <v>1</v>
      </c>
      <c r="N59" s="442">
        <v>405</v>
      </c>
      <c r="O59" s="446">
        <v>3</v>
      </c>
      <c r="P59" s="446">
        <v>1215</v>
      </c>
      <c r="Q59" s="469">
        <v>1</v>
      </c>
      <c r="R59" s="447">
        <v>405</v>
      </c>
    </row>
    <row r="60" spans="1:18" ht="14.45" customHeight="1" x14ac:dyDescent="0.2">
      <c r="A60" s="441"/>
      <c r="B60" s="442" t="s">
        <v>1688</v>
      </c>
      <c r="C60" s="442" t="s">
        <v>444</v>
      </c>
      <c r="D60" s="442" t="s">
        <v>1689</v>
      </c>
      <c r="E60" s="442" t="s">
        <v>1744</v>
      </c>
      <c r="F60" s="442"/>
      <c r="G60" s="446">
        <v>13</v>
      </c>
      <c r="H60" s="446">
        <v>7150</v>
      </c>
      <c r="I60" s="442">
        <v>6.5</v>
      </c>
      <c r="J60" s="442">
        <v>550</v>
      </c>
      <c r="K60" s="446">
        <v>2</v>
      </c>
      <c r="L60" s="446">
        <v>1100</v>
      </c>
      <c r="M60" s="442">
        <v>1</v>
      </c>
      <c r="N60" s="442">
        <v>550</v>
      </c>
      <c r="O60" s="446">
        <v>2</v>
      </c>
      <c r="P60" s="446">
        <v>1490</v>
      </c>
      <c r="Q60" s="469">
        <v>1.3545454545454545</v>
      </c>
      <c r="R60" s="447">
        <v>745</v>
      </c>
    </row>
    <row r="61" spans="1:18" ht="14.45" customHeight="1" x14ac:dyDescent="0.2">
      <c r="A61" s="441"/>
      <c r="B61" s="442" t="s">
        <v>1688</v>
      </c>
      <c r="C61" s="442" t="s">
        <v>444</v>
      </c>
      <c r="D61" s="442" t="s">
        <v>1689</v>
      </c>
      <c r="E61" s="442" t="s">
        <v>1745</v>
      </c>
      <c r="F61" s="442"/>
      <c r="G61" s="446">
        <v>2</v>
      </c>
      <c r="H61" s="446">
        <v>0</v>
      </c>
      <c r="I61" s="442"/>
      <c r="J61" s="442">
        <v>0</v>
      </c>
      <c r="K61" s="446">
        <v>5</v>
      </c>
      <c r="L61" s="446">
        <v>0</v>
      </c>
      <c r="M61" s="442"/>
      <c r="N61" s="442">
        <v>0</v>
      </c>
      <c r="O61" s="446">
        <v>4</v>
      </c>
      <c r="P61" s="446">
        <v>0</v>
      </c>
      <c r="Q61" s="469"/>
      <c r="R61" s="447">
        <v>0</v>
      </c>
    </row>
    <row r="62" spans="1:18" ht="14.45" customHeight="1" x14ac:dyDescent="0.2">
      <c r="A62" s="441"/>
      <c r="B62" s="442" t="s">
        <v>1688</v>
      </c>
      <c r="C62" s="442" t="s">
        <v>444</v>
      </c>
      <c r="D62" s="442" t="s">
        <v>1689</v>
      </c>
      <c r="E62" s="442" t="s">
        <v>1746</v>
      </c>
      <c r="F62" s="442"/>
      <c r="G62" s="446">
        <v>0</v>
      </c>
      <c r="H62" s="446">
        <v>0</v>
      </c>
      <c r="I62" s="442"/>
      <c r="J62" s="442"/>
      <c r="K62" s="446">
        <v>1</v>
      </c>
      <c r="L62" s="446">
        <v>0</v>
      </c>
      <c r="M62" s="442"/>
      <c r="N62" s="442">
        <v>0</v>
      </c>
      <c r="O62" s="446">
        <v>2</v>
      </c>
      <c r="P62" s="446">
        <v>0</v>
      </c>
      <c r="Q62" s="469"/>
      <c r="R62" s="447">
        <v>0</v>
      </c>
    </row>
    <row r="63" spans="1:18" ht="14.45" customHeight="1" x14ac:dyDescent="0.2">
      <c r="A63" s="441"/>
      <c r="B63" s="442" t="s">
        <v>1688</v>
      </c>
      <c r="C63" s="442" t="s">
        <v>444</v>
      </c>
      <c r="D63" s="442" t="s">
        <v>1689</v>
      </c>
      <c r="E63" s="442" t="s">
        <v>1747</v>
      </c>
      <c r="F63" s="442"/>
      <c r="G63" s="446"/>
      <c r="H63" s="446"/>
      <c r="I63" s="442"/>
      <c r="J63" s="442"/>
      <c r="K63" s="446">
        <v>1</v>
      </c>
      <c r="L63" s="446">
        <v>0</v>
      </c>
      <c r="M63" s="442"/>
      <c r="N63" s="442">
        <v>0</v>
      </c>
      <c r="O63" s="446"/>
      <c r="P63" s="446"/>
      <c r="Q63" s="469"/>
      <c r="R63" s="447"/>
    </row>
    <row r="64" spans="1:18" ht="14.45" customHeight="1" x14ac:dyDescent="0.2">
      <c r="A64" s="441"/>
      <c r="B64" s="442" t="s">
        <v>1688</v>
      </c>
      <c r="C64" s="442" t="s">
        <v>444</v>
      </c>
      <c r="D64" s="442" t="s">
        <v>1689</v>
      </c>
      <c r="E64" s="442" t="s">
        <v>1748</v>
      </c>
      <c r="F64" s="442"/>
      <c r="G64" s="446">
        <v>1</v>
      </c>
      <c r="H64" s="446">
        <v>1065</v>
      </c>
      <c r="I64" s="442"/>
      <c r="J64" s="442">
        <v>1065</v>
      </c>
      <c r="K64" s="446"/>
      <c r="L64" s="446"/>
      <c r="M64" s="442"/>
      <c r="N64" s="442"/>
      <c r="O64" s="446"/>
      <c r="P64" s="446"/>
      <c r="Q64" s="469"/>
      <c r="R64" s="447"/>
    </row>
    <row r="65" spans="1:18" ht="14.45" customHeight="1" x14ac:dyDescent="0.2">
      <c r="A65" s="441"/>
      <c r="B65" s="442" t="s">
        <v>1688</v>
      </c>
      <c r="C65" s="442" t="s">
        <v>444</v>
      </c>
      <c r="D65" s="442" t="s">
        <v>1689</v>
      </c>
      <c r="E65" s="442" t="s">
        <v>1749</v>
      </c>
      <c r="F65" s="442"/>
      <c r="G65" s="446"/>
      <c r="H65" s="446"/>
      <c r="I65" s="442"/>
      <c r="J65" s="442"/>
      <c r="K65" s="446">
        <v>0</v>
      </c>
      <c r="L65" s="446">
        <v>0</v>
      </c>
      <c r="M65" s="442"/>
      <c r="N65" s="442"/>
      <c r="O65" s="446">
        <v>0</v>
      </c>
      <c r="P65" s="446">
        <v>0</v>
      </c>
      <c r="Q65" s="469"/>
      <c r="R65" s="447"/>
    </row>
    <row r="66" spans="1:18" ht="14.45" customHeight="1" x14ac:dyDescent="0.2">
      <c r="A66" s="441"/>
      <c r="B66" s="442" t="s">
        <v>1688</v>
      </c>
      <c r="C66" s="442" t="s">
        <v>444</v>
      </c>
      <c r="D66" s="442" t="s">
        <v>1689</v>
      </c>
      <c r="E66" s="442" t="s">
        <v>1750</v>
      </c>
      <c r="F66" s="442"/>
      <c r="G66" s="446">
        <v>1</v>
      </c>
      <c r="H66" s="446">
        <v>1014</v>
      </c>
      <c r="I66" s="442"/>
      <c r="J66" s="442">
        <v>1014</v>
      </c>
      <c r="K66" s="446"/>
      <c r="L66" s="446"/>
      <c r="M66" s="442"/>
      <c r="N66" s="442"/>
      <c r="O66" s="446"/>
      <c r="P66" s="446"/>
      <c r="Q66" s="469"/>
      <c r="R66" s="447"/>
    </row>
    <row r="67" spans="1:18" ht="14.45" customHeight="1" x14ac:dyDescent="0.2">
      <c r="A67" s="441"/>
      <c r="B67" s="442" t="s">
        <v>1688</v>
      </c>
      <c r="C67" s="442" t="s">
        <v>444</v>
      </c>
      <c r="D67" s="442" t="s">
        <v>1689</v>
      </c>
      <c r="E67" s="442" t="s">
        <v>1751</v>
      </c>
      <c r="F67" s="442"/>
      <c r="G67" s="446">
        <v>4</v>
      </c>
      <c r="H67" s="446">
        <v>0</v>
      </c>
      <c r="I67" s="442"/>
      <c r="J67" s="442">
        <v>0</v>
      </c>
      <c r="K67" s="446"/>
      <c r="L67" s="446"/>
      <c r="M67" s="442"/>
      <c r="N67" s="442"/>
      <c r="O67" s="446"/>
      <c r="P67" s="446"/>
      <c r="Q67" s="469"/>
      <c r="R67" s="447"/>
    </row>
    <row r="68" spans="1:18" ht="14.45" customHeight="1" x14ac:dyDescent="0.2">
      <c r="A68" s="441"/>
      <c r="B68" s="442" t="s">
        <v>1688</v>
      </c>
      <c r="C68" s="442" t="s">
        <v>444</v>
      </c>
      <c r="D68" s="442" t="s">
        <v>1689</v>
      </c>
      <c r="E68" s="442" t="s">
        <v>1752</v>
      </c>
      <c r="F68" s="442"/>
      <c r="G68" s="446"/>
      <c r="H68" s="446"/>
      <c r="I68" s="442"/>
      <c r="J68" s="442"/>
      <c r="K68" s="446">
        <v>1</v>
      </c>
      <c r="L68" s="446">
        <v>0</v>
      </c>
      <c r="M68" s="442"/>
      <c r="N68" s="442">
        <v>0</v>
      </c>
      <c r="O68" s="446"/>
      <c r="P68" s="446"/>
      <c r="Q68" s="469"/>
      <c r="R68" s="447"/>
    </row>
    <row r="69" spans="1:18" ht="14.45" customHeight="1" x14ac:dyDescent="0.2">
      <c r="A69" s="441"/>
      <c r="B69" s="442" t="s">
        <v>1688</v>
      </c>
      <c r="C69" s="442" t="s">
        <v>444</v>
      </c>
      <c r="D69" s="442" t="s">
        <v>1689</v>
      </c>
      <c r="E69" s="442" t="s">
        <v>1753</v>
      </c>
      <c r="F69" s="442"/>
      <c r="G69" s="446"/>
      <c r="H69" s="446"/>
      <c r="I69" s="442"/>
      <c r="J69" s="442"/>
      <c r="K69" s="446">
        <v>1</v>
      </c>
      <c r="L69" s="446">
        <v>0</v>
      </c>
      <c r="M69" s="442"/>
      <c r="N69" s="442">
        <v>0</v>
      </c>
      <c r="O69" s="446"/>
      <c r="P69" s="446"/>
      <c r="Q69" s="469"/>
      <c r="R69" s="447"/>
    </row>
    <row r="70" spans="1:18" ht="14.45" customHeight="1" x14ac:dyDescent="0.2">
      <c r="A70" s="441"/>
      <c r="B70" s="442" t="s">
        <v>1688</v>
      </c>
      <c r="C70" s="442" t="s">
        <v>444</v>
      </c>
      <c r="D70" s="442" t="s">
        <v>1689</v>
      </c>
      <c r="E70" s="442" t="s">
        <v>1754</v>
      </c>
      <c r="F70" s="442"/>
      <c r="G70" s="446"/>
      <c r="H70" s="446"/>
      <c r="I70" s="442"/>
      <c r="J70" s="442"/>
      <c r="K70" s="446">
        <v>1</v>
      </c>
      <c r="L70" s="446">
        <v>550</v>
      </c>
      <c r="M70" s="442">
        <v>1</v>
      </c>
      <c r="N70" s="442">
        <v>550</v>
      </c>
      <c r="O70" s="446"/>
      <c r="P70" s="446"/>
      <c r="Q70" s="469"/>
      <c r="R70" s="447"/>
    </row>
    <row r="71" spans="1:18" ht="14.45" customHeight="1" x14ac:dyDescent="0.2">
      <c r="A71" s="441"/>
      <c r="B71" s="442" t="s">
        <v>1688</v>
      </c>
      <c r="C71" s="442" t="s">
        <v>444</v>
      </c>
      <c r="D71" s="442" t="s">
        <v>1689</v>
      </c>
      <c r="E71" s="442" t="s">
        <v>1755</v>
      </c>
      <c r="F71" s="442"/>
      <c r="G71" s="446">
        <v>2</v>
      </c>
      <c r="H71" s="446">
        <v>1100</v>
      </c>
      <c r="I71" s="442"/>
      <c r="J71" s="442">
        <v>550</v>
      </c>
      <c r="K71" s="446"/>
      <c r="L71" s="446"/>
      <c r="M71" s="442"/>
      <c r="N71" s="442"/>
      <c r="O71" s="446"/>
      <c r="P71" s="446"/>
      <c r="Q71" s="469"/>
      <c r="R71" s="447"/>
    </row>
    <row r="72" spans="1:18" ht="14.45" customHeight="1" x14ac:dyDescent="0.2">
      <c r="A72" s="441"/>
      <c r="B72" s="442" t="s">
        <v>1688</v>
      </c>
      <c r="C72" s="442" t="s">
        <v>444</v>
      </c>
      <c r="D72" s="442" t="s">
        <v>1689</v>
      </c>
      <c r="E72" s="442" t="s">
        <v>1756</v>
      </c>
      <c r="F72" s="442"/>
      <c r="G72" s="446"/>
      <c r="H72" s="446"/>
      <c r="I72" s="442"/>
      <c r="J72" s="442"/>
      <c r="K72" s="446">
        <v>2</v>
      </c>
      <c r="L72" s="446">
        <v>1630</v>
      </c>
      <c r="M72" s="442">
        <v>1</v>
      </c>
      <c r="N72" s="442">
        <v>815</v>
      </c>
      <c r="O72" s="446"/>
      <c r="P72" s="446"/>
      <c r="Q72" s="469"/>
      <c r="R72" s="447"/>
    </row>
    <row r="73" spans="1:18" ht="14.45" customHeight="1" x14ac:dyDescent="0.2">
      <c r="A73" s="441"/>
      <c r="B73" s="442" t="s">
        <v>1688</v>
      </c>
      <c r="C73" s="442" t="s">
        <v>444</v>
      </c>
      <c r="D73" s="442" t="s">
        <v>1689</v>
      </c>
      <c r="E73" s="442" t="s">
        <v>1757</v>
      </c>
      <c r="F73" s="442"/>
      <c r="G73" s="446"/>
      <c r="H73" s="446"/>
      <c r="I73" s="442"/>
      <c r="J73" s="442"/>
      <c r="K73" s="446">
        <v>1</v>
      </c>
      <c r="L73" s="446">
        <v>2490</v>
      </c>
      <c r="M73" s="442">
        <v>1</v>
      </c>
      <c r="N73" s="442">
        <v>2490</v>
      </c>
      <c r="O73" s="446"/>
      <c r="P73" s="446"/>
      <c r="Q73" s="469"/>
      <c r="R73" s="447"/>
    </row>
    <row r="74" spans="1:18" ht="14.45" customHeight="1" x14ac:dyDescent="0.2">
      <c r="A74" s="441"/>
      <c r="B74" s="442" t="s">
        <v>1688</v>
      </c>
      <c r="C74" s="442" t="s">
        <v>444</v>
      </c>
      <c r="D74" s="442" t="s">
        <v>1689</v>
      </c>
      <c r="E74" s="442" t="s">
        <v>1758</v>
      </c>
      <c r="F74" s="442"/>
      <c r="G74" s="446"/>
      <c r="H74" s="446"/>
      <c r="I74" s="442"/>
      <c r="J74" s="442"/>
      <c r="K74" s="446">
        <v>2</v>
      </c>
      <c r="L74" s="446">
        <v>700</v>
      </c>
      <c r="M74" s="442">
        <v>1</v>
      </c>
      <c r="N74" s="442">
        <v>350</v>
      </c>
      <c r="O74" s="446"/>
      <c r="P74" s="446"/>
      <c r="Q74" s="469"/>
      <c r="R74" s="447"/>
    </row>
    <row r="75" spans="1:18" ht="14.45" customHeight="1" x14ac:dyDescent="0.2">
      <c r="A75" s="441"/>
      <c r="B75" s="442" t="s">
        <v>1688</v>
      </c>
      <c r="C75" s="442" t="s">
        <v>444</v>
      </c>
      <c r="D75" s="442" t="s">
        <v>1689</v>
      </c>
      <c r="E75" s="442" t="s">
        <v>1759</v>
      </c>
      <c r="F75" s="442"/>
      <c r="G75" s="446">
        <v>1</v>
      </c>
      <c r="H75" s="446">
        <v>1260</v>
      </c>
      <c r="I75" s="442">
        <v>0.5</v>
      </c>
      <c r="J75" s="442">
        <v>1260</v>
      </c>
      <c r="K75" s="446">
        <v>2</v>
      </c>
      <c r="L75" s="446">
        <v>2520</v>
      </c>
      <c r="M75" s="442">
        <v>1</v>
      </c>
      <c r="N75" s="442">
        <v>1260</v>
      </c>
      <c r="O75" s="446">
        <v>2</v>
      </c>
      <c r="P75" s="446">
        <v>2520</v>
      </c>
      <c r="Q75" s="469">
        <v>1</v>
      </c>
      <c r="R75" s="447">
        <v>1260</v>
      </c>
    </row>
    <row r="76" spans="1:18" ht="14.45" customHeight="1" x14ac:dyDescent="0.2">
      <c r="A76" s="441"/>
      <c r="B76" s="442" t="s">
        <v>1688</v>
      </c>
      <c r="C76" s="442" t="s">
        <v>444</v>
      </c>
      <c r="D76" s="442" t="s">
        <v>1689</v>
      </c>
      <c r="E76" s="442" t="s">
        <v>1760</v>
      </c>
      <c r="F76" s="442"/>
      <c r="G76" s="446"/>
      <c r="H76" s="446"/>
      <c r="I76" s="442"/>
      <c r="J76" s="442"/>
      <c r="K76" s="446">
        <v>1</v>
      </c>
      <c r="L76" s="446">
        <v>0</v>
      </c>
      <c r="M76" s="442"/>
      <c r="N76" s="442">
        <v>0</v>
      </c>
      <c r="O76" s="446"/>
      <c r="P76" s="446"/>
      <c r="Q76" s="469"/>
      <c r="R76" s="447"/>
    </row>
    <row r="77" spans="1:18" ht="14.45" customHeight="1" x14ac:dyDescent="0.2">
      <c r="A77" s="441"/>
      <c r="B77" s="442" t="s">
        <v>1688</v>
      </c>
      <c r="C77" s="442" t="s">
        <v>444</v>
      </c>
      <c r="D77" s="442" t="s">
        <v>1689</v>
      </c>
      <c r="E77" s="442" t="s">
        <v>1761</v>
      </c>
      <c r="F77" s="442"/>
      <c r="G77" s="446">
        <v>1</v>
      </c>
      <c r="H77" s="446">
        <v>1008</v>
      </c>
      <c r="I77" s="442"/>
      <c r="J77" s="442">
        <v>1008</v>
      </c>
      <c r="K77" s="446"/>
      <c r="L77" s="446"/>
      <c r="M77" s="442"/>
      <c r="N77" s="442"/>
      <c r="O77" s="446"/>
      <c r="P77" s="446"/>
      <c r="Q77" s="469"/>
      <c r="R77" s="447"/>
    </row>
    <row r="78" spans="1:18" ht="14.45" customHeight="1" x14ac:dyDescent="0.2">
      <c r="A78" s="441"/>
      <c r="B78" s="442" t="s">
        <v>1688</v>
      </c>
      <c r="C78" s="442" t="s">
        <v>444</v>
      </c>
      <c r="D78" s="442" t="s">
        <v>1689</v>
      </c>
      <c r="E78" s="442" t="s">
        <v>1762</v>
      </c>
      <c r="F78" s="442"/>
      <c r="G78" s="446">
        <v>1</v>
      </c>
      <c r="H78" s="446">
        <v>0</v>
      </c>
      <c r="I78" s="442"/>
      <c r="J78" s="442">
        <v>0</v>
      </c>
      <c r="K78" s="446"/>
      <c r="L78" s="446"/>
      <c r="M78" s="442"/>
      <c r="N78" s="442"/>
      <c r="O78" s="446"/>
      <c r="P78" s="446"/>
      <c r="Q78" s="469"/>
      <c r="R78" s="447"/>
    </row>
    <row r="79" spans="1:18" ht="14.45" customHeight="1" x14ac:dyDescent="0.2">
      <c r="A79" s="441"/>
      <c r="B79" s="442" t="s">
        <v>1688</v>
      </c>
      <c r="C79" s="442" t="s">
        <v>444</v>
      </c>
      <c r="D79" s="442" t="s">
        <v>1689</v>
      </c>
      <c r="E79" s="442" t="s">
        <v>1763</v>
      </c>
      <c r="F79" s="442"/>
      <c r="G79" s="446"/>
      <c r="H79" s="446"/>
      <c r="I79" s="442"/>
      <c r="J79" s="442"/>
      <c r="K79" s="446">
        <v>0</v>
      </c>
      <c r="L79" s="446">
        <v>0</v>
      </c>
      <c r="M79" s="442"/>
      <c r="N79" s="442"/>
      <c r="O79" s="446"/>
      <c r="P79" s="446"/>
      <c r="Q79" s="469"/>
      <c r="R79" s="447"/>
    </row>
    <row r="80" spans="1:18" ht="14.45" customHeight="1" x14ac:dyDescent="0.2">
      <c r="A80" s="441"/>
      <c r="B80" s="442" t="s">
        <v>1688</v>
      </c>
      <c r="C80" s="442" t="s">
        <v>444</v>
      </c>
      <c r="D80" s="442" t="s">
        <v>1689</v>
      </c>
      <c r="E80" s="442" t="s">
        <v>1764</v>
      </c>
      <c r="F80" s="442"/>
      <c r="G80" s="446">
        <v>2</v>
      </c>
      <c r="H80" s="446">
        <v>706</v>
      </c>
      <c r="I80" s="442"/>
      <c r="J80" s="442">
        <v>353</v>
      </c>
      <c r="K80" s="446"/>
      <c r="L80" s="446"/>
      <c r="M80" s="442"/>
      <c r="N80" s="442"/>
      <c r="O80" s="446">
        <v>1</v>
      </c>
      <c r="P80" s="446">
        <v>353</v>
      </c>
      <c r="Q80" s="469"/>
      <c r="R80" s="447">
        <v>353</v>
      </c>
    </row>
    <row r="81" spans="1:18" ht="14.45" customHeight="1" x14ac:dyDescent="0.2">
      <c r="A81" s="441"/>
      <c r="B81" s="442" t="s">
        <v>1688</v>
      </c>
      <c r="C81" s="442" t="s">
        <v>444</v>
      </c>
      <c r="D81" s="442" t="s">
        <v>1689</v>
      </c>
      <c r="E81" s="442" t="s">
        <v>1765</v>
      </c>
      <c r="F81" s="442"/>
      <c r="G81" s="446">
        <v>1</v>
      </c>
      <c r="H81" s="446">
        <v>0</v>
      </c>
      <c r="I81" s="442"/>
      <c r="J81" s="442">
        <v>0</v>
      </c>
      <c r="K81" s="446"/>
      <c r="L81" s="446"/>
      <c r="M81" s="442"/>
      <c r="N81" s="442"/>
      <c r="O81" s="446"/>
      <c r="P81" s="446"/>
      <c r="Q81" s="469"/>
      <c r="R81" s="447"/>
    </row>
    <row r="82" spans="1:18" ht="14.45" customHeight="1" x14ac:dyDescent="0.2">
      <c r="A82" s="441"/>
      <c r="B82" s="442" t="s">
        <v>1688</v>
      </c>
      <c r="C82" s="442" t="s">
        <v>444</v>
      </c>
      <c r="D82" s="442" t="s">
        <v>1689</v>
      </c>
      <c r="E82" s="442" t="s">
        <v>1766</v>
      </c>
      <c r="F82" s="442"/>
      <c r="G82" s="446"/>
      <c r="H82" s="446"/>
      <c r="I82" s="442"/>
      <c r="J82" s="442"/>
      <c r="K82" s="446"/>
      <c r="L82" s="446"/>
      <c r="M82" s="442"/>
      <c r="N82" s="442"/>
      <c r="O82" s="446">
        <v>1</v>
      </c>
      <c r="P82" s="446">
        <v>1531</v>
      </c>
      <c r="Q82" s="469"/>
      <c r="R82" s="447">
        <v>1531</v>
      </c>
    </row>
    <row r="83" spans="1:18" ht="14.45" customHeight="1" x14ac:dyDescent="0.2">
      <c r="A83" s="441"/>
      <c r="B83" s="442" t="s">
        <v>1688</v>
      </c>
      <c r="C83" s="442" t="s">
        <v>444</v>
      </c>
      <c r="D83" s="442" t="s">
        <v>1689</v>
      </c>
      <c r="E83" s="442" t="s">
        <v>1767</v>
      </c>
      <c r="F83" s="442"/>
      <c r="G83" s="446">
        <v>1</v>
      </c>
      <c r="H83" s="446">
        <v>940</v>
      </c>
      <c r="I83" s="442"/>
      <c r="J83" s="442">
        <v>940</v>
      </c>
      <c r="K83" s="446"/>
      <c r="L83" s="446"/>
      <c r="M83" s="442"/>
      <c r="N83" s="442"/>
      <c r="O83" s="446"/>
      <c r="P83" s="446"/>
      <c r="Q83" s="469"/>
      <c r="R83" s="447"/>
    </row>
    <row r="84" spans="1:18" ht="14.45" customHeight="1" x14ac:dyDescent="0.2">
      <c r="A84" s="441"/>
      <c r="B84" s="442" t="s">
        <v>1688</v>
      </c>
      <c r="C84" s="442" t="s">
        <v>444</v>
      </c>
      <c r="D84" s="442" t="s">
        <v>1689</v>
      </c>
      <c r="E84" s="442" t="s">
        <v>1768</v>
      </c>
      <c r="F84" s="442"/>
      <c r="G84" s="446"/>
      <c r="H84" s="446"/>
      <c r="I84" s="442"/>
      <c r="J84" s="442"/>
      <c r="K84" s="446"/>
      <c r="L84" s="446"/>
      <c r="M84" s="442"/>
      <c r="N84" s="442"/>
      <c r="O84" s="446">
        <v>2</v>
      </c>
      <c r="P84" s="446">
        <v>1506</v>
      </c>
      <c r="Q84" s="469"/>
      <c r="R84" s="447">
        <v>753</v>
      </c>
    </row>
    <row r="85" spans="1:18" ht="14.45" customHeight="1" x14ac:dyDescent="0.2">
      <c r="A85" s="441"/>
      <c r="B85" s="442" t="s">
        <v>1688</v>
      </c>
      <c r="C85" s="442" t="s">
        <v>444</v>
      </c>
      <c r="D85" s="442" t="s">
        <v>1689</v>
      </c>
      <c r="E85" s="442" t="s">
        <v>1769</v>
      </c>
      <c r="F85" s="442"/>
      <c r="G85" s="446"/>
      <c r="H85" s="446"/>
      <c r="I85" s="442"/>
      <c r="J85" s="442"/>
      <c r="K85" s="446"/>
      <c r="L85" s="446"/>
      <c r="M85" s="442"/>
      <c r="N85" s="442"/>
      <c r="O85" s="446">
        <v>1</v>
      </c>
      <c r="P85" s="446">
        <v>2502</v>
      </c>
      <c r="Q85" s="469"/>
      <c r="R85" s="447">
        <v>2502</v>
      </c>
    </row>
    <row r="86" spans="1:18" ht="14.45" customHeight="1" x14ac:dyDescent="0.2">
      <c r="A86" s="441"/>
      <c r="B86" s="442" t="s">
        <v>1688</v>
      </c>
      <c r="C86" s="442" t="s">
        <v>444</v>
      </c>
      <c r="D86" s="442" t="s">
        <v>1689</v>
      </c>
      <c r="E86" s="442" t="s">
        <v>1770</v>
      </c>
      <c r="F86" s="442"/>
      <c r="G86" s="446"/>
      <c r="H86" s="446"/>
      <c r="I86" s="442"/>
      <c r="J86" s="442"/>
      <c r="K86" s="446"/>
      <c r="L86" s="446"/>
      <c r="M86" s="442"/>
      <c r="N86" s="442"/>
      <c r="O86" s="446">
        <v>2</v>
      </c>
      <c r="P86" s="446">
        <v>0</v>
      </c>
      <c r="Q86" s="469"/>
      <c r="R86" s="447">
        <v>0</v>
      </c>
    </row>
    <row r="87" spans="1:18" ht="14.45" customHeight="1" x14ac:dyDescent="0.2">
      <c r="A87" s="441"/>
      <c r="B87" s="442" t="s">
        <v>1688</v>
      </c>
      <c r="C87" s="442" t="s">
        <v>444</v>
      </c>
      <c r="D87" s="442" t="s">
        <v>1689</v>
      </c>
      <c r="E87" s="442" t="s">
        <v>1771</v>
      </c>
      <c r="F87" s="442"/>
      <c r="G87" s="446">
        <v>1</v>
      </c>
      <c r="H87" s="446">
        <v>745</v>
      </c>
      <c r="I87" s="442"/>
      <c r="J87" s="442">
        <v>745</v>
      </c>
      <c r="K87" s="446"/>
      <c r="L87" s="446"/>
      <c r="M87" s="442"/>
      <c r="N87" s="442"/>
      <c r="O87" s="446"/>
      <c r="P87" s="446"/>
      <c r="Q87" s="469"/>
      <c r="R87" s="447"/>
    </row>
    <row r="88" spans="1:18" ht="14.45" customHeight="1" x14ac:dyDescent="0.2">
      <c r="A88" s="441"/>
      <c r="B88" s="442" t="s">
        <v>1688</v>
      </c>
      <c r="C88" s="442" t="s">
        <v>444</v>
      </c>
      <c r="D88" s="442" t="s">
        <v>1689</v>
      </c>
      <c r="E88" s="442" t="s">
        <v>1772</v>
      </c>
      <c r="F88" s="442"/>
      <c r="G88" s="446"/>
      <c r="H88" s="446"/>
      <c r="I88" s="442"/>
      <c r="J88" s="442"/>
      <c r="K88" s="446"/>
      <c r="L88" s="446"/>
      <c r="M88" s="442"/>
      <c r="N88" s="442"/>
      <c r="O88" s="446">
        <v>1</v>
      </c>
      <c r="P88" s="446">
        <v>0</v>
      </c>
      <c r="Q88" s="469"/>
      <c r="R88" s="447">
        <v>0</v>
      </c>
    </row>
    <row r="89" spans="1:18" ht="14.45" customHeight="1" x14ac:dyDescent="0.2">
      <c r="A89" s="441"/>
      <c r="B89" s="442" t="s">
        <v>1688</v>
      </c>
      <c r="C89" s="442" t="s">
        <v>444</v>
      </c>
      <c r="D89" s="442" t="s">
        <v>1773</v>
      </c>
      <c r="E89" s="442" t="s">
        <v>1774</v>
      </c>
      <c r="F89" s="442" t="s">
        <v>1775</v>
      </c>
      <c r="G89" s="446">
        <v>1</v>
      </c>
      <c r="H89" s="446">
        <v>508.89</v>
      </c>
      <c r="I89" s="442">
        <v>0.33333333333333331</v>
      </c>
      <c r="J89" s="442">
        <v>508.89</v>
      </c>
      <c r="K89" s="446">
        <v>3</v>
      </c>
      <c r="L89" s="446">
        <v>1526.67</v>
      </c>
      <c r="M89" s="442">
        <v>1</v>
      </c>
      <c r="N89" s="442">
        <v>508.89000000000004</v>
      </c>
      <c r="O89" s="446">
        <v>5</v>
      </c>
      <c r="P89" s="446">
        <v>2912.2200000000003</v>
      </c>
      <c r="Q89" s="469">
        <v>1.907563520603667</v>
      </c>
      <c r="R89" s="447">
        <v>582.44400000000007</v>
      </c>
    </row>
    <row r="90" spans="1:18" ht="14.45" customHeight="1" x14ac:dyDescent="0.2">
      <c r="A90" s="441"/>
      <c r="B90" s="442" t="s">
        <v>1688</v>
      </c>
      <c r="C90" s="442" t="s">
        <v>444</v>
      </c>
      <c r="D90" s="442" t="s">
        <v>1773</v>
      </c>
      <c r="E90" s="442" t="s">
        <v>1776</v>
      </c>
      <c r="F90" s="442" t="s">
        <v>1777</v>
      </c>
      <c r="G90" s="446">
        <v>1</v>
      </c>
      <c r="H90" s="446">
        <v>500</v>
      </c>
      <c r="I90" s="442"/>
      <c r="J90" s="442">
        <v>500</v>
      </c>
      <c r="K90" s="446"/>
      <c r="L90" s="446"/>
      <c r="M90" s="442"/>
      <c r="N90" s="442"/>
      <c r="O90" s="446"/>
      <c r="P90" s="446"/>
      <c r="Q90" s="469"/>
      <c r="R90" s="447"/>
    </row>
    <row r="91" spans="1:18" ht="14.45" customHeight="1" x14ac:dyDescent="0.2">
      <c r="A91" s="441"/>
      <c r="B91" s="442" t="s">
        <v>1688</v>
      </c>
      <c r="C91" s="442" t="s">
        <v>444</v>
      </c>
      <c r="D91" s="442" t="s">
        <v>1773</v>
      </c>
      <c r="E91" s="442" t="s">
        <v>1778</v>
      </c>
      <c r="F91" s="442" t="s">
        <v>1779</v>
      </c>
      <c r="G91" s="446">
        <v>808</v>
      </c>
      <c r="H91" s="446">
        <v>62844.430000000008</v>
      </c>
      <c r="I91" s="442">
        <v>1.0412369699224016</v>
      </c>
      <c r="J91" s="442">
        <v>77.777759900990105</v>
      </c>
      <c r="K91" s="446">
        <v>776</v>
      </c>
      <c r="L91" s="446">
        <v>60355.55</v>
      </c>
      <c r="M91" s="442">
        <v>1</v>
      </c>
      <c r="N91" s="442">
        <v>77.777770618556701</v>
      </c>
      <c r="O91" s="446">
        <v>1051</v>
      </c>
      <c r="P91" s="446">
        <v>90883.33</v>
      </c>
      <c r="Q91" s="469">
        <v>1.5057990524483664</v>
      </c>
      <c r="R91" s="447">
        <v>86.473196955280685</v>
      </c>
    </row>
    <row r="92" spans="1:18" ht="14.45" customHeight="1" x14ac:dyDescent="0.2">
      <c r="A92" s="441"/>
      <c r="B92" s="442" t="s">
        <v>1688</v>
      </c>
      <c r="C92" s="442" t="s">
        <v>444</v>
      </c>
      <c r="D92" s="442" t="s">
        <v>1773</v>
      </c>
      <c r="E92" s="442" t="s">
        <v>1780</v>
      </c>
      <c r="F92" s="442" t="s">
        <v>1781</v>
      </c>
      <c r="G92" s="446">
        <v>13</v>
      </c>
      <c r="H92" s="446">
        <v>3250</v>
      </c>
      <c r="I92" s="442">
        <v>0.48148148148148145</v>
      </c>
      <c r="J92" s="442">
        <v>250</v>
      </c>
      <c r="K92" s="446">
        <v>27</v>
      </c>
      <c r="L92" s="446">
        <v>6750</v>
      </c>
      <c r="M92" s="442">
        <v>1</v>
      </c>
      <c r="N92" s="442">
        <v>250</v>
      </c>
      <c r="O92" s="446">
        <v>37</v>
      </c>
      <c r="P92" s="446">
        <v>9644.4499999999989</v>
      </c>
      <c r="Q92" s="469">
        <v>1.4288074074074073</v>
      </c>
      <c r="R92" s="447">
        <v>260.6608108108108</v>
      </c>
    </row>
    <row r="93" spans="1:18" ht="14.45" customHeight="1" x14ac:dyDescent="0.2">
      <c r="A93" s="441"/>
      <c r="B93" s="442" t="s">
        <v>1688</v>
      </c>
      <c r="C93" s="442" t="s">
        <v>444</v>
      </c>
      <c r="D93" s="442" t="s">
        <v>1773</v>
      </c>
      <c r="E93" s="442" t="s">
        <v>1782</v>
      </c>
      <c r="F93" s="442" t="s">
        <v>1783</v>
      </c>
      <c r="G93" s="446"/>
      <c r="H93" s="446"/>
      <c r="I93" s="442"/>
      <c r="J93" s="442"/>
      <c r="K93" s="446"/>
      <c r="L93" s="446"/>
      <c r="M93" s="442"/>
      <c r="N93" s="442"/>
      <c r="O93" s="446">
        <v>2</v>
      </c>
      <c r="P93" s="446">
        <v>611.12</v>
      </c>
      <c r="Q93" s="469"/>
      <c r="R93" s="447">
        <v>305.56</v>
      </c>
    </row>
    <row r="94" spans="1:18" ht="14.45" customHeight="1" x14ac:dyDescent="0.2">
      <c r="A94" s="441"/>
      <c r="B94" s="442" t="s">
        <v>1688</v>
      </c>
      <c r="C94" s="442" t="s">
        <v>444</v>
      </c>
      <c r="D94" s="442" t="s">
        <v>1773</v>
      </c>
      <c r="E94" s="442" t="s">
        <v>1784</v>
      </c>
      <c r="F94" s="442" t="s">
        <v>1785</v>
      </c>
      <c r="G94" s="446">
        <v>180</v>
      </c>
      <c r="H94" s="446">
        <v>21000</v>
      </c>
      <c r="I94" s="442">
        <v>0.99447545208380494</v>
      </c>
      <c r="J94" s="442">
        <v>116.66666666666667</v>
      </c>
      <c r="K94" s="446">
        <v>181</v>
      </c>
      <c r="L94" s="446">
        <v>21116.66</v>
      </c>
      <c r="M94" s="442">
        <v>1</v>
      </c>
      <c r="N94" s="442">
        <v>116.66662983425414</v>
      </c>
      <c r="O94" s="446">
        <v>160</v>
      </c>
      <c r="P94" s="446">
        <v>22153.34</v>
      </c>
      <c r="Q94" s="469">
        <v>1.0490929910317257</v>
      </c>
      <c r="R94" s="447">
        <v>138.45837499999999</v>
      </c>
    </row>
    <row r="95" spans="1:18" ht="14.45" customHeight="1" x14ac:dyDescent="0.2">
      <c r="A95" s="441"/>
      <c r="B95" s="442" t="s">
        <v>1688</v>
      </c>
      <c r="C95" s="442" t="s">
        <v>444</v>
      </c>
      <c r="D95" s="442" t="s">
        <v>1773</v>
      </c>
      <c r="E95" s="442" t="s">
        <v>1786</v>
      </c>
      <c r="F95" s="442" t="s">
        <v>1787</v>
      </c>
      <c r="G95" s="446">
        <v>378</v>
      </c>
      <c r="H95" s="446">
        <v>113400</v>
      </c>
      <c r="I95" s="442">
        <v>0.50658923386196109</v>
      </c>
      <c r="J95" s="442">
        <v>300</v>
      </c>
      <c r="K95" s="446">
        <v>407</v>
      </c>
      <c r="L95" s="446">
        <v>223850</v>
      </c>
      <c r="M95" s="442">
        <v>1</v>
      </c>
      <c r="N95" s="442">
        <v>550</v>
      </c>
      <c r="O95" s="446">
        <v>380</v>
      </c>
      <c r="P95" s="446">
        <v>220402.21000000002</v>
      </c>
      <c r="Q95" s="469">
        <v>0.98459776636140284</v>
      </c>
      <c r="R95" s="447">
        <v>580.00581578947379</v>
      </c>
    </row>
    <row r="96" spans="1:18" ht="14.45" customHeight="1" x14ac:dyDescent="0.2">
      <c r="A96" s="441"/>
      <c r="B96" s="442" t="s">
        <v>1688</v>
      </c>
      <c r="C96" s="442" t="s">
        <v>444</v>
      </c>
      <c r="D96" s="442" t="s">
        <v>1773</v>
      </c>
      <c r="E96" s="442" t="s">
        <v>1788</v>
      </c>
      <c r="F96" s="442" t="s">
        <v>1789</v>
      </c>
      <c r="G96" s="446">
        <v>19</v>
      </c>
      <c r="H96" s="446">
        <v>5594.45</v>
      </c>
      <c r="I96" s="442">
        <v>19.000305664991171</v>
      </c>
      <c r="J96" s="442">
        <v>294.44473684210527</v>
      </c>
      <c r="K96" s="446">
        <v>1</v>
      </c>
      <c r="L96" s="446">
        <v>294.44</v>
      </c>
      <c r="M96" s="442">
        <v>1</v>
      </c>
      <c r="N96" s="442">
        <v>294.44</v>
      </c>
      <c r="O96" s="446">
        <v>1</v>
      </c>
      <c r="P96" s="446">
        <v>300</v>
      </c>
      <c r="Q96" s="469">
        <v>1.0188833038989267</v>
      </c>
      <c r="R96" s="447">
        <v>300</v>
      </c>
    </row>
    <row r="97" spans="1:18" ht="14.45" customHeight="1" x14ac:dyDescent="0.2">
      <c r="A97" s="441"/>
      <c r="B97" s="442" t="s">
        <v>1688</v>
      </c>
      <c r="C97" s="442" t="s">
        <v>444</v>
      </c>
      <c r="D97" s="442" t="s">
        <v>1773</v>
      </c>
      <c r="E97" s="442" t="s">
        <v>1790</v>
      </c>
      <c r="F97" s="442" t="s">
        <v>1791</v>
      </c>
      <c r="G97" s="446">
        <v>12</v>
      </c>
      <c r="H97" s="446">
        <v>9333.34</v>
      </c>
      <c r="I97" s="442"/>
      <c r="J97" s="442">
        <v>777.77833333333331</v>
      </c>
      <c r="K97" s="446"/>
      <c r="L97" s="446"/>
      <c r="M97" s="442"/>
      <c r="N97" s="442"/>
      <c r="O97" s="446"/>
      <c r="P97" s="446"/>
      <c r="Q97" s="469"/>
      <c r="R97" s="447"/>
    </row>
    <row r="98" spans="1:18" ht="14.45" customHeight="1" x14ac:dyDescent="0.2">
      <c r="A98" s="441"/>
      <c r="B98" s="442" t="s">
        <v>1688</v>
      </c>
      <c r="C98" s="442" t="s">
        <v>444</v>
      </c>
      <c r="D98" s="442" t="s">
        <v>1773</v>
      </c>
      <c r="E98" s="442" t="s">
        <v>1792</v>
      </c>
      <c r="F98" s="442" t="s">
        <v>1793</v>
      </c>
      <c r="G98" s="446">
        <v>5</v>
      </c>
      <c r="H98" s="446">
        <v>466.65999999999997</v>
      </c>
      <c r="I98" s="442"/>
      <c r="J98" s="442">
        <v>93.331999999999994</v>
      </c>
      <c r="K98" s="446"/>
      <c r="L98" s="446"/>
      <c r="M98" s="442"/>
      <c r="N98" s="442"/>
      <c r="O98" s="446"/>
      <c r="P98" s="446"/>
      <c r="Q98" s="469"/>
      <c r="R98" s="447"/>
    </row>
    <row r="99" spans="1:18" ht="14.45" customHeight="1" x14ac:dyDescent="0.2">
      <c r="A99" s="441"/>
      <c r="B99" s="442" t="s">
        <v>1688</v>
      </c>
      <c r="C99" s="442" t="s">
        <v>444</v>
      </c>
      <c r="D99" s="442" t="s">
        <v>1773</v>
      </c>
      <c r="E99" s="442" t="s">
        <v>1794</v>
      </c>
      <c r="F99" s="442"/>
      <c r="G99" s="446">
        <v>2</v>
      </c>
      <c r="H99" s="446">
        <v>66.66</v>
      </c>
      <c r="I99" s="442">
        <v>2</v>
      </c>
      <c r="J99" s="442">
        <v>33.33</v>
      </c>
      <c r="K99" s="446">
        <v>1</v>
      </c>
      <c r="L99" s="446">
        <v>33.33</v>
      </c>
      <c r="M99" s="442">
        <v>1</v>
      </c>
      <c r="N99" s="442">
        <v>33.33</v>
      </c>
      <c r="O99" s="446"/>
      <c r="P99" s="446"/>
      <c r="Q99" s="469"/>
      <c r="R99" s="447"/>
    </row>
    <row r="100" spans="1:18" ht="14.45" customHeight="1" x14ac:dyDescent="0.2">
      <c r="A100" s="441"/>
      <c r="B100" s="442" t="s">
        <v>1688</v>
      </c>
      <c r="C100" s="442" t="s">
        <v>444</v>
      </c>
      <c r="D100" s="442" t="s">
        <v>1773</v>
      </c>
      <c r="E100" s="442" t="s">
        <v>1795</v>
      </c>
      <c r="F100" s="442" t="s">
        <v>1777</v>
      </c>
      <c r="G100" s="446">
        <v>183</v>
      </c>
      <c r="H100" s="446">
        <v>76453.320000000007</v>
      </c>
      <c r="I100" s="442">
        <v>1.3455881848231637</v>
      </c>
      <c r="J100" s="442">
        <v>417.77770491803284</v>
      </c>
      <c r="K100" s="446">
        <v>136</v>
      </c>
      <c r="L100" s="446">
        <v>56817.770000000004</v>
      </c>
      <c r="M100" s="442">
        <v>1</v>
      </c>
      <c r="N100" s="442">
        <v>417.7777205882353</v>
      </c>
      <c r="O100" s="446">
        <v>120</v>
      </c>
      <c r="P100" s="446">
        <v>51608.88</v>
      </c>
      <c r="Q100" s="469">
        <v>0.90832287152417268</v>
      </c>
      <c r="R100" s="447">
        <v>430.07399999999996</v>
      </c>
    </row>
    <row r="101" spans="1:18" ht="14.45" customHeight="1" x14ac:dyDescent="0.2">
      <c r="A101" s="441"/>
      <c r="B101" s="442" t="s">
        <v>1688</v>
      </c>
      <c r="C101" s="442" t="s">
        <v>444</v>
      </c>
      <c r="D101" s="442" t="s">
        <v>1773</v>
      </c>
      <c r="E101" s="442" t="s">
        <v>1796</v>
      </c>
      <c r="F101" s="442" t="s">
        <v>1797</v>
      </c>
      <c r="G101" s="446">
        <v>165</v>
      </c>
      <c r="H101" s="446">
        <v>34833.340000000004</v>
      </c>
      <c r="I101" s="442">
        <v>1.536765451989839</v>
      </c>
      <c r="J101" s="442">
        <v>211.11115151515153</v>
      </c>
      <c r="K101" s="446">
        <v>102</v>
      </c>
      <c r="L101" s="446">
        <v>22666.66</v>
      </c>
      <c r="M101" s="442">
        <v>1</v>
      </c>
      <c r="N101" s="442">
        <v>222.22215686274509</v>
      </c>
      <c r="O101" s="446">
        <v>119</v>
      </c>
      <c r="P101" s="446">
        <v>42570</v>
      </c>
      <c r="Q101" s="469">
        <v>1.8780887876731729</v>
      </c>
      <c r="R101" s="447">
        <v>357.73109243697479</v>
      </c>
    </row>
    <row r="102" spans="1:18" ht="14.45" customHeight="1" x14ac:dyDescent="0.2">
      <c r="A102" s="441"/>
      <c r="B102" s="442" t="s">
        <v>1688</v>
      </c>
      <c r="C102" s="442" t="s">
        <v>444</v>
      </c>
      <c r="D102" s="442" t="s">
        <v>1773</v>
      </c>
      <c r="E102" s="442" t="s">
        <v>1798</v>
      </c>
      <c r="F102" s="442" t="s">
        <v>1799</v>
      </c>
      <c r="G102" s="446">
        <v>16</v>
      </c>
      <c r="H102" s="446">
        <v>9333.32</v>
      </c>
      <c r="I102" s="442">
        <v>1.6000013714317061</v>
      </c>
      <c r="J102" s="442">
        <v>583.33249999999998</v>
      </c>
      <c r="K102" s="446">
        <v>10</v>
      </c>
      <c r="L102" s="446">
        <v>5833.32</v>
      </c>
      <c r="M102" s="442">
        <v>1</v>
      </c>
      <c r="N102" s="442">
        <v>583.33199999999999</v>
      </c>
      <c r="O102" s="446">
        <v>29</v>
      </c>
      <c r="P102" s="446">
        <v>19827.78</v>
      </c>
      <c r="Q102" s="469">
        <v>3.3990557692703298</v>
      </c>
      <c r="R102" s="447">
        <v>683.71655172413784</v>
      </c>
    </row>
    <row r="103" spans="1:18" ht="14.45" customHeight="1" x14ac:dyDescent="0.2">
      <c r="A103" s="441"/>
      <c r="B103" s="442" t="s">
        <v>1688</v>
      </c>
      <c r="C103" s="442" t="s">
        <v>444</v>
      </c>
      <c r="D103" s="442" t="s">
        <v>1773</v>
      </c>
      <c r="E103" s="442" t="s">
        <v>1800</v>
      </c>
      <c r="F103" s="442" t="s">
        <v>1801</v>
      </c>
      <c r="G103" s="446">
        <v>161</v>
      </c>
      <c r="H103" s="446">
        <v>75133.320000000007</v>
      </c>
      <c r="I103" s="442">
        <v>1.2105262309910023</v>
      </c>
      <c r="J103" s="442">
        <v>466.66658385093172</v>
      </c>
      <c r="K103" s="446">
        <v>133</v>
      </c>
      <c r="L103" s="446">
        <v>62066.66</v>
      </c>
      <c r="M103" s="442">
        <v>1</v>
      </c>
      <c r="N103" s="442">
        <v>466.66661654135339</v>
      </c>
      <c r="O103" s="446">
        <v>114</v>
      </c>
      <c r="P103" s="446">
        <v>59643.34</v>
      </c>
      <c r="Q103" s="469">
        <v>0.96095617196092065</v>
      </c>
      <c r="R103" s="447">
        <v>523.18719298245605</v>
      </c>
    </row>
    <row r="104" spans="1:18" ht="14.45" customHeight="1" x14ac:dyDescent="0.2">
      <c r="A104" s="441"/>
      <c r="B104" s="442" t="s">
        <v>1688</v>
      </c>
      <c r="C104" s="442" t="s">
        <v>444</v>
      </c>
      <c r="D104" s="442" t="s">
        <v>1773</v>
      </c>
      <c r="E104" s="442" t="s">
        <v>1802</v>
      </c>
      <c r="F104" s="442" t="s">
        <v>1803</v>
      </c>
      <c r="G104" s="446">
        <v>104</v>
      </c>
      <c r="H104" s="446">
        <v>5200</v>
      </c>
      <c r="I104" s="442">
        <v>0.69179570208616326</v>
      </c>
      <c r="J104" s="442">
        <v>50</v>
      </c>
      <c r="K104" s="446">
        <v>123</v>
      </c>
      <c r="L104" s="446">
        <v>7516.6699999999992</v>
      </c>
      <c r="M104" s="442">
        <v>1</v>
      </c>
      <c r="N104" s="442">
        <v>61.111138211382105</v>
      </c>
      <c r="O104" s="446">
        <v>166</v>
      </c>
      <c r="P104" s="446">
        <v>11516.67</v>
      </c>
      <c r="Q104" s="469">
        <v>1.5321505400662796</v>
      </c>
      <c r="R104" s="447">
        <v>69.377530120481921</v>
      </c>
    </row>
    <row r="105" spans="1:18" ht="14.45" customHeight="1" x14ac:dyDescent="0.2">
      <c r="A105" s="441"/>
      <c r="B105" s="442" t="s">
        <v>1688</v>
      </c>
      <c r="C105" s="442" t="s">
        <v>444</v>
      </c>
      <c r="D105" s="442" t="s">
        <v>1773</v>
      </c>
      <c r="E105" s="442" t="s">
        <v>1804</v>
      </c>
      <c r="F105" s="442" t="s">
        <v>1805</v>
      </c>
      <c r="G105" s="446">
        <v>147</v>
      </c>
      <c r="H105" s="446">
        <v>14863.33</v>
      </c>
      <c r="I105" s="442">
        <v>0.67238001316411478</v>
      </c>
      <c r="J105" s="442">
        <v>101.11108843537414</v>
      </c>
      <c r="K105" s="446">
        <v>173</v>
      </c>
      <c r="L105" s="446">
        <v>22105.550000000003</v>
      </c>
      <c r="M105" s="442">
        <v>1</v>
      </c>
      <c r="N105" s="442">
        <v>127.7777456647399</v>
      </c>
      <c r="O105" s="446">
        <v>120</v>
      </c>
      <c r="P105" s="446">
        <v>19986.66</v>
      </c>
      <c r="Q105" s="469">
        <v>0.9041466961916802</v>
      </c>
      <c r="R105" s="447">
        <v>166.55549999999999</v>
      </c>
    </row>
    <row r="106" spans="1:18" ht="14.45" customHeight="1" x14ac:dyDescent="0.2">
      <c r="A106" s="441"/>
      <c r="B106" s="442" t="s">
        <v>1688</v>
      </c>
      <c r="C106" s="442" t="s">
        <v>444</v>
      </c>
      <c r="D106" s="442" t="s">
        <v>1773</v>
      </c>
      <c r="E106" s="442" t="s">
        <v>1806</v>
      </c>
      <c r="F106" s="442" t="s">
        <v>1807</v>
      </c>
      <c r="G106" s="446">
        <v>40</v>
      </c>
      <c r="H106" s="446">
        <v>3066.6800000000003</v>
      </c>
      <c r="I106" s="442">
        <v>0.97561503246557002</v>
      </c>
      <c r="J106" s="442">
        <v>76.667000000000002</v>
      </c>
      <c r="K106" s="446">
        <v>41</v>
      </c>
      <c r="L106" s="446">
        <v>3143.33</v>
      </c>
      <c r="M106" s="442">
        <v>1</v>
      </c>
      <c r="N106" s="442">
        <v>76.666585365853663</v>
      </c>
      <c r="O106" s="446">
        <v>22</v>
      </c>
      <c r="P106" s="446">
        <v>4612.2300000000014</v>
      </c>
      <c r="Q106" s="469">
        <v>1.4673069642703762</v>
      </c>
      <c r="R106" s="447">
        <v>209.64681818181825</v>
      </c>
    </row>
    <row r="107" spans="1:18" ht="14.45" customHeight="1" x14ac:dyDescent="0.2">
      <c r="A107" s="441"/>
      <c r="B107" s="442" t="s">
        <v>1688</v>
      </c>
      <c r="C107" s="442" t="s">
        <v>444</v>
      </c>
      <c r="D107" s="442" t="s">
        <v>1773</v>
      </c>
      <c r="E107" s="442" t="s">
        <v>1808</v>
      </c>
      <c r="F107" s="442" t="s">
        <v>1809</v>
      </c>
      <c r="G107" s="446">
        <v>746</v>
      </c>
      <c r="H107" s="446">
        <v>0</v>
      </c>
      <c r="I107" s="442"/>
      <c r="J107" s="442">
        <v>0</v>
      </c>
      <c r="K107" s="446">
        <v>662</v>
      </c>
      <c r="L107" s="446">
        <v>0</v>
      </c>
      <c r="M107" s="442"/>
      <c r="N107" s="442">
        <v>0</v>
      </c>
      <c r="O107" s="446">
        <v>517</v>
      </c>
      <c r="P107" s="446">
        <v>0</v>
      </c>
      <c r="Q107" s="469"/>
      <c r="R107" s="447">
        <v>0</v>
      </c>
    </row>
    <row r="108" spans="1:18" ht="14.45" customHeight="1" x14ac:dyDescent="0.2">
      <c r="A108" s="441"/>
      <c r="B108" s="442" t="s">
        <v>1688</v>
      </c>
      <c r="C108" s="442" t="s">
        <v>444</v>
      </c>
      <c r="D108" s="442" t="s">
        <v>1773</v>
      </c>
      <c r="E108" s="442" t="s">
        <v>1810</v>
      </c>
      <c r="F108" s="442" t="s">
        <v>1811</v>
      </c>
      <c r="G108" s="446">
        <v>187</v>
      </c>
      <c r="H108" s="446">
        <v>57138.89</v>
      </c>
      <c r="I108" s="442">
        <v>1.0564970654549073</v>
      </c>
      <c r="J108" s="442">
        <v>305.55556149732621</v>
      </c>
      <c r="K108" s="446">
        <v>177</v>
      </c>
      <c r="L108" s="446">
        <v>54083.34</v>
      </c>
      <c r="M108" s="442">
        <v>1</v>
      </c>
      <c r="N108" s="442">
        <v>305.55559322033895</v>
      </c>
      <c r="O108" s="446">
        <v>188</v>
      </c>
      <c r="P108" s="446">
        <v>60265.55</v>
      </c>
      <c r="Q108" s="469">
        <v>1.1143089535520552</v>
      </c>
      <c r="R108" s="447">
        <v>320.5614361702128</v>
      </c>
    </row>
    <row r="109" spans="1:18" ht="14.45" customHeight="1" x14ac:dyDescent="0.2">
      <c r="A109" s="441"/>
      <c r="B109" s="442" t="s">
        <v>1688</v>
      </c>
      <c r="C109" s="442" t="s">
        <v>444</v>
      </c>
      <c r="D109" s="442" t="s">
        <v>1773</v>
      </c>
      <c r="E109" s="442" t="s">
        <v>1812</v>
      </c>
      <c r="F109" s="442" t="s">
        <v>1813</v>
      </c>
      <c r="G109" s="446">
        <v>208</v>
      </c>
      <c r="H109" s="446">
        <v>6933.34</v>
      </c>
      <c r="I109" s="442">
        <v>4.837225202849309</v>
      </c>
      <c r="J109" s="442">
        <v>33.333365384615384</v>
      </c>
      <c r="K109" s="446">
        <v>43</v>
      </c>
      <c r="L109" s="446">
        <v>1433.33</v>
      </c>
      <c r="M109" s="442">
        <v>1</v>
      </c>
      <c r="N109" s="442">
        <v>33.333255813953485</v>
      </c>
      <c r="O109" s="446"/>
      <c r="P109" s="446"/>
      <c r="Q109" s="469"/>
      <c r="R109" s="447"/>
    </row>
    <row r="110" spans="1:18" ht="14.45" customHeight="1" x14ac:dyDescent="0.2">
      <c r="A110" s="441"/>
      <c r="B110" s="442" t="s">
        <v>1688</v>
      </c>
      <c r="C110" s="442" t="s">
        <v>444</v>
      </c>
      <c r="D110" s="442" t="s">
        <v>1773</v>
      </c>
      <c r="E110" s="442" t="s">
        <v>1814</v>
      </c>
      <c r="F110" s="442" t="s">
        <v>1815</v>
      </c>
      <c r="G110" s="446">
        <v>329</v>
      </c>
      <c r="H110" s="446">
        <v>149877.78</v>
      </c>
      <c r="I110" s="442">
        <v>0.84575842032468618</v>
      </c>
      <c r="J110" s="442">
        <v>455.55556231003038</v>
      </c>
      <c r="K110" s="446">
        <v>389</v>
      </c>
      <c r="L110" s="446">
        <v>177211.1</v>
      </c>
      <c r="M110" s="442">
        <v>1</v>
      </c>
      <c r="N110" s="442">
        <v>455.55552699228792</v>
      </c>
      <c r="O110" s="446">
        <v>510</v>
      </c>
      <c r="P110" s="446">
        <v>246417.78</v>
      </c>
      <c r="Q110" s="469">
        <v>1.3905324215018133</v>
      </c>
      <c r="R110" s="447">
        <v>483.17211764705883</v>
      </c>
    </row>
    <row r="111" spans="1:18" ht="14.45" customHeight="1" x14ac:dyDescent="0.2">
      <c r="A111" s="441"/>
      <c r="B111" s="442" t="s">
        <v>1688</v>
      </c>
      <c r="C111" s="442" t="s">
        <v>444</v>
      </c>
      <c r="D111" s="442" t="s">
        <v>1773</v>
      </c>
      <c r="E111" s="442" t="s">
        <v>1816</v>
      </c>
      <c r="F111" s="442" t="s">
        <v>1817</v>
      </c>
      <c r="G111" s="446"/>
      <c r="H111" s="446"/>
      <c r="I111" s="442"/>
      <c r="J111" s="442"/>
      <c r="K111" s="446">
        <v>1</v>
      </c>
      <c r="L111" s="446">
        <v>58.89</v>
      </c>
      <c r="M111" s="442">
        <v>1</v>
      </c>
      <c r="N111" s="442">
        <v>58.89</v>
      </c>
      <c r="O111" s="446"/>
      <c r="P111" s="446"/>
      <c r="Q111" s="469"/>
      <c r="R111" s="447"/>
    </row>
    <row r="112" spans="1:18" ht="14.45" customHeight="1" x14ac:dyDescent="0.2">
      <c r="A112" s="441"/>
      <c r="B112" s="442" t="s">
        <v>1688</v>
      </c>
      <c r="C112" s="442" t="s">
        <v>444</v>
      </c>
      <c r="D112" s="442" t="s">
        <v>1773</v>
      </c>
      <c r="E112" s="442" t="s">
        <v>1818</v>
      </c>
      <c r="F112" s="442" t="s">
        <v>1819</v>
      </c>
      <c r="G112" s="446">
        <v>197</v>
      </c>
      <c r="H112" s="446">
        <v>15322.220000000001</v>
      </c>
      <c r="I112" s="442">
        <v>1.0591401194194099</v>
      </c>
      <c r="J112" s="442">
        <v>77.77776649746194</v>
      </c>
      <c r="K112" s="446">
        <v>186</v>
      </c>
      <c r="L112" s="446">
        <v>14466.66</v>
      </c>
      <c r="M112" s="442">
        <v>1</v>
      </c>
      <c r="N112" s="442">
        <v>77.777741935483874</v>
      </c>
      <c r="O112" s="446">
        <v>197</v>
      </c>
      <c r="P112" s="446">
        <v>19212.23</v>
      </c>
      <c r="Q112" s="469">
        <v>1.3280349437949051</v>
      </c>
      <c r="R112" s="447">
        <v>97.524010152284262</v>
      </c>
    </row>
    <row r="113" spans="1:18" ht="14.45" customHeight="1" x14ac:dyDescent="0.2">
      <c r="A113" s="441"/>
      <c r="B113" s="442" t="s">
        <v>1688</v>
      </c>
      <c r="C113" s="442" t="s">
        <v>444</v>
      </c>
      <c r="D113" s="442" t="s">
        <v>1773</v>
      </c>
      <c r="E113" s="442" t="s">
        <v>1820</v>
      </c>
      <c r="F113" s="442" t="s">
        <v>1821</v>
      </c>
      <c r="G113" s="446">
        <v>0</v>
      </c>
      <c r="H113" s="446">
        <v>0</v>
      </c>
      <c r="I113" s="442"/>
      <c r="J113" s="442"/>
      <c r="K113" s="446">
        <v>0</v>
      </c>
      <c r="L113" s="446">
        <v>0</v>
      </c>
      <c r="M113" s="442"/>
      <c r="N113" s="442"/>
      <c r="O113" s="446">
        <v>0</v>
      </c>
      <c r="P113" s="446">
        <v>0</v>
      </c>
      <c r="Q113" s="469"/>
      <c r="R113" s="447"/>
    </row>
    <row r="114" spans="1:18" ht="14.45" customHeight="1" x14ac:dyDescent="0.2">
      <c r="A114" s="441"/>
      <c r="B114" s="442" t="s">
        <v>1688</v>
      </c>
      <c r="C114" s="442" t="s">
        <v>444</v>
      </c>
      <c r="D114" s="442" t="s">
        <v>1773</v>
      </c>
      <c r="E114" s="442" t="s">
        <v>1822</v>
      </c>
      <c r="F114" s="442" t="s">
        <v>1823</v>
      </c>
      <c r="G114" s="446">
        <v>105</v>
      </c>
      <c r="H114" s="446">
        <v>28350</v>
      </c>
      <c r="I114" s="442">
        <v>26.25</v>
      </c>
      <c r="J114" s="442">
        <v>270</v>
      </c>
      <c r="K114" s="446">
        <v>4</v>
      </c>
      <c r="L114" s="446">
        <v>1080</v>
      </c>
      <c r="M114" s="442">
        <v>1</v>
      </c>
      <c r="N114" s="442">
        <v>270</v>
      </c>
      <c r="O114" s="446"/>
      <c r="P114" s="446"/>
      <c r="Q114" s="469"/>
      <c r="R114" s="447"/>
    </row>
    <row r="115" spans="1:18" ht="14.45" customHeight="1" x14ac:dyDescent="0.2">
      <c r="A115" s="441"/>
      <c r="B115" s="442" t="s">
        <v>1688</v>
      </c>
      <c r="C115" s="442" t="s">
        <v>444</v>
      </c>
      <c r="D115" s="442" t="s">
        <v>1773</v>
      </c>
      <c r="E115" s="442" t="s">
        <v>1824</v>
      </c>
      <c r="F115" s="442" t="s">
        <v>1825</v>
      </c>
      <c r="G115" s="446">
        <v>477</v>
      </c>
      <c r="H115" s="446">
        <v>45049.99</v>
      </c>
      <c r="I115" s="442">
        <v>1.2754008666499443</v>
      </c>
      <c r="J115" s="442">
        <v>94.444423480083856</v>
      </c>
      <c r="K115" s="446">
        <v>374</v>
      </c>
      <c r="L115" s="446">
        <v>35322.22</v>
      </c>
      <c r="M115" s="442">
        <v>1</v>
      </c>
      <c r="N115" s="442">
        <v>94.444438502673805</v>
      </c>
      <c r="O115" s="446">
        <v>381</v>
      </c>
      <c r="P115" s="446">
        <v>43700</v>
      </c>
      <c r="Q115" s="469">
        <v>1.2371815814521283</v>
      </c>
      <c r="R115" s="447">
        <v>114.69816272965879</v>
      </c>
    </row>
    <row r="116" spans="1:18" ht="14.45" customHeight="1" x14ac:dyDescent="0.2">
      <c r="A116" s="441"/>
      <c r="B116" s="442" t="s">
        <v>1688</v>
      </c>
      <c r="C116" s="442" t="s">
        <v>444</v>
      </c>
      <c r="D116" s="442" t="s">
        <v>1773</v>
      </c>
      <c r="E116" s="442" t="s">
        <v>1826</v>
      </c>
      <c r="F116" s="442" t="s">
        <v>1827</v>
      </c>
      <c r="G116" s="446">
        <v>167</v>
      </c>
      <c r="H116" s="446">
        <v>7236.66</v>
      </c>
      <c r="I116" s="442">
        <v>0.92777692307692305</v>
      </c>
      <c r="J116" s="442">
        <v>43.333293413173649</v>
      </c>
      <c r="K116" s="446">
        <v>180</v>
      </c>
      <c r="L116" s="446">
        <v>7800</v>
      </c>
      <c r="M116" s="442">
        <v>1</v>
      </c>
      <c r="N116" s="442">
        <v>43.333333333333336</v>
      </c>
      <c r="O116" s="446">
        <v>131</v>
      </c>
      <c r="P116" s="446">
        <v>9113.33</v>
      </c>
      <c r="Q116" s="469">
        <v>1.168375641025641</v>
      </c>
      <c r="R116" s="447">
        <v>69.567404580152669</v>
      </c>
    </row>
    <row r="117" spans="1:18" ht="14.45" customHeight="1" x14ac:dyDescent="0.2">
      <c r="A117" s="441"/>
      <c r="B117" s="442" t="s">
        <v>1688</v>
      </c>
      <c r="C117" s="442" t="s">
        <v>444</v>
      </c>
      <c r="D117" s="442" t="s">
        <v>1773</v>
      </c>
      <c r="E117" s="442" t="s">
        <v>1828</v>
      </c>
      <c r="F117" s="442" t="s">
        <v>1829</v>
      </c>
      <c r="G117" s="446">
        <v>2</v>
      </c>
      <c r="H117" s="446">
        <v>193.33</v>
      </c>
      <c r="I117" s="442"/>
      <c r="J117" s="442">
        <v>96.665000000000006</v>
      </c>
      <c r="K117" s="446"/>
      <c r="L117" s="446"/>
      <c r="M117" s="442"/>
      <c r="N117" s="442"/>
      <c r="O117" s="446">
        <v>1</v>
      </c>
      <c r="P117" s="446">
        <v>172.22</v>
      </c>
      <c r="Q117" s="469"/>
      <c r="R117" s="447">
        <v>172.22</v>
      </c>
    </row>
    <row r="118" spans="1:18" ht="14.45" customHeight="1" x14ac:dyDescent="0.2">
      <c r="A118" s="441"/>
      <c r="B118" s="442" t="s">
        <v>1688</v>
      </c>
      <c r="C118" s="442" t="s">
        <v>444</v>
      </c>
      <c r="D118" s="442" t="s">
        <v>1773</v>
      </c>
      <c r="E118" s="442" t="s">
        <v>1830</v>
      </c>
      <c r="F118" s="442"/>
      <c r="G118" s="446">
        <v>5</v>
      </c>
      <c r="H118" s="446">
        <v>1005.5500000000001</v>
      </c>
      <c r="I118" s="442"/>
      <c r="J118" s="442">
        <v>201.11</v>
      </c>
      <c r="K118" s="446"/>
      <c r="L118" s="446"/>
      <c r="M118" s="442"/>
      <c r="N118" s="442"/>
      <c r="O118" s="446"/>
      <c r="P118" s="446"/>
      <c r="Q118" s="469"/>
      <c r="R118" s="447"/>
    </row>
    <row r="119" spans="1:18" ht="14.45" customHeight="1" x14ac:dyDescent="0.2">
      <c r="A119" s="441"/>
      <c r="B119" s="442" t="s">
        <v>1688</v>
      </c>
      <c r="C119" s="442" t="s">
        <v>444</v>
      </c>
      <c r="D119" s="442" t="s">
        <v>1773</v>
      </c>
      <c r="E119" s="442" t="s">
        <v>1831</v>
      </c>
      <c r="F119" s="442" t="s">
        <v>1832</v>
      </c>
      <c r="G119" s="446">
        <v>3</v>
      </c>
      <c r="H119" s="446">
        <v>1300</v>
      </c>
      <c r="I119" s="442">
        <v>0.74999711539571001</v>
      </c>
      <c r="J119" s="442">
        <v>433.33333333333331</v>
      </c>
      <c r="K119" s="446">
        <v>4</v>
      </c>
      <c r="L119" s="446">
        <v>1733.34</v>
      </c>
      <c r="M119" s="442">
        <v>1</v>
      </c>
      <c r="N119" s="442">
        <v>433.33499999999998</v>
      </c>
      <c r="O119" s="446">
        <v>7</v>
      </c>
      <c r="P119" s="446">
        <v>3330</v>
      </c>
      <c r="Q119" s="469">
        <v>1.9211464571290111</v>
      </c>
      <c r="R119" s="447">
        <v>475.71428571428572</v>
      </c>
    </row>
    <row r="120" spans="1:18" ht="14.45" customHeight="1" x14ac:dyDescent="0.2">
      <c r="A120" s="441"/>
      <c r="B120" s="442" t="s">
        <v>1688</v>
      </c>
      <c r="C120" s="442" t="s">
        <v>444</v>
      </c>
      <c r="D120" s="442" t="s">
        <v>1773</v>
      </c>
      <c r="E120" s="442" t="s">
        <v>1833</v>
      </c>
      <c r="F120" s="442" t="s">
        <v>1834</v>
      </c>
      <c r="G120" s="446"/>
      <c r="H120" s="446"/>
      <c r="I120" s="442"/>
      <c r="J120" s="442"/>
      <c r="K120" s="446"/>
      <c r="L120" s="446"/>
      <c r="M120" s="442"/>
      <c r="N120" s="442"/>
      <c r="O120" s="446">
        <v>0</v>
      </c>
      <c r="P120" s="446">
        <v>0</v>
      </c>
      <c r="Q120" s="469"/>
      <c r="R120" s="447"/>
    </row>
    <row r="121" spans="1:18" ht="14.45" customHeight="1" x14ac:dyDescent="0.2">
      <c r="A121" s="441"/>
      <c r="B121" s="442" t="s">
        <v>1688</v>
      </c>
      <c r="C121" s="442" t="s">
        <v>444</v>
      </c>
      <c r="D121" s="442" t="s">
        <v>1773</v>
      </c>
      <c r="E121" s="442" t="s">
        <v>1835</v>
      </c>
      <c r="F121" s="442" t="s">
        <v>1836</v>
      </c>
      <c r="G121" s="446">
        <v>2</v>
      </c>
      <c r="H121" s="446">
        <v>233.34</v>
      </c>
      <c r="I121" s="442">
        <v>1.7500937523438085</v>
      </c>
      <c r="J121" s="442">
        <v>116.67</v>
      </c>
      <c r="K121" s="446">
        <v>1</v>
      </c>
      <c r="L121" s="446">
        <v>133.33000000000001</v>
      </c>
      <c r="M121" s="442">
        <v>1</v>
      </c>
      <c r="N121" s="442">
        <v>133.33000000000001</v>
      </c>
      <c r="O121" s="446">
        <v>4</v>
      </c>
      <c r="P121" s="446">
        <v>714.44</v>
      </c>
      <c r="Q121" s="469">
        <v>5.3584339608490215</v>
      </c>
      <c r="R121" s="447">
        <v>178.61</v>
      </c>
    </row>
    <row r="122" spans="1:18" ht="14.45" customHeight="1" x14ac:dyDescent="0.2">
      <c r="A122" s="441"/>
      <c r="B122" s="442" t="s">
        <v>1688</v>
      </c>
      <c r="C122" s="442" t="s">
        <v>444</v>
      </c>
      <c r="D122" s="442" t="s">
        <v>1773</v>
      </c>
      <c r="E122" s="442" t="s">
        <v>1837</v>
      </c>
      <c r="F122" s="442" t="s">
        <v>1838</v>
      </c>
      <c r="G122" s="446">
        <v>27</v>
      </c>
      <c r="H122" s="446">
        <v>1320</v>
      </c>
      <c r="I122" s="442">
        <v>1.1739176834691045</v>
      </c>
      <c r="J122" s="442">
        <v>48.888888888888886</v>
      </c>
      <c r="K122" s="446">
        <v>23</v>
      </c>
      <c r="L122" s="446">
        <v>1124.44</v>
      </c>
      <c r="M122" s="442">
        <v>1</v>
      </c>
      <c r="N122" s="442">
        <v>48.888695652173915</v>
      </c>
      <c r="O122" s="446">
        <v>10</v>
      </c>
      <c r="P122" s="446">
        <v>722.22</v>
      </c>
      <c r="Q122" s="469">
        <v>0.64229305254170965</v>
      </c>
      <c r="R122" s="447">
        <v>72.222000000000008</v>
      </c>
    </row>
    <row r="123" spans="1:18" ht="14.45" customHeight="1" x14ac:dyDescent="0.2">
      <c r="A123" s="441"/>
      <c r="B123" s="442" t="s">
        <v>1688</v>
      </c>
      <c r="C123" s="442" t="s">
        <v>444</v>
      </c>
      <c r="D123" s="442" t="s">
        <v>1773</v>
      </c>
      <c r="E123" s="442" t="s">
        <v>1839</v>
      </c>
      <c r="F123" s="442" t="s">
        <v>1840</v>
      </c>
      <c r="G123" s="446">
        <v>1</v>
      </c>
      <c r="H123" s="446">
        <v>344.44</v>
      </c>
      <c r="I123" s="442">
        <v>0.16666505375823795</v>
      </c>
      <c r="J123" s="442">
        <v>344.44</v>
      </c>
      <c r="K123" s="446">
        <v>6</v>
      </c>
      <c r="L123" s="446">
        <v>2066.66</v>
      </c>
      <c r="M123" s="442">
        <v>1</v>
      </c>
      <c r="N123" s="442">
        <v>344.44333333333333</v>
      </c>
      <c r="O123" s="446">
        <v>32</v>
      </c>
      <c r="P123" s="446">
        <v>12737.77</v>
      </c>
      <c r="Q123" s="469">
        <v>6.163456978893481</v>
      </c>
      <c r="R123" s="447">
        <v>398.05531250000001</v>
      </c>
    </row>
    <row r="124" spans="1:18" ht="14.45" customHeight="1" x14ac:dyDescent="0.2">
      <c r="A124" s="441"/>
      <c r="B124" s="442" t="s">
        <v>1688</v>
      </c>
      <c r="C124" s="442" t="s">
        <v>444</v>
      </c>
      <c r="D124" s="442" t="s">
        <v>1773</v>
      </c>
      <c r="E124" s="442" t="s">
        <v>1841</v>
      </c>
      <c r="F124" s="442" t="s">
        <v>1842</v>
      </c>
      <c r="G124" s="446">
        <v>7</v>
      </c>
      <c r="H124" s="446">
        <v>2045.5400000000002</v>
      </c>
      <c r="I124" s="442">
        <v>0.77777482043657953</v>
      </c>
      <c r="J124" s="442">
        <v>292.22000000000003</v>
      </c>
      <c r="K124" s="446">
        <v>9</v>
      </c>
      <c r="L124" s="446">
        <v>2629.9900000000007</v>
      </c>
      <c r="M124" s="442">
        <v>1</v>
      </c>
      <c r="N124" s="442">
        <v>292.22111111111121</v>
      </c>
      <c r="O124" s="446">
        <v>4</v>
      </c>
      <c r="P124" s="446">
        <v>1324.44</v>
      </c>
      <c r="Q124" s="469">
        <v>0.50359126840786461</v>
      </c>
      <c r="R124" s="447">
        <v>331.11</v>
      </c>
    </row>
    <row r="125" spans="1:18" ht="14.45" customHeight="1" x14ac:dyDescent="0.2">
      <c r="A125" s="441"/>
      <c r="B125" s="442" t="s">
        <v>1688</v>
      </c>
      <c r="C125" s="442" t="s">
        <v>444</v>
      </c>
      <c r="D125" s="442" t="s">
        <v>1773</v>
      </c>
      <c r="E125" s="442" t="s">
        <v>1843</v>
      </c>
      <c r="F125" s="442" t="s">
        <v>1844</v>
      </c>
      <c r="G125" s="446">
        <v>7</v>
      </c>
      <c r="H125" s="446">
        <v>1555.55</v>
      </c>
      <c r="I125" s="442">
        <v>0.36842080332337801</v>
      </c>
      <c r="J125" s="442">
        <v>222.22142857142856</v>
      </c>
      <c r="K125" s="446">
        <v>19</v>
      </c>
      <c r="L125" s="446">
        <v>4222.21</v>
      </c>
      <c r="M125" s="442">
        <v>1</v>
      </c>
      <c r="N125" s="442">
        <v>222.22157894736841</v>
      </c>
      <c r="O125" s="446">
        <v>15</v>
      </c>
      <c r="P125" s="446">
        <v>5916.66</v>
      </c>
      <c r="Q125" s="469">
        <v>1.4013182669739306</v>
      </c>
      <c r="R125" s="447">
        <v>394.44400000000002</v>
      </c>
    </row>
    <row r="126" spans="1:18" ht="14.45" customHeight="1" x14ac:dyDescent="0.2">
      <c r="A126" s="441"/>
      <c r="B126" s="442" t="s">
        <v>1688</v>
      </c>
      <c r="C126" s="442" t="s">
        <v>444</v>
      </c>
      <c r="D126" s="442" t="s">
        <v>1773</v>
      </c>
      <c r="E126" s="442" t="s">
        <v>1845</v>
      </c>
      <c r="F126" s="442" t="s">
        <v>1846</v>
      </c>
      <c r="G126" s="446">
        <v>1</v>
      </c>
      <c r="H126" s="446">
        <v>116.67</v>
      </c>
      <c r="I126" s="442"/>
      <c r="J126" s="442">
        <v>116.67</v>
      </c>
      <c r="K126" s="446"/>
      <c r="L126" s="446"/>
      <c r="M126" s="442"/>
      <c r="N126" s="442"/>
      <c r="O126" s="446">
        <v>1</v>
      </c>
      <c r="P126" s="446">
        <v>138.88999999999999</v>
      </c>
      <c r="Q126" s="469"/>
      <c r="R126" s="447">
        <v>138.88999999999999</v>
      </c>
    </row>
    <row r="127" spans="1:18" ht="14.45" customHeight="1" x14ac:dyDescent="0.2">
      <c r="A127" s="441"/>
      <c r="B127" s="442" t="s">
        <v>1688</v>
      </c>
      <c r="C127" s="442" t="s">
        <v>444</v>
      </c>
      <c r="D127" s="442" t="s">
        <v>1773</v>
      </c>
      <c r="E127" s="442" t="s">
        <v>1847</v>
      </c>
      <c r="F127" s="442" t="s">
        <v>1848</v>
      </c>
      <c r="G127" s="446">
        <v>48</v>
      </c>
      <c r="H127" s="446">
        <v>5600.01</v>
      </c>
      <c r="I127" s="442">
        <v>3.0000160714859692</v>
      </c>
      <c r="J127" s="442">
        <v>116.666875</v>
      </c>
      <c r="K127" s="446">
        <v>16</v>
      </c>
      <c r="L127" s="446">
        <v>1866.6600000000003</v>
      </c>
      <c r="M127" s="442">
        <v>1</v>
      </c>
      <c r="N127" s="442">
        <v>116.66625000000002</v>
      </c>
      <c r="O127" s="446">
        <v>5</v>
      </c>
      <c r="P127" s="446">
        <v>750</v>
      </c>
      <c r="Q127" s="469">
        <v>0.40178714923981862</v>
      </c>
      <c r="R127" s="447">
        <v>150</v>
      </c>
    </row>
    <row r="128" spans="1:18" ht="14.45" customHeight="1" x14ac:dyDescent="0.2">
      <c r="A128" s="441"/>
      <c r="B128" s="442" t="s">
        <v>1688</v>
      </c>
      <c r="C128" s="442" t="s">
        <v>444</v>
      </c>
      <c r="D128" s="442" t="s">
        <v>1773</v>
      </c>
      <c r="E128" s="442" t="s">
        <v>1849</v>
      </c>
      <c r="F128" s="442" t="s">
        <v>1850</v>
      </c>
      <c r="G128" s="446"/>
      <c r="H128" s="446"/>
      <c r="I128" s="442"/>
      <c r="J128" s="442"/>
      <c r="K128" s="446"/>
      <c r="L128" s="446"/>
      <c r="M128" s="442"/>
      <c r="N128" s="442"/>
      <c r="O128" s="446">
        <v>116</v>
      </c>
      <c r="P128" s="446">
        <v>7128.8899999999985</v>
      </c>
      <c r="Q128" s="469"/>
      <c r="R128" s="447">
        <v>61.455948275862056</v>
      </c>
    </row>
    <row r="129" spans="1:18" ht="14.45" customHeight="1" x14ac:dyDescent="0.2">
      <c r="A129" s="441"/>
      <c r="B129" s="442" t="s">
        <v>1688</v>
      </c>
      <c r="C129" s="442" t="s">
        <v>1681</v>
      </c>
      <c r="D129" s="442" t="s">
        <v>1689</v>
      </c>
      <c r="E129" s="442" t="s">
        <v>1709</v>
      </c>
      <c r="F129" s="442"/>
      <c r="G129" s="446"/>
      <c r="H129" s="446"/>
      <c r="I129" s="442"/>
      <c r="J129" s="442"/>
      <c r="K129" s="446"/>
      <c r="L129" s="446"/>
      <c r="M129" s="442"/>
      <c r="N129" s="442"/>
      <c r="O129" s="446">
        <v>1</v>
      </c>
      <c r="P129" s="446">
        <v>561</v>
      </c>
      <c r="Q129" s="469"/>
      <c r="R129" s="447">
        <v>561</v>
      </c>
    </row>
    <row r="130" spans="1:18" ht="14.45" customHeight="1" x14ac:dyDescent="0.2">
      <c r="A130" s="441"/>
      <c r="B130" s="442" t="s">
        <v>1688</v>
      </c>
      <c r="C130" s="442" t="s">
        <v>1681</v>
      </c>
      <c r="D130" s="442" t="s">
        <v>1773</v>
      </c>
      <c r="E130" s="442" t="s">
        <v>1774</v>
      </c>
      <c r="F130" s="442" t="s">
        <v>1775</v>
      </c>
      <c r="G130" s="446">
        <v>44</v>
      </c>
      <c r="H130" s="446">
        <v>22391.11</v>
      </c>
      <c r="I130" s="442">
        <v>0.70967718420138493</v>
      </c>
      <c r="J130" s="442">
        <v>508.88886363636362</v>
      </c>
      <c r="K130" s="446">
        <v>62</v>
      </c>
      <c r="L130" s="446">
        <v>31551.119999999999</v>
      </c>
      <c r="M130" s="442">
        <v>1</v>
      </c>
      <c r="N130" s="442">
        <v>508.8890322580645</v>
      </c>
      <c r="O130" s="446">
        <v>60</v>
      </c>
      <c r="P130" s="446">
        <v>34784.44</v>
      </c>
      <c r="Q130" s="469">
        <v>1.1024787709596364</v>
      </c>
      <c r="R130" s="447">
        <v>579.7406666666667</v>
      </c>
    </row>
    <row r="131" spans="1:18" ht="14.45" customHeight="1" x14ac:dyDescent="0.2">
      <c r="A131" s="441"/>
      <c r="B131" s="442" t="s">
        <v>1688</v>
      </c>
      <c r="C131" s="442" t="s">
        <v>1681</v>
      </c>
      <c r="D131" s="442" t="s">
        <v>1773</v>
      </c>
      <c r="E131" s="442" t="s">
        <v>1776</v>
      </c>
      <c r="F131" s="442" t="s">
        <v>1777</v>
      </c>
      <c r="G131" s="446">
        <v>472</v>
      </c>
      <c r="H131" s="446">
        <v>236000</v>
      </c>
      <c r="I131" s="442">
        <v>0.92549019607843142</v>
      </c>
      <c r="J131" s="442">
        <v>500</v>
      </c>
      <c r="K131" s="446">
        <v>510</v>
      </c>
      <c r="L131" s="446">
        <v>255000</v>
      </c>
      <c r="M131" s="442">
        <v>1</v>
      </c>
      <c r="N131" s="442">
        <v>500</v>
      </c>
      <c r="O131" s="446">
        <v>410</v>
      </c>
      <c r="P131" s="446">
        <v>217774.44</v>
      </c>
      <c r="Q131" s="469">
        <v>0.85401741176470591</v>
      </c>
      <c r="R131" s="447">
        <v>531.15717073170731</v>
      </c>
    </row>
    <row r="132" spans="1:18" ht="14.45" customHeight="1" x14ac:dyDescent="0.2">
      <c r="A132" s="441"/>
      <c r="B132" s="442" t="s">
        <v>1688</v>
      </c>
      <c r="C132" s="442" t="s">
        <v>1681</v>
      </c>
      <c r="D132" s="442" t="s">
        <v>1773</v>
      </c>
      <c r="E132" s="442" t="s">
        <v>1851</v>
      </c>
      <c r="F132" s="442" t="s">
        <v>1852</v>
      </c>
      <c r="G132" s="446">
        <v>150</v>
      </c>
      <c r="H132" s="446">
        <v>15833.340000000002</v>
      </c>
      <c r="I132" s="442">
        <v>1.4423093214742158</v>
      </c>
      <c r="J132" s="442">
        <v>105.55560000000001</v>
      </c>
      <c r="K132" s="446">
        <v>104</v>
      </c>
      <c r="L132" s="446">
        <v>10977.77</v>
      </c>
      <c r="M132" s="442">
        <v>1</v>
      </c>
      <c r="N132" s="442">
        <v>105.55548076923077</v>
      </c>
      <c r="O132" s="446">
        <v>4</v>
      </c>
      <c r="P132" s="446">
        <v>530</v>
      </c>
      <c r="Q132" s="469">
        <v>4.8279386432763666E-2</v>
      </c>
      <c r="R132" s="447">
        <v>132.5</v>
      </c>
    </row>
    <row r="133" spans="1:18" ht="14.45" customHeight="1" x14ac:dyDescent="0.2">
      <c r="A133" s="441"/>
      <c r="B133" s="442" t="s">
        <v>1688</v>
      </c>
      <c r="C133" s="442" t="s">
        <v>1681</v>
      </c>
      <c r="D133" s="442" t="s">
        <v>1773</v>
      </c>
      <c r="E133" s="442" t="s">
        <v>1778</v>
      </c>
      <c r="F133" s="442" t="s">
        <v>1779</v>
      </c>
      <c r="G133" s="446">
        <v>4045</v>
      </c>
      <c r="H133" s="446">
        <v>314611.11</v>
      </c>
      <c r="I133" s="442">
        <v>1.1134048824654372</v>
      </c>
      <c r="J133" s="442">
        <v>77.777777503090235</v>
      </c>
      <c r="K133" s="446">
        <v>3633</v>
      </c>
      <c r="L133" s="446">
        <v>282566.67</v>
      </c>
      <c r="M133" s="442">
        <v>1</v>
      </c>
      <c r="N133" s="442">
        <v>77.777778695293136</v>
      </c>
      <c r="O133" s="446">
        <v>3603</v>
      </c>
      <c r="P133" s="446">
        <v>315002.21000000002</v>
      </c>
      <c r="Q133" s="469">
        <v>1.1147889805970395</v>
      </c>
      <c r="R133" s="447">
        <v>87.427757424368593</v>
      </c>
    </row>
    <row r="134" spans="1:18" ht="14.45" customHeight="1" x14ac:dyDescent="0.2">
      <c r="A134" s="441"/>
      <c r="B134" s="442" t="s">
        <v>1688</v>
      </c>
      <c r="C134" s="442" t="s">
        <v>1681</v>
      </c>
      <c r="D134" s="442" t="s">
        <v>1773</v>
      </c>
      <c r="E134" s="442" t="s">
        <v>1780</v>
      </c>
      <c r="F134" s="442" t="s">
        <v>1781</v>
      </c>
      <c r="G134" s="446">
        <v>19</v>
      </c>
      <c r="H134" s="446">
        <v>4750</v>
      </c>
      <c r="I134" s="442">
        <v>0.82608695652173914</v>
      </c>
      <c r="J134" s="442">
        <v>250</v>
      </c>
      <c r="K134" s="446">
        <v>23</v>
      </c>
      <c r="L134" s="446">
        <v>5750</v>
      </c>
      <c r="M134" s="442">
        <v>1</v>
      </c>
      <c r="N134" s="442">
        <v>250</v>
      </c>
      <c r="O134" s="446">
        <v>50</v>
      </c>
      <c r="P134" s="446">
        <v>13420</v>
      </c>
      <c r="Q134" s="469">
        <v>2.3339130434782609</v>
      </c>
      <c r="R134" s="447">
        <v>268.39999999999998</v>
      </c>
    </row>
    <row r="135" spans="1:18" ht="14.45" customHeight="1" x14ac:dyDescent="0.2">
      <c r="A135" s="441"/>
      <c r="B135" s="442" t="s">
        <v>1688</v>
      </c>
      <c r="C135" s="442" t="s">
        <v>1681</v>
      </c>
      <c r="D135" s="442" t="s">
        <v>1773</v>
      </c>
      <c r="E135" s="442" t="s">
        <v>1782</v>
      </c>
      <c r="F135" s="442" t="s">
        <v>1783</v>
      </c>
      <c r="G135" s="446">
        <v>2</v>
      </c>
      <c r="H135" s="446">
        <v>600</v>
      </c>
      <c r="I135" s="442"/>
      <c r="J135" s="442">
        <v>300</v>
      </c>
      <c r="K135" s="446"/>
      <c r="L135" s="446"/>
      <c r="M135" s="442"/>
      <c r="N135" s="442"/>
      <c r="O135" s="446"/>
      <c r="P135" s="446"/>
      <c r="Q135" s="469"/>
      <c r="R135" s="447"/>
    </row>
    <row r="136" spans="1:18" ht="14.45" customHeight="1" x14ac:dyDescent="0.2">
      <c r="A136" s="441"/>
      <c r="B136" s="442" t="s">
        <v>1688</v>
      </c>
      <c r="C136" s="442" t="s">
        <v>1681</v>
      </c>
      <c r="D136" s="442" t="s">
        <v>1773</v>
      </c>
      <c r="E136" s="442" t="s">
        <v>1784</v>
      </c>
      <c r="F136" s="442" t="s">
        <v>1785</v>
      </c>
      <c r="G136" s="446">
        <v>1007</v>
      </c>
      <c r="H136" s="446">
        <v>117483.33</v>
      </c>
      <c r="I136" s="442">
        <v>1.2976801366568234</v>
      </c>
      <c r="J136" s="442">
        <v>116.66666335650447</v>
      </c>
      <c r="K136" s="446">
        <v>776</v>
      </c>
      <c r="L136" s="446">
        <v>90533.349999999991</v>
      </c>
      <c r="M136" s="442">
        <v>1</v>
      </c>
      <c r="N136" s="442">
        <v>116.66668814432988</v>
      </c>
      <c r="O136" s="446">
        <v>855</v>
      </c>
      <c r="P136" s="446">
        <v>117740.01</v>
      </c>
      <c r="Q136" s="469">
        <v>1.3005153349566763</v>
      </c>
      <c r="R136" s="447">
        <v>137.70761403508772</v>
      </c>
    </row>
    <row r="137" spans="1:18" ht="14.45" customHeight="1" x14ac:dyDescent="0.2">
      <c r="A137" s="441"/>
      <c r="B137" s="442" t="s">
        <v>1688</v>
      </c>
      <c r="C137" s="442" t="s">
        <v>1681</v>
      </c>
      <c r="D137" s="442" t="s">
        <v>1773</v>
      </c>
      <c r="E137" s="442" t="s">
        <v>1853</v>
      </c>
      <c r="F137" s="442" t="s">
        <v>1854</v>
      </c>
      <c r="G137" s="446">
        <v>1</v>
      </c>
      <c r="H137" s="446">
        <v>388.89</v>
      </c>
      <c r="I137" s="442">
        <v>0.69999640002879981</v>
      </c>
      <c r="J137" s="442">
        <v>388.89</v>
      </c>
      <c r="K137" s="446">
        <v>1</v>
      </c>
      <c r="L137" s="446">
        <v>555.55999999999995</v>
      </c>
      <c r="M137" s="442">
        <v>1</v>
      </c>
      <c r="N137" s="442">
        <v>555.55999999999995</v>
      </c>
      <c r="O137" s="446">
        <v>7</v>
      </c>
      <c r="P137" s="446">
        <v>6183.33</v>
      </c>
      <c r="Q137" s="469">
        <v>11.129904960760316</v>
      </c>
      <c r="R137" s="447">
        <v>883.33285714285716</v>
      </c>
    </row>
    <row r="138" spans="1:18" ht="14.45" customHeight="1" x14ac:dyDescent="0.2">
      <c r="A138" s="441"/>
      <c r="B138" s="442" t="s">
        <v>1688</v>
      </c>
      <c r="C138" s="442" t="s">
        <v>1681</v>
      </c>
      <c r="D138" s="442" t="s">
        <v>1773</v>
      </c>
      <c r="E138" s="442" t="s">
        <v>1786</v>
      </c>
      <c r="F138" s="442" t="s">
        <v>1787</v>
      </c>
      <c r="G138" s="446">
        <v>1309</v>
      </c>
      <c r="H138" s="446">
        <v>392700</v>
      </c>
      <c r="I138" s="442">
        <v>0.52116788321167884</v>
      </c>
      <c r="J138" s="442">
        <v>300</v>
      </c>
      <c r="K138" s="446">
        <v>1370</v>
      </c>
      <c r="L138" s="446">
        <v>753500</v>
      </c>
      <c r="M138" s="442">
        <v>1</v>
      </c>
      <c r="N138" s="442">
        <v>550</v>
      </c>
      <c r="O138" s="446">
        <v>1241</v>
      </c>
      <c r="P138" s="446">
        <v>718222.22</v>
      </c>
      <c r="Q138" s="469">
        <v>0.95318144658261439</v>
      </c>
      <c r="R138" s="447">
        <v>578.74473811442385</v>
      </c>
    </row>
    <row r="139" spans="1:18" ht="14.45" customHeight="1" x14ac:dyDescent="0.2">
      <c r="A139" s="441"/>
      <c r="B139" s="442" t="s">
        <v>1688</v>
      </c>
      <c r="C139" s="442" t="s">
        <v>1681</v>
      </c>
      <c r="D139" s="442" t="s">
        <v>1773</v>
      </c>
      <c r="E139" s="442" t="s">
        <v>1788</v>
      </c>
      <c r="F139" s="442" t="s">
        <v>1789</v>
      </c>
      <c r="G139" s="446">
        <v>241</v>
      </c>
      <c r="H139" s="446">
        <v>70961.11</v>
      </c>
      <c r="I139" s="442">
        <v>1.451806843149005</v>
      </c>
      <c r="J139" s="442">
        <v>294.44443983402488</v>
      </c>
      <c r="K139" s="446">
        <v>166</v>
      </c>
      <c r="L139" s="446">
        <v>48877.789999999994</v>
      </c>
      <c r="M139" s="442">
        <v>1</v>
      </c>
      <c r="N139" s="442">
        <v>294.4445180722891</v>
      </c>
      <c r="O139" s="446">
        <v>27</v>
      </c>
      <c r="P139" s="446">
        <v>8677.7699999999986</v>
      </c>
      <c r="Q139" s="469">
        <v>0.17754014655736275</v>
      </c>
      <c r="R139" s="447">
        <v>321.39888888888885</v>
      </c>
    </row>
    <row r="140" spans="1:18" ht="14.45" customHeight="1" x14ac:dyDescent="0.2">
      <c r="A140" s="441"/>
      <c r="B140" s="442" t="s">
        <v>1688</v>
      </c>
      <c r="C140" s="442" t="s">
        <v>1681</v>
      </c>
      <c r="D140" s="442" t="s">
        <v>1773</v>
      </c>
      <c r="E140" s="442" t="s">
        <v>1794</v>
      </c>
      <c r="F140" s="442"/>
      <c r="G140" s="446">
        <v>3</v>
      </c>
      <c r="H140" s="446">
        <v>100</v>
      </c>
      <c r="I140" s="442">
        <v>1</v>
      </c>
      <c r="J140" s="442">
        <v>33.333333333333336</v>
      </c>
      <c r="K140" s="446">
        <v>3</v>
      </c>
      <c r="L140" s="446">
        <v>100</v>
      </c>
      <c r="M140" s="442">
        <v>1</v>
      </c>
      <c r="N140" s="442">
        <v>33.333333333333336</v>
      </c>
      <c r="O140" s="446"/>
      <c r="P140" s="446"/>
      <c r="Q140" s="469"/>
      <c r="R140" s="447"/>
    </row>
    <row r="141" spans="1:18" ht="14.45" customHeight="1" x14ac:dyDescent="0.2">
      <c r="A141" s="441"/>
      <c r="B141" s="442" t="s">
        <v>1688</v>
      </c>
      <c r="C141" s="442" t="s">
        <v>1681</v>
      </c>
      <c r="D141" s="442" t="s">
        <v>1773</v>
      </c>
      <c r="E141" s="442" t="s">
        <v>1795</v>
      </c>
      <c r="F141" s="442" t="s">
        <v>1777</v>
      </c>
      <c r="G141" s="446">
        <v>724</v>
      </c>
      <c r="H141" s="446">
        <v>302471.11</v>
      </c>
      <c r="I141" s="442">
        <v>1.1510333480311816</v>
      </c>
      <c r="J141" s="442">
        <v>417.77777624309391</v>
      </c>
      <c r="K141" s="446">
        <v>629</v>
      </c>
      <c r="L141" s="446">
        <v>262782.23</v>
      </c>
      <c r="M141" s="442">
        <v>1</v>
      </c>
      <c r="N141" s="442">
        <v>417.77779014308425</v>
      </c>
      <c r="O141" s="446">
        <v>418</v>
      </c>
      <c r="P141" s="446">
        <v>185726.66999999998</v>
      </c>
      <c r="Q141" s="469">
        <v>0.70677027894922728</v>
      </c>
      <c r="R141" s="447">
        <v>444.32217703349278</v>
      </c>
    </row>
    <row r="142" spans="1:18" ht="14.45" customHeight="1" x14ac:dyDescent="0.2">
      <c r="A142" s="441"/>
      <c r="B142" s="442" t="s">
        <v>1688</v>
      </c>
      <c r="C142" s="442" t="s">
        <v>1681</v>
      </c>
      <c r="D142" s="442" t="s">
        <v>1773</v>
      </c>
      <c r="E142" s="442" t="s">
        <v>1796</v>
      </c>
      <c r="F142" s="442" t="s">
        <v>1797</v>
      </c>
      <c r="G142" s="446">
        <v>83</v>
      </c>
      <c r="H142" s="446">
        <v>17522.230000000003</v>
      </c>
      <c r="I142" s="442">
        <v>1.642710089193806</v>
      </c>
      <c r="J142" s="442">
        <v>211.11120481927713</v>
      </c>
      <c r="K142" s="446">
        <v>48</v>
      </c>
      <c r="L142" s="446">
        <v>10666.66</v>
      </c>
      <c r="M142" s="442">
        <v>1</v>
      </c>
      <c r="N142" s="442">
        <v>222.22208333333333</v>
      </c>
      <c r="O142" s="446">
        <v>161</v>
      </c>
      <c r="P142" s="446">
        <v>57372.22</v>
      </c>
      <c r="Q142" s="469">
        <v>5.3786489866556169</v>
      </c>
      <c r="R142" s="447">
        <v>356.34919254658388</v>
      </c>
    </row>
    <row r="143" spans="1:18" ht="14.45" customHeight="1" x14ac:dyDescent="0.2">
      <c r="A143" s="441"/>
      <c r="B143" s="442" t="s">
        <v>1688</v>
      </c>
      <c r="C143" s="442" t="s">
        <v>1681</v>
      </c>
      <c r="D143" s="442" t="s">
        <v>1773</v>
      </c>
      <c r="E143" s="442" t="s">
        <v>1798</v>
      </c>
      <c r="F143" s="442" t="s">
        <v>1799</v>
      </c>
      <c r="G143" s="446">
        <v>41</v>
      </c>
      <c r="H143" s="446">
        <v>23916.67</v>
      </c>
      <c r="I143" s="442">
        <v>1.3225803419058646</v>
      </c>
      <c r="J143" s="442">
        <v>583.33341463414627</v>
      </c>
      <c r="K143" s="446">
        <v>31</v>
      </c>
      <c r="L143" s="446">
        <v>18083.34</v>
      </c>
      <c r="M143" s="442">
        <v>1</v>
      </c>
      <c r="N143" s="442">
        <v>583.33354838709681</v>
      </c>
      <c r="O143" s="446">
        <v>61</v>
      </c>
      <c r="P143" s="446">
        <v>41358.879999999997</v>
      </c>
      <c r="Q143" s="469">
        <v>2.2871261614281431</v>
      </c>
      <c r="R143" s="447">
        <v>678.0144262295081</v>
      </c>
    </row>
    <row r="144" spans="1:18" ht="14.45" customHeight="1" x14ac:dyDescent="0.2">
      <c r="A144" s="441"/>
      <c r="B144" s="442" t="s">
        <v>1688</v>
      </c>
      <c r="C144" s="442" t="s">
        <v>1681</v>
      </c>
      <c r="D144" s="442" t="s">
        <v>1773</v>
      </c>
      <c r="E144" s="442" t="s">
        <v>1800</v>
      </c>
      <c r="F144" s="442" t="s">
        <v>1801</v>
      </c>
      <c r="G144" s="446">
        <v>158</v>
      </c>
      <c r="H144" s="446">
        <v>73733.34</v>
      </c>
      <c r="I144" s="442">
        <v>39.499933035833863</v>
      </c>
      <c r="J144" s="442">
        <v>466.66670886075946</v>
      </c>
      <c r="K144" s="446">
        <v>4</v>
      </c>
      <c r="L144" s="446">
        <v>1866.67</v>
      </c>
      <c r="M144" s="442">
        <v>1</v>
      </c>
      <c r="N144" s="442">
        <v>466.66750000000002</v>
      </c>
      <c r="O144" s="446">
        <v>10</v>
      </c>
      <c r="P144" s="446">
        <v>5055.5700000000006</v>
      </c>
      <c r="Q144" s="469">
        <v>2.7083362351138662</v>
      </c>
      <c r="R144" s="447">
        <v>505.55700000000007</v>
      </c>
    </row>
    <row r="145" spans="1:18" ht="14.45" customHeight="1" x14ac:dyDescent="0.2">
      <c r="A145" s="441"/>
      <c r="B145" s="442" t="s">
        <v>1688</v>
      </c>
      <c r="C145" s="442" t="s">
        <v>1681</v>
      </c>
      <c r="D145" s="442" t="s">
        <v>1773</v>
      </c>
      <c r="E145" s="442" t="s">
        <v>1802</v>
      </c>
      <c r="F145" s="442" t="s">
        <v>1803</v>
      </c>
      <c r="G145" s="446">
        <v>62</v>
      </c>
      <c r="H145" s="446">
        <v>3100</v>
      </c>
      <c r="I145" s="442">
        <v>0.80519480519480524</v>
      </c>
      <c r="J145" s="442">
        <v>50</v>
      </c>
      <c r="K145" s="446">
        <v>63</v>
      </c>
      <c r="L145" s="446">
        <v>3850</v>
      </c>
      <c r="M145" s="442">
        <v>1</v>
      </c>
      <c r="N145" s="442">
        <v>61.111111111111114</v>
      </c>
      <c r="O145" s="446">
        <v>90</v>
      </c>
      <c r="P145" s="446">
        <v>6130</v>
      </c>
      <c r="Q145" s="469">
        <v>1.5922077922077922</v>
      </c>
      <c r="R145" s="447">
        <v>68.111111111111114</v>
      </c>
    </row>
    <row r="146" spans="1:18" ht="14.45" customHeight="1" x14ac:dyDescent="0.2">
      <c r="A146" s="441"/>
      <c r="B146" s="442" t="s">
        <v>1688</v>
      </c>
      <c r="C146" s="442" t="s">
        <v>1681</v>
      </c>
      <c r="D146" s="442" t="s">
        <v>1773</v>
      </c>
      <c r="E146" s="442" t="s">
        <v>1804</v>
      </c>
      <c r="F146" s="442" t="s">
        <v>1805</v>
      </c>
      <c r="G146" s="446">
        <v>4</v>
      </c>
      <c r="H146" s="446">
        <v>404.44</v>
      </c>
      <c r="I146" s="442">
        <v>0.52753502204366998</v>
      </c>
      <c r="J146" s="442">
        <v>101.11</v>
      </c>
      <c r="K146" s="446">
        <v>6</v>
      </c>
      <c r="L146" s="446">
        <v>766.66</v>
      </c>
      <c r="M146" s="442">
        <v>1</v>
      </c>
      <c r="N146" s="442">
        <v>127.77666666666666</v>
      </c>
      <c r="O146" s="446">
        <v>14</v>
      </c>
      <c r="P146" s="446">
        <v>2325.5500000000002</v>
      </c>
      <c r="Q146" s="469">
        <v>3.0333524639344693</v>
      </c>
      <c r="R146" s="447">
        <v>166.11071428571429</v>
      </c>
    </row>
    <row r="147" spans="1:18" ht="14.45" customHeight="1" x14ac:dyDescent="0.2">
      <c r="A147" s="441"/>
      <c r="B147" s="442" t="s">
        <v>1688</v>
      </c>
      <c r="C147" s="442" t="s">
        <v>1681</v>
      </c>
      <c r="D147" s="442" t="s">
        <v>1773</v>
      </c>
      <c r="E147" s="442" t="s">
        <v>1806</v>
      </c>
      <c r="F147" s="442" t="s">
        <v>1807</v>
      </c>
      <c r="G147" s="446">
        <v>1</v>
      </c>
      <c r="H147" s="446">
        <v>76.67</v>
      </c>
      <c r="I147" s="442"/>
      <c r="J147" s="442">
        <v>76.67</v>
      </c>
      <c r="K147" s="446"/>
      <c r="L147" s="446"/>
      <c r="M147" s="442"/>
      <c r="N147" s="442"/>
      <c r="O147" s="446"/>
      <c r="P147" s="446"/>
      <c r="Q147" s="469"/>
      <c r="R147" s="447"/>
    </row>
    <row r="148" spans="1:18" ht="14.45" customHeight="1" x14ac:dyDescent="0.2">
      <c r="A148" s="441"/>
      <c r="B148" s="442" t="s">
        <v>1688</v>
      </c>
      <c r="C148" s="442" t="s">
        <v>1681</v>
      </c>
      <c r="D148" s="442" t="s">
        <v>1773</v>
      </c>
      <c r="E148" s="442" t="s">
        <v>1855</v>
      </c>
      <c r="F148" s="442" t="s">
        <v>1856</v>
      </c>
      <c r="G148" s="446">
        <v>1</v>
      </c>
      <c r="H148" s="446">
        <v>0</v>
      </c>
      <c r="I148" s="442"/>
      <c r="J148" s="442">
        <v>0</v>
      </c>
      <c r="K148" s="446"/>
      <c r="L148" s="446"/>
      <c r="M148" s="442"/>
      <c r="N148" s="442"/>
      <c r="O148" s="446"/>
      <c r="P148" s="446"/>
      <c r="Q148" s="469"/>
      <c r="R148" s="447"/>
    </row>
    <row r="149" spans="1:18" ht="14.45" customHeight="1" x14ac:dyDescent="0.2">
      <c r="A149" s="441"/>
      <c r="B149" s="442" t="s">
        <v>1688</v>
      </c>
      <c r="C149" s="442" t="s">
        <v>1681</v>
      </c>
      <c r="D149" s="442" t="s">
        <v>1773</v>
      </c>
      <c r="E149" s="442" t="s">
        <v>1808</v>
      </c>
      <c r="F149" s="442" t="s">
        <v>1809</v>
      </c>
      <c r="G149" s="446"/>
      <c r="H149" s="446"/>
      <c r="I149" s="442"/>
      <c r="J149" s="442"/>
      <c r="K149" s="446"/>
      <c r="L149" s="446"/>
      <c r="M149" s="442"/>
      <c r="N149" s="442"/>
      <c r="O149" s="446">
        <v>1</v>
      </c>
      <c r="P149" s="446">
        <v>0</v>
      </c>
      <c r="Q149" s="469"/>
      <c r="R149" s="447">
        <v>0</v>
      </c>
    </row>
    <row r="150" spans="1:18" ht="14.45" customHeight="1" x14ac:dyDescent="0.2">
      <c r="A150" s="441"/>
      <c r="B150" s="442" t="s">
        <v>1688</v>
      </c>
      <c r="C150" s="442" t="s">
        <v>1681</v>
      </c>
      <c r="D150" s="442" t="s">
        <v>1773</v>
      </c>
      <c r="E150" s="442" t="s">
        <v>1810</v>
      </c>
      <c r="F150" s="442" t="s">
        <v>1811</v>
      </c>
      <c r="G150" s="446">
        <v>480</v>
      </c>
      <c r="H150" s="446">
        <v>146666.68</v>
      </c>
      <c r="I150" s="442">
        <v>1.0278373125233671</v>
      </c>
      <c r="J150" s="442">
        <v>305.55558333333335</v>
      </c>
      <c r="K150" s="446">
        <v>467</v>
      </c>
      <c r="L150" s="446">
        <v>142694.45000000001</v>
      </c>
      <c r="M150" s="442">
        <v>1</v>
      </c>
      <c r="N150" s="442">
        <v>305.55556745182014</v>
      </c>
      <c r="O150" s="446">
        <v>437</v>
      </c>
      <c r="P150" s="446">
        <v>140921.10999999999</v>
      </c>
      <c r="Q150" s="469">
        <v>0.98757246690393341</v>
      </c>
      <c r="R150" s="447">
        <v>322.47393592677344</v>
      </c>
    </row>
    <row r="151" spans="1:18" ht="14.45" customHeight="1" x14ac:dyDescent="0.2">
      <c r="A151" s="441"/>
      <c r="B151" s="442" t="s">
        <v>1688</v>
      </c>
      <c r="C151" s="442" t="s">
        <v>1681</v>
      </c>
      <c r="D151" s="442" t="s">
        <v>1773</v>
      </c>
      <c r="E151" s="442" t="s">
        <v>1812</v>
      </c>
      <c r="F151" s="442" t="s">
        <v>1813</v>
      </c>
      <c r="G151" s="446">
        <v>528</v>
      </c>
      <c r="H151" s="446">
        <v>17599.990000000002</v>
      </c>
      <c r="I151" s="442">
        <v>2.7076907692307697</v>
      </c>
      <c r="J151" s="442">
        <v>33.333314393939396</v>
      </c>
      <c r="K151" s="446">
        <v>195</v>
      </c>
      <c r="L151" s="446">
        <v>6500</v>
      </c>
      <c r="M151" s="442">
        <v>1</v>
      </c>
      <c r="N151" s="442">
        <v>33.333333333333336</v>
      </c>
      <c r="O151" s="446"/>
      <c r="P151" s="446"/>
      <c r="Q151" s="469"/>
      <c r="R151" s="447"/>
    </row>
    <row r="152" spans="1:18" ht="14.45" customHeight="1" x14ac:dyDescent="0.2">
      <c r="A152" s="441"/>
      <c r="B152" s="442" t="s">
        <v>1688</v>
      </c>
      <c r="C152" s="442" t="s">
        <v>1681</v>
      </c>
      <c r="D152" s="442" t="s">
        <v>1773</v>
      </c>
      <c r="E152" s="442" t="s">
        <v>1814</v>
      </c>
      <c r="F152" s="442" t="s">
        <v>1815</v>
      </c>
      <c r="G152" s="446">
        <v>602</v>
      </c>
      <c r="H152" s="446">
        <v>274244.44</v>
      </c>
      <c r="I152" s="442">
        <v>1.0561403608765174</v>
      </c>
      <c r="J152" s="442">
        <v>455.55554817275748</v>
      </c>
      <c r="K152" s="446">
        <v>570</v>
      </c>
      <c r="L152" s="446">
        <v>259666.66000000003</v>
      </c>
      <c r="M152" s="442">
        <v>1</v>
      </c>
      <c r="N152" s="442">
        <v>455.55554385964916</v>
      </c>
      <c r="O152" s="446">
        <v>926</v>
      </c>
      <c r="P152" s="446">
        <v>439866.66000000003</v>
      </c>
      <c r="Q152" s="469">
        <v>1.6939666416936237</v>
      </c>
      <c r="R152" s="447">
        <v>475.01799136069116</v>
      </c>
    </row>
    <row r="153" spans="1:18" ht="14.45" customHeight="1" x14ac:dyDescent="0.2">
      <c r="A153" s="441"/>
      <c r="B153" s="442" t="s">
        <v>1688</v>
      </c>
      <c r="C153" s="442" t="s">
        <v>1681</v>
      </c>
      <c r="D153" s="442" t="s">
        <v>1773</v>
      </c>
      <c r="E153" s="442" t="s">
        <v>1818</v>
      </c>
      <c r="F153" s="442" t="s">
        <v>1819</v>
      </c>
      <c r="G153" s="446">
        <v>487</v>
      </c>
      <c r="H153" s="446">
        <v>37877.79</v>
      </c>
      <c r="I153" s="442">
        <v>1.0041240944992103</v>
      </c>
      <c r="J153" s="442">
        <v>77.77780287474333</v>
      </c>
      <c r="K153" s="446">
        <v>485</v>
      </c>
      <c r="L153" s="446">
        <v>37722.22</v>
      </c>
      <c r="M153" s="442">
        <v>1</v>
      </c>
      <c r="N153" s="442">
        <v>77.777773195876293</v>
      </c>
      <c r="O153" s="446">
        <v>446</v>
      </c>
      <c r="P153" s="446">
        <v>43711.11</v>
      </c>
      <c r="Q153" s="469">
        <v>1.1587629254057688</v>
      </c>
      <c r="R153" s="447">
        <v>98.006973094170405</v>
      </c>
    </row>
    <row r="154" spans="1:18" ht="14.45" customHeight="1" x14ac:dyDescent="0.2">
      <c r="A154" s="441"/>
      <c r="B154" s="442" t="s">
        <v>1688</v>
      </c>
      <c r="C154" s="442" t="s">
        <v>1681</v>
      </c>
      <c r="D154" s="442" t="s">
        <v>1773</v>
      </c>
      <c r="E154" s="442" t="s">
        <v>1822</v>
      </c>
      <c r="F154" s="442" t="s">
        <v>1823</v>
      </c>
      <c r="G154" s="446">
        <v>1</v>
      </c>
      <c r="H154" s="446">
        <v>270</v>
      </c>
      <c r="I154" s="442">
        <v>0.5</v>
      </c>
      <c r="J154" s="442">
        <v>270</v>
      </c>
      <c r="K154" s="446">
        <v>2</v>
      </c>
      <c r="L154" s="446">
        <v>540</v>
      </c>
      <c r="M154" s="442">
        <v>1</v>
      </c>
      <c r="N154" s="442">
        <v>270</v>
      </c>
      <c r="O154" s="446">
        <v>1</v>
      </c>
      <c r="P154" s="446">
        <v>333.33</v>
      </c>
      <c r="Q154" s="469">
        <v>0.6172777777777777</v>
      </c>
      <c r="R154" s="447">
        <v>333.33</v>
      </c>
    </row>
    <row r="155" spans="1:18" ht="14.45" customHeight="1" x14ac:dyDescent="0.2">
      <c r="A155" s="441"/>
      <c r="B155" s="442" t="s">
        <v>1688</v>
      </c>
      <c r="C155" s="442" t="s">
        <v>1681</v>
      </c>
      <c r="D155" s="442" t="s">
        <v>1773</v>
      </c>
      <c r="E155" s="442" t="s">
        <v>1824</v>
      </c>
      <c r="F155" s="442" t="s">
        <v>1825</v>
      </c>
      <c r="G155" s="446">
        <v>1016</v>
      </c>
      <c r="H155" s="446">
        <v>95955.55</v>
      </c>
      <c r="I155" s="442">
        <v>1.0594368781067749</v>
      </c>
      <c r="J155" s="442">
        <v>94.444438976377953</v>
      </c>
      <c r="K155" s="446">
        <v>959</v>
      </c>
      <c r="L155" s="446">
        <v>90572.22</v>
      </c>
      <c r="M155" s="442">
        <v>1</v>
      </c>
      <c r="N155" s="442">
        <v>94.444442127215851</v>
      </c>
      <c r="O155" s="446">
        <v>1159</v>
      </c>
      <c r="P155" s="446">
        <v>133894.44</v>
      </c>
      <c r="Q155" s="469">
        <v>1.4783168613952491</v>
      </c>
      <c r="R155" s="447">
        <v>115.5258326143227</v>
      </c>
    </row>
    <row r="156" spans="1:18" ht="14.45" customHeight="1" x14ac:dyDescent="0.2">
      <c r="A156" s="441"/>
      <c r="B156" s="442" t="s">
        <v>1688</v>
      </c>
      <c r="C156" s="442" t="s">
        <v>1681</v>
      </c>
      <c r="D156" s="442" t="s">
        <v>1773</v>
      </c>
      <c r="E156" s="442" t="s">
        <v>1828</v>
      </c>
      <c r="F156" s="442" t="s">
        <v>1829</v>
      </c>
      <c r="G156" s="446">
        <v>4</v>
      </c>
      <c r="H156" s="446">
        <v>386.67</v>
      </c>
      <c r="I156" s="442">
        <v>0.36363721857543208</v>
      </c>
      <c r="J156" s="442">
        <v>96.667500000000004</v>
      </c>
      <c r="K156" s="446">
        <v>11</v>
      </c>
      <c r="L156" s="446">
        <v>1063.3400000000001</v>
      </c>
      <c r="M156" s="442">
        <v>1</v>
      </c>
      <c r="N156" s="442">
        <v>96.667272727272746</v>
      </c>
      <c r="O156" s="446">
        <v>2</v>
      </c>
      <c r="P156" s="446">
        <v>300</v>
      </c>
      <c r="Q156" s="469">
        <v>0.28212989260255417</v>
      </c>
      <c r="R156" s="447">
        <v>150</v>
      </c>
    </row>
    <row r="157" spans="1:18" ht="14.45" customHeight="1" x14ac:dyDescent="0.2">
      <c r="A157" s="441"/>
      <c r="B157" s="442" t="s">
        <v>1688</v>
      </c>
      <c r="C157" s="442" t="s">
        <v>1681</v>
      </c>
      <c r="D157" s="442" t="s">
        <v>1773</v>
      </c>
      <c r="E157" s="442" t="s">
        <v>1831</v>
      </c>
      <c r="F157" s="442" t="s">
        <v>1832</v>
      </c>
      <c r="G157" s="446">
        <v>2</v>
      </c>
      <c r="H157" s="446">
        <v>866.67</v>
      </c>
      <c r="I157" s="442">
        <v>0.3333346153846154</v>
      </c>
      <c r="J157" s="442">
        <v>433.33499999999998</v>
      </c>
      <c r="K157" s="446">
        <v>6</v>
      </c>
      <c r="L157" s="446">
        <v>2600</v>
      </c>
      <c r="M157" s="442">
        <v>1</v>
      </c>
      <c r="N157" s="442">
        <v>433.33333333333331</v>
      </c>
      <c r="O157" s="446">
        <v>11</v>
      </c>
      <c r="P157" s="446">
        <v>4956.67</v>
      </c>
      <c r="Q157" s="469">
        <v>1.9064115384615385</v>
      </c>
      <c r="R157" s="447">
        <v>450.60636363636365</v>
      </c>
    </row>
    <row r="158" spans="1:18" ht="14.45" customHeight="1" x14ac:dyDescent="0.2">
      <c r="A158" s="441"/>
      <c r="B158" s="442" t="s">
        <v>1688</v>
      </c>
      <c r="C158" s="442" t="s">
        <v>1681</v>
      </c>
      <c r="D158" s="442" t="s">
        <v>1773</v>
      </c>
      <c r="E158" s="442" t="s">
        <v>1833</v>
      </c>
      <c r="F158" s="442" t="s">
        <v>1834</v>
      </c>
      <c r="G158" s="446">
        <v>11</v>
      </c>
      <c r="H158" s="446">
        <v>831.12</v>
      </c>
      <c r="I158" s="442">
        <v>0.84616481032762514</v>
      </c>
      <c r="J158" s="442">
        <v>75.556363636363642</v>
      </c>
      <c r="K158" s="446">
        <v>13</v>
      </c>
      <c r="L158" s="446">
        <v>982.22</v>
      </c>
      <c r="M158" s="442">
        <v>1</v>
      </c>
      <c r="N158" s="442">
        <v>75.555384615384611</v>
      </c>
      <c r="O158" s="446">
        <v>6</v>
      </c>
      <c r="P158" s="446">
        <v>628.88</v>
      </c>
      <c r="Q158" s="469">
        <v>0.64026389199975564</v>
      </c>
      <c r="R158" s="447">
        <v>104.81333333333333</v>
      </c>
    </row>
    <row r="159" spans="1:18" ht="14.45" customHeight="1" x14ac:dyDescent="0.2">
      <c r="A159" s="441"/>
      <c r="B159" s="442" t="s">
        <v>1688</v>
      </c>
      <c r="C159" s="442" t="s">
        <v>1681</v>
      </c>
      <c r="D159" s="442" t="s">
        <v>1773</v>
      </c>
      <c r="E159" s="442" t="s">
        <v>1835</v>
      </c>
      <c r="F159" s="442" t="s">
        <v>1836</v>
      </c>
      <c r="G159" s="446">
        <v>8</v>
      </c>
      <c r="H159" s="446">
        <v>933.34</v>
      </c>
      <c r="I159" s="442">
        <v>0.70000675001687507</v>
      </c>
      <c r="J159" s="442">
        <v>116.6675</v>
      </c>
      <c r="K159" s="446">
        <v>10</v>
      </c>
      <c r="L159" s="446">
        <v>1333.33</v>
      </c>
      <c r="M159" s="442">
        <v>1</v>
      </c>
      <c r="N159" s="442">
        <v>133.333</v>
      </c>
      <c r="O159" s="446">
        <v>30</v>
      </c>
      <c r="P159" s="446">
        <v>5320</v>
      </c>
      <c r="Q159" s="469">
        <v>3.9900099750249378</v>
      </c>
      <c r="R159" s="447">
        <v>177.33333333333334</v>
      </c>
    </row>
    <row r="160" spans="1:18" ht="14.45" customHeight="1" x14ac:dyDescent="0.2">
      <c r="A160" s="441"/>
      <c r="B160" s="442" t="s">
        <v>1688</v>
      </c>
      <c r="C160" s="442" t="s">
        <v>1681</v>
      </c>
      <c r="D160" s="442" t="s">
        <v>1773</v>
      </c>
      <c r="E160" s="442" t="s">
        <v>1837</v>
      </c>
      <c r="F160" s="442" t="s">
        <v>1838</v>
      </c>
      <c r="G160" s="446">
        <v>34</v>
      </c>
      <c r="H160" s="446">
        <v>1662.22</v>
      </c>
      <c r="I160" s="442">
        <v>3.7777727272727275</v>
      </c>
      <c r="J160" s="442">
        <v>48.888823529411766</v>
      </c>
      <c r="K160" s="446">
        <v>9</v>
      </c>
      <c r="L160" s="446">
        <v>440</v>
      </c>
      <c r="M160" s="442">
        <v>1</v>
      </c>
      <c r="N160" s="442">
        <v>48.888888888888886</v>
      </c>
      <c r="O160" s="446">
        <v>4</v>
      </c>
      <c r="P160" s="446">
        <v>288.89</v>
      </c>
      <c r="Q160" s="469">
        <v>0.65656818181818177</v>
      </c>
      <c r="R160" s="447">
        <v>72.222499999999997</v>
      </c>
    </row>
    <row r="161" spans="1:18" ht="14.45" customHeight="1" x14ac:dyDescent="0.2">
      <c r="A161" s="441"/>
      <c r="B161" s="442" t="s">
        <v>1688</v>
      </c>
      <c r="C161" s="442" t="s">
        <v>1681</v>
      </c>
      <c r="D161" s="442" t="s">
        <v>1773</v>
      </c>
      <c r="E161" s="442" t="s">
        <v>1839</v>
      </c>
      <c r="F161" s="442" t="s">
        <v>1840</v>
      </c>
      <c r="G161" s="446">
        <v>2</v>
      </c>
      <c r="H161" s="446">
        <v>688.89</v>
      </c>
      <c r="I161" s="442"/>
      <c r="J161" s="442">
        <v>344.44499999999999</v>
      </c>
      <c r="K161" s="446"/>
      <c r="L161" s="446"/>
      <c r="M161" s="442"/>
      <c r="N161" s="442"/>
      <c r="O161" s="446">
        <v>2</v>
      </c>
      <c r="P161" s="446">
        <v>846.66000000000008</v>
      </c>
      <c r="Q161" s="469"/>
      <c r="R161" s="447">
        <v>423.33000000000004</v>
      </c>
    </row>
    <row r="162" spans="1:18" ht="14.45" customHeight="1" x14ac:dyDescent="0.2">
      <c r="A162" s="441"/>
      <c r="B162" s="442" t="s">
        <v>1688</v>
      </c>
      <c r="C162" s="442" t="s">
        <v>1681</v>
      </c>
      <c r="D162" s="442" t="s">
        <v>1773</v>
      </c>
      <c r="E162" s="442" t="s">
        <v>1857</v>
      </c>
      <c r="F162" s="442" t="s">
        <v>1858</v>
      </c>
      <c r="G162" s="446">
        <v>7</v>
      </c>
      <c r="H162" s="446">
        <v>3266.67</v>
      </c>
      <c r="I162" s="442"/>
      <c r="J162" s="442">
        <v>466.66714285714289</v>
      </c>
      <c r="K162" s="446"/>
      <c r="L162" s="446"/>
      <c r="M162" s="442"/>
      <c r="N162" s="442"/>
      <c r="O162" s="446"/>
      <c r="P162" s="446"/>
      <c r="Q162" s="469"/>
      <c r="R162" s="447"/>
    </row>
    <row r="163" spans="1:18" ht="14.45" customHeight="1" x14ac:dyDescent="0.2">
      <c r="A163" s="441"/>
      <c r="B163" s="442" t="s">
        <v>1688</v>
      </c>
      <c r="C163" s="442" t="s">
        <v>1681</v>
      </c>
      <c r="D163" s="442" t="s">
        <v>1773</v>
      </c>
      <c r="E163" s="442" t="s">
        <v>1841</v>
      </c>
      <c r="F163" s="442" t="s">
        <v>1842</v>
      </c>
      <c r="G163" s="446">
        <v>63</v>
      </c>
      <c r="H163" s="446">
        <v>18409.990000000002</v>
      </c>
      <c r="I163" s="442">
        <v>1.2599985490503125</v>
      </c>
      <c r="J163" s="442">
        <v>292.22206349206351</v>
      </c>
      <c r="K163" s="446">
        <v>50</v>
      </c>
      <c r="L163" s="446">
        <v>14611.119999999999</v>
      </c>
      <c r="M163" s="442">
        <v>1</v>
      </c>
      <c r="N163" s="442">
        <v>292.22239999999999</v>
      </c>
      <c r="O163" s="446">
        <v>24</v>
      </c>
      <c r="P163" s="446">
        <v>8168.89</v>
      </c>
      <c r="Q163" s="469">
        <v>0.55908718838802229</v>
      </c>
      <c r="R163" s="447">
        <v>340.3704166666667</v>
      </c>
    </row>
    <row r="164" spans="1:18" ht="14.45" customHeight="1" x14ac:dyDescent="0.2">
      <c r="A164" s="441"/>
      <c r="B164" s="442" t="s">
        <v>1688</v>
      </c>
      <c r="C164" s="442" t="s">
        <v>1681</v>
      </c>
      <c r="D164" s="442" t="s">
        <v>1773</v>
      </c>
      <c r="E164" s="442" t="s">
        <v>1845</v>
      </c>
      <c r="F164" s="442" t="s">
        <v>1846</v>
      </c>
      <c r="G164" s="446">
        <v>1</v>
      </c>
      <c r="H164" s="446">
        <v>116.67</v>
      </c>
      <c r="I164" s="442">
        <v>0.50002142887755541</v>
      </c>
      <c r="J164" s="442">
        <v>116.67</v>
      </c>
      <c r="K164" s="446">
        <v>2</v>
      </c>
      <c r="L164" s="446">
        <v>233.33</v>
      </c>
      <c r="M164" s="442">
        <v>1</v>
      </c>
      <c r="N164" s="442">
        <v>116.66500000000001</v>
      </c>
      <c r="O164" s="446">
        <v>3</v>
      </c>
      <c r="P164" s="446">
        <v>416.66999999999996</v>
      </c>
      <c r="Q164" s="469">
        <v>1.7857540822011739</v>
      </c>
      <c r="R164" s="447">
        <v>138.88999999999999</v>
      </c>
    </row>
    <row r="165" spans="1:18" ht="14.45" customHeight="1" x14ac:dyDescent="0.2">
      <c r="A165" s="441"/>
      <c r="B165" s="442" t="s">
        <v>1688</v>
      </c>
      <c r="C165" s="442" t="s">
        <v>1681</v>
      </c>
      <c r="D165" s="442" t="s">
        <v>1773</v>
      </c>
      <c r="E165" s="442" t="s">
        <v>1859</v>
      </c>
      <c r="F165" s="442" t="s">
        <v>1860</v>
      </c>
      <c r="G165" s="446">
        <v>78</v>
      </c>
      <c r="H165" s="446">
        <v>27993.339999999997</v>
      </c>
      <c r="I165" s="442">
        <v>1.368421155544866</v>
      </c>
      <c r="J165" s="442">
        <v>358.88897435897434</v>
      </c>
      <c r="K165" s="446">
        <v>57</v>
      </c>
      <c r="L165" s="446">
        <v>20456.670000000002</v>
      </c>
      <c r="M165" s="442">
        <v>1</v>
      </c>
      <c r="N165" s="442">
        <v>358.8889473684211</v>
      </c>
      <c r="O165" s="446">
        <v>39</v>
      </c>
      <c r="P165" s="446">
        <v>16133.33</v>
      </c>
      <c r="Q165" s="469">
        <v>0.78865866243137317</v>
      </c>
      <c r="R165" s="447">
        <v>413.6751282051282</v>
      </c>
    </row>
    <row r="166" spans="1:18" ht="14.45" customHeight="1" x14ac:dyDescent="0.2">
      <c r="A166" s="441"/>
      <c r="B166" s="442" t="s">
        <v>1688</v>
      </c>
      <c r="C166" s="442" t="s">
        <v>1681</v>
      </c>
      <c r="D166" s="442" t="s">
        <v>1773</v>
      </c>
      <c r="E166" s="442" t="s">
        <v>1861</v>
      </c>
      <c r="F166" s="442"/>
      <c r="G166" s="446">
        <v>7</v>
      </c>
      <c r="H166" s="446">
        <v>3850</v>
      </c>
      <c r="I166" s="442">
        <v>1.75</v>
      </c>
      <c r="J166" s="442">
        <v>550</v>
      </c>
      <c r="K166" s="446">
        <v>4</v>
      </c>
      <c r="L166" s="446">
        <v>2200</v>
      </c>
      <c r="M166" s="442">
        <v>1</v>
      </c>
      <c r="N166" s="442">
        <v>550</v>
      </c>
      <c r="O166" s="446"/>
      <c r="P166" s="446"/>
      <c r="Q166" s="469"/>
      <c r="R166" s="447"/>
    </row>
    <row r="167" spans="1:18" ht="14.45" customHeight="1" x14ac:dyDescent="0.2">
      <c r="A167" s="441"/>
      <c r="B167" s="442" t="s">
        <v>1688</v>
      </c>
      <c r="C167" s="442" t="s">
        <v>1681</v>
      </c>
      <c r="D167" s="442" t="s">
        <v>1773</v>
      </c>
      <c r="E167" s="442" t="s">
        <v>1847</v>
      </c>
      <c r="F167" s="442" t="s">
        <v>1848</v>
      </c>
      <c r="G167" s="446">
        <v>5</v>
      </c>
      <c r="H167" s="446">
        <v>583.34</v>
      </c>
      <c r="I167" s="442">
        <v>0.83333095241496558</v>
      </c>
      <c r="J167" s="442">
        <v>116.66800000000001</v>
      </c>
      <c r="K167" s="446">
        <v>6</v>
      </c>
      <c r="L167" s="446">
        <v>700.01</v>
      </c>
      <c r="M167" s="442">
        <v>1</v>
      </c>
      <c r="N167" s="442">
        <v>116.66833333333334</v>
      </c>
      <c r="O167" s="446">
        <v>16</v>
      </c>
      <c r="P167" s="446">
        <v>2488.88</v>
      </c>
      <c r="Q167" s="469">
        <v>3.5554920643990804</v>
      </c>
      <c r="R167" s="447">
        <v>155.55500000000001</v>
      </c>
    </row>
    <row r="168" spans="1:18" ht="14.45" customHeight="1" x14ac:dyDescent="0.2">
      <c r="A168" s="441"/>
      <c r="B168" s="442" t="s">
        <v>1688</v>
      </c>
      <c r="C168" s="442" t="s">
        <v>1681</v>
      </c>
      <c r="D168" s="442" t="s">
        <v>1773</v>
      </c>
      <c r="E168" s="442" t="s">
        <v>1862</v>
      </c>
      <c r="F168" s="442" t="s">
        <v>1863</v>
      </c>
      <c r="G168" s="446"/>
      <c r="H168" s="446"/>
      <c r="I168" s="442"/>
      <c r="J168" s="442"/>
      <c r="K168" s="446">
        <v>50</v>
      </c>
      <c r="L168" s="446">
        <v>27666.67</v>
      </c>
      <c r="M168" s="442">
        <v>1</v>
      </c>
      <c r="N168" s="442">
        <v>553.33339999999998</v>
      </c>
      <c r="O168" s="446">
        <v>142</v>
      </c>
      <c r="P168" s="446">
        <v>83719.990000000005</v>
      </c>
      <c r="Q168" s="469">
        <v>3.0260233703586303</v>
      </c>
      <c r="R168" s="447">
        <v>589.57739436619727</v>
      </c>
    </row>
    <row r="169" spans="1:18" ht="14.45" customHeight="1" x14ac:dyDescent="0.2">
      <c r="A169" s="441"/>
      <c r="B169" s="442" t="s">
        <v>1688</v>
      </c>
      <c r="C169" s="442" t="s">
        <v>1681</v>
      </c>
      <c r="D169" s="442" t="s">
        <v>1773</v>
      </c>
      <c r="E169" s="442" t="s">
        <v>1864</v>
      </c>
      <c r="F169" s="442" t="s">
        <v>1865</v>
      </c>
      <c r="G169" s="446"/>
      <c r="H169" s="446"/>
      <c r="I169" s="442"/>
      <c r="J169" s="442"/>
      <c r="K169" s="446"/>
      <c r="L169" s="446"/>
      <c r="M169" s="442"/>
      <c r="N169" s="442"/>
      <c r="O169" s="446">
        <v>1</v>
      </c>
      <c r="P169" s="446">
        <v>300</v>
      </c>
      <c r="Q169" s="469"/>
      <c r="R169" s="447">
        <v>300</v>
      </c>
    </row>
    <row r="170" spans="1:18" ht="14.45" customHeight="1" x14ac:dyDescent="0.2">
      <c r="A170" s="441"/>
      <c r="B170" s="442" t="s">
        <v>1688</v>
      </c>
      <c r="C170" s="442" t="s">
        <v>1681</v>
      </c>
      <c r="D170" s="442" t="s">
        <v>1773</v>
      </c>
      <c r="E170" s="442" t="s">
        <v>1849</v>
      </c>
      <c r="F170" s="442" t="s">
        <v>1850</v>
      </c>
      <c r="G170" s="446"/>
      <c r="H170" s="446"/>
      <c r="I170" s="442"/>
      <c r="J170" s="442"/>
      <c r="K170" s="446"/>
      <c r="L170" s="446"/>
      <c r="M170" s="442"/>
      <c r="N170" s="442"/>
      <c r="O170" s="446">
        <v>378</v>
      </c>
      <c r="P170" s="446">
        <v>23926.68</v>
      </c>
      <c r="Q170" s="469"/>
      <c r="R170" s="447">
        <v>63.298095238095236</v>
      </c>
    </row>
    <row r="171" spans="1:18" ht="14.45" customHeight="1" x14ac:dyDescent="0.2">
      <c r="A171" s="441"/>
      <c r="B171" s="442" t="s">
        <v>1688</v>
      </c>
      <c r="C171" s="442" t="s">
        <v>1681</v>
      </c>
      <c r="D171" s="442" t="s">
        <v>1773</v>
      </c>
      <c r="E171" s="442" t="s">
        <v>1866</v>
      </c>
      <c r="F171" s="442" t="s">
        <v>1867</v>
      </c>
      <c r="G171" s="446"/>
      <c r="H171" s="446"/>
      <c r="I171" s="442"/>
      <c r="J171" s="442"/>
      <c r="K171" s="446"/>
      <c r="L171" s="446"/>
      <c r="M171" s="442"/>
      <c r="N171" s="442"/>
      <c r="O171" s="446">
        <v>191</v>
      </c>
      <c r="P171" s="446">
        <v>60411.11</v>
      </c>
      <c r="Q171" s="469"/>
      <c r="R171" s="447">
        <v>316.28853403141363</v>
      </c>
    </row>
    <row r="172" spans="1:18" ht="14.45" customHeight="1" x14ac:dyDescent="0.2">
      <c r="A172" s="441"/>
      <c r="B172" s="442" t="s">
        <v>1688</v>
      </c>
      <c r="C172" s="442" t="s">
        <v>1682</v>
      </c>
      <c r="D172" s="442" t="s">
        <v>1689</v>
      </c>
      <c r="E172" s="442" t="s">
        <v>1690</v>
      </c>
      <c r="F172" s="442"/>
      <c r="G172" s="446"/>
      <c r="H172" s="446"/>
      <c r="I172" s="442"/>
      <c r="J172" s="442"/>
      <c r="K172" s="446"/>
      <c r="L172" s="446"/>
      <c r="M172" s="442"/>
      <c r="N172" s="442"/>
      <c r="O172" s="446">
        <v>1</v>
      </c>
      <c r="P172" s="446">
        <v>113</v>
      </c>
      <c r="Q172" s="469"/>
      <c r="R172" s="447">
        <v>113</v>
      </c>
    </row>
    <row r="173" spans="1:18" ht="14.45" customHeight="1" x14ac:dyDescent="0.2">
      <c r="A173" s="441"/>
      <c r="B173" s="442" t="s">
        <v>1688</v>
      </c>
      <c r="C173" s="442" t="s">
        <v>1682</v>
      </c>
      <c r="D173" s="442" t="s">
        <v>1689</v>
      </c>
      <c r="E173" s="442" t="s">
        <v>1692</v>
      </c>
      <c r="F173" s="442"/>
      <c r="G173" s="446">
        <v>1</v>
      </c>
      <c r="H173" s="446">
        <v>1657</v>
      </c>
      <c r="I173" s="442"/>
      <c r="J173" s="442">
        <v>1657</v>
      </c>
      <c r="K173" s="446"/>
      <c r="L173" s="446"/>
      <c r="M173" s="442"/>
      <c r="N173" s="442"/>
      <c r="O173" s="446"/>
      <c r="P173" s="446"/>
      <c r="Q173" s="469"/>
      <c r="R173" s="447"/>
    </row>
    <row r="174" spans="1:18" ht="14.45" customHeight="1" x14ac:dyDescent="0.2">
      <c r="A174" s="441"/>
      <c r="B174" s="442" t="s">
        <v>1688</v>
      </c>
      <c r="C174" s="442" t="s">
        <v>1682</v>
      </c>
      <c r="D174" s="442" t="s">
        <v>1689</v>
      </c>
      <c r="E174" s="442" t="s">
        <v>1868</v>
      </c>
      <c r="F174" s="442"/>
      <c r="G174" s="446">
        <v>2</v>
      </c>
      <c r="H174" s="446">
        <v>2358</v>
      </c>
      <c r="I174" s="442">
        <v>2</v>
      </c>
      <c r="J174" s="442">
        <v>1179</v>
      </c>
      <c r="K174" s="446">
        <v>1</v>
      </c>
      <c r="L174" s="446">
        <v>1179</v>
      </c>
      <c r="M174" s="442">
        <v>1</v>
      </c>
      <c r="N174" s="442">
        <v>1179</v>
      </c>
      <c r="O174" s="446">
        <v>1</v>
      </c>
      <c r="P174" s="446">
        <v>1179</v>
      </c>
      <c r="Q174" s="469">
        <v>1</v>
      </c>
      <c r="R174" s="447">
        <v>1179</v>
      </c>
    </row>
    <row r="175" spans="1:18" ht="14.45" customHeight="1" x14ac:dyDescent="0.2">
      <c r="A175" s="441"/>
      <c r="B175" s="442" t="s">
        <v>1688</v>
      </c>
      <c r="C175" s="442" t="s">
        <v>1682</v>
      </c>
      <c r="D175" s="442" t="s">
        <v>1689</v>
      </c>
      <c r="E175" s="442" t="s">
        <v>1869</v>
      </c>
      <c r="F175" s="442"/>
      <c r="G175" s="446">
        <v>5</v>
      </c>
      <c r="H175" s="446">
        <v>6405</v>
      </c>
      <c r="I175" s="442"/>
      <c r="J175" s="442">
        <v>1281</v>
      </c>
      <c r="K175" s="446"/>
      <c r="L175" s="446"/>
      <c r="M175" s="442"/>
      <c r="N175" s="442"/>
      <c r="O175" s="446"/>
      <c r="P175" s="446"/>
      <c r="Q175" s="469"/>
      <c r="R175" s="447"/>
    </row>
    <row r="176" spans="1:18" ht="14.45" customHeight="1" x14ac:dyDescent="0.2">
      <c r="A176" s="441"/>
      <c r="B176" s="442" t="s">
        <v>1688</v>
      </c>
      <c r="C176" s="442" t="s">
        <v>1682</v>
      </c>
      <c r="D176" s="442" t="s">
        <v>1689</v>
      </c>
      <c r="E176" s="442" t="s">
        <v>1870</v>
      </c>
      <c r="F176" s="442"/>
      <c r="G176" s="446">
        <v>1</v>
      </c>
      <c r="H176" s="446">
        <v>219</v>
      </c>
      <c r="I176" s="442">
        <v>1</v>
      </c>
      <c r="J176" s="442">
        <v>219</v>
      </c>
      <c r="K176" s="446">
        <v>1</v>
      </c>
      <c r="L176" s="446">
        <v>219</v>
      </c>
      <c r="M176" s="442">
        <v>1</v>
      </c>
      <c r="N176" s="442">
        <v>219</v>
      </c>
      <c r="O176" s="446">
        <v>1</v>
      </c>
      <c r="P176" s="446">
        <v>219</v>
      </c>
      <c r="Q176" s="469">
        <v>1</v>
      </c>
      <c r="R176" s="447">
        <v>219</v>
      </c>
    </row>
    <row r="177" spans="1:18" ht="14.45" customHeight="1" x14ac:dyDescent="0.2">
      <c r="A177" s="441"/>
      <c r="B177" s="442" t="s">
        <v>1688</v>
      </c>
      <c r="C177" s="442" t="s">
        <v>1682</v>
      </c>
      <c r="D177" s="442" t="s">
        <v>1689</v>
      </c>
      <c r="E177" s="442" t="s">
        <v>1871</v>
      </c>
      <c r="F177" s="442"/>
      <c r="G177" s="446"/>
      <c r="H177" s="446"/>
      <c r="I177" s="442"/>
      <c r="J177" s="442"/>
      <c r="K177" s="446">
        <v>4</v>
      </c>
      <c r="L177" s="446">
        <v>2968</v>
      </c>
      <c r="M177" s="442">
        <v>1</v>
      </c>
      <c r="N177" s="442">
        <v>742</v>
      </c>
      <c r="O177" s="446">
        <v>4</v>
      </c>
      <c r="P177" s="446">
        <v>2968</v>
      </c>
      <c r="Q177" s="469">
        <v>1</v>
      </c>
      <c r="R177" s="447">
        <v>742</v>
      </c>
    </row>
    <row r="178" spans="1:18" ht="14.45" customHeight="1" x14ac:dyDescent="0.2">
      <c r="A178" s="441"/>
      <c r="B178" s="442" t="s">
        <v>1688</v>
      </c>
      <c r="C178" s="442" t="s">
        <v>1682</v>
      </c>
      <c r="D178" s="442" t="s">
        <v>1689</v>
      </c>
      <c r="E178" s="442" t="s">
        <v>1872</v>
      </c>
      <c r="F178" s="442"/>
      <c r="G178" s="446"/>
      <c r="H178" s="446"/>
      <c r="I178" s="442"/>
      <c r="J178" s="442"/>
      <c r="K178" s="446"/>
      <c r="L178" s="446"/>
      <c r="M178" s="442"/>
      <c r="N178" s="442"/>
      <c r="O178" s="446">
        <v>4</v>
      </c>
      <c r="P178" s="446">
        <v>3600</v>
      </c>
      <c r="Q178" s="469"/>
      <c r="R178" s="447">
        <v>900</v>
      </c>
    </row>
    <row r="179" spans="1:18" ht="14.45" customHeight="1" x14ac:dyDescent="0.2">
      <c r="A179" s="441"/>
      <c r="B179" s="442" t="s">
        <v>1688</v>
      </c>
      <c r="C179" s="442" t="s">
        <v>1682</v>
      </c>
      <c r="D179" s="442" t="s">
        <v>1773</v>
      </c>
      <c r="E179" s="442" t="s">
        <v>1774</v>
      </c>
      <c r="F179" s="442" t="s">
        <v>1775</v>
      </c>
      <c r="G179" s="446">
        <v>42</v>
      </c>
      <c r="H179" s="446">
        <v>21373.339999999997</v>
      </c>
      <c r="I179" s="442">
        <v>1.0243902906618674</v>
      </c>
      <c r="J179" s="442">
        <v>508.88904761904752</v>
      </c>
      <c r="K179" s="446">
        <v>41</v>
      </c>
      <c r="L179" s="446">
        <v>20864.449999999997</v>
      </c>
      <c r="M179" s="442">
        <v>1</v>
      </c>
      <c r="N179" s="442">
        <v>508.88902439024383</v>
      </c>
      <c r="O179" s="446">
        <v>55</v>
      </c>
      <c r="P179" s="446">
        <v>31953.32</v>
      </c>
      <c r="Q179" s="469">
        <v>1.5314719534902672</v>
      </c>
      <c r="R179" s="447">
        <v>580.9694545454546</v>
      </c>
    </row>
    <row r="180" spans="1:18" ht="14.45" customHeight="1" x14ac:dyDescent="0.2">
      <c r="A180" s="441"/>
      <c r="B180" s="442" t="s">
        <v>1688</v>
      </c>
      <c r="C180" s="442" t="s">
        <v>1682</v>
      </c>
      <c r="D180" s="442" t="s">
        <v>1773</v>
      </c>
      <c r="E180" s="442" t="s">
        <v>1776</v>
      </c>
      <c r="F180" s="442" t="s">
        <v>1777</v>
      </c>
      <c r="G180" s="446">
        <v>112</v>
      </c>
      <c r="H180" s="446">
        <v>56000</v>
      </c>
      <c r="I180" s="442">
        <v>1.0275229357798166</v>
      </c>
      <c r="J180" s="442">
        <v>500</v>
      </c>
      <c r="K180" s="446">
        <v>109</v>
      </c>
      <c r="L180" s="446">
        <v>54500</v>
      </c>
      <c r="M180" s="442">
        <v>1</v>
      </c>
      <c r="N180" s="442">
        <v>500</v>
      </c>
      <c r="O180" s="446">
        <v>219</v>
      </c>
      <c r="P180" s="446">
        <v>115406.67</v>
      </c>
      <c r="Q180" s="469">
        <v>2.1175535779816514</v>
      </c>
      <c r="R180" s="447">
        <v>526.97109589041099</v>
      </c>
    </row>
    <row r="181" spans="1:18" ht="14.45" customHeight="1" x14ac:dyDescent="0.2">
      <c r="A181" s="441"/>
      <c r="B181" s="442" t="s">
        <v>1688</v>
      </c>
      <c r="C181" s="442" t="s">
        <v>1682</v>
      </c>
      <c r="D181" s="442" t="s">
        <v>1773</v>
      </c>
      <c r="E181" s="442" t="s">
        <v>1851</v>
      </c>
      <c r="F181" s="442" t="s">
        <v>1852</v>
      </c>
      <c r="G181" s="446">
        <v>736</v>
      </c>
      <c r="H181" s="446">
        <v>77688.89</v>
      </c>
      <c r="I181" s="442">
        <v>1.1001492848431844</v>
      </c>
      <c r="J181" s="442">
        <v>105.55555706521739</v>
      </c>
      <c r="K181" s="446">
        <v>669</v>
      </c>
      <c r="L181" s="446">
        <v>70616.679999999993</v>
      </c>
      <c r="M181" s="442">
        <v>1</v>
      </c>
      <c r="N181" s="442">
        <v>105.55557548579969</v>
      </c>
      <c r="O181" s="446">
        <v>352</v>
      </c>
      <c r="P181" s="446">
        <v>47112.239999999991</v>
      </c>
      <c r="Q181" s="469">
        <v>0.66715455895122788</v>
      </c>
      <c r="R181" s="447">
        <v>133.84159090909088</v>
      </c>
    </row>
    <row r="182" spans="1:18" ht="14.45" customHeight="1" x14ac:dyDescent="0.2">
      <c r="A182" s="441"/>
      <c r="B182" s="442" t="s">
        <v>1688</v>
      </c>
      <c r="C182" s="442" t="s">
        <v>1682</v>
      </c>
      <c r="D182" s="442" t="s">
        <v>1773</v>
      </c>
      <c r="E182" s="442" t="s">
        <v>1778</v>
      </c>
      <c r="F182" s="442" t="s">
        <v>1779</v>
      </c>
      <c r="G182" s="446">
        <v>507</v>
      </c>
      <c r="H182" s="446">
        <v>39433.339999999997</v>
      </c>
      <c r="I182" s="442">
        <v>1.2042759014965594</v>
      </c>
      <c r="J182" s="442">
        <v>77.777790927021684</v>
      </c>
      <c r="K182" s="446">
        <v>421</v>
      </c>
      <c r="L182" s="446">
        <v>32744.44</v>
      </c>
      <c r="M182" s="442">
        <v>1</v>
      </c>
      <c r="N182" s="442">
        <v>77.777767220902604</v>
      </c>
      <c r="O182" s="446">
        <v>746</v>
      </c>
      <c r="P182" s="446">
        <v>65063.34</v>
      </c>
      <c r="Q182" s="469">
        <v>1.9870042059048802</v>
      </c>
      <c r="R182" s="447">
        <v>87.216273458445031</v>
      </c>
    </row>
    <row r="183" spans="1:18" ht="14.45" customHeight="1" x14ac:dyDescent="0.2">
      <c r="A183" s="441"/>
      <c r="B183" s="442" t="s">
        <v>1688</v>
      </c>
      <c r="C183" s="442" t="s">
        <v>1682</v>
      </c>
      <c r="D183" s="442" t="s">
        <v>1773</v>
      </c>
      <c r="E183" s="442" t="s">
        <v>1780</v>
      </c>
      <c r="F183" s="442" t="s">
        <v>1781</v>
      </c>
      <c r="G183" s="446"/>
      <c r="H183" s="446"/>
      <c r="I183" s="442"/>
      <c r="J183" s="442"/>
      <c r="K183" s="446"/>
      <c r="L183" s="446"/>
      <c r="M183" s="442"/>
      <c r="N183" s="442"/>
      <c r="O183" s="446">
        <v>26</v>
      </c>
      <c r="P183" s="446">
        <v>7022.23</v>
      </c>
      <c r="Q183" s="469"/>
      <c r="R183" s="447">
        <v>270.08576923076919</v>
      </c>
    </row>
    <row r="184" spans="1:18" ht="14.45" customHeight="1" x14ac:dyDescent="0.2">
      <c r="A184" s="441"/>
      <c r="B184" s="442" t="s">
        <v>1688</v>
      </c>
      <c r="C184" s="442" t="s">
        <v>1682</v>
      </c>
      <c r="D184" s="442" t="s">
        <v>1773</v>
      </c>
      <c r="E184" s="442" t="s">
        <v>1782</v>
      </c>
      <c r="F184" s="442" t="s">
        <v>1783</v>
      </c>
      <c r="G184" s="446"/>
      <c r="H184" s="446"/>
      <c r="I184" s="442"/>
      <c r="J184" s="442"/>
      <c r="K184" s="446"/>
      <c r="L184" s="446"/>
      <c r="M184" s="442"/>
      <c r="N184" s="442"/>
      <c r="O184" s="446">
        <v>1</v>
      </c>
      <c r="P184" s="446">
        <v>305.56</v>
      </c>
      <c r="Q184" s="469"/>
      <c r="R184" s="447">
        <v>305.56</v>
      </c>
    </row>
    <row r="185" spans="1:18" ht="14.45" customHeight="1" x14ac:dyDescent="0.2">
      <c r="A185" s="441"/>
      <c r="B185" s="442" t="s">
        <v>1688</v>
      </c>
      <c r="C185" s="442" t="s">
        <v>1682</v>
      </c>
      <c r="D185" s="442" t="s">
        <v>1773</v>
      </c>
      <c r="E185" s="442" t="s">
        <v>1784</v>
      </c>
      <c r="F185" s="442" t="s">
        <v>1785</v>
      </c>
      <c r="G185" s="446">
        <v>428</v>
      </c>
      <c r="H185" s="446">
        <v>49933.33</v>
      </c>
      <c r="I185" s="442">
        <v>1.486111011904762</v>
      </c>
      <c r="J185" s="442">
        <v>116.66665887850468</v>
      </c>
      <c r="K185" s="446">
        <v>288</v>
      </c>
      <c r="L185" s="446">
        <v>33600</v>
      </c>
      <c r="M185" s="442">
        <v>1</v>
      </c>
      <c r="N185" s="442">
        <v>116.66666666666667</v>
      </c>
      <c r="O185" s="446">
        <v>303</v>
      </c>
      <c r="P185" s="446">
        <v>42140.009999999995</v>
      </c>
      <c r="Q185" s="469">
        <v>1.2541669642857141</v>
      </c>
      <c r="R185" s="447">
        <v>139.07594059405938</v>
      </c>
    </row>
    <row r="186" spans="1:18" ht="14.45" customHeight="1" x14ac:dyDescent="0.2">
      <c r="A186" s="441"/>
      <c r="B186" s="442" t="s">
        <v>1688</v>
      </c>
      <c r="C186" s="442" t="s">
        <v>1682</v>
      </c>
      <c r="D186" s="442" t="s">
        <v>1773</v>
      </c>
      <c r="E186" s="442" t="s">
        <v>1853</v>
      </c>
      <c r="F186" s="442" t="s">
        <v>1854</v>
      </c>
      <c r="G186" s="446">
        <v>44</v>
      </c>
      <c r="H186" s="446">
        <v>17111.11</v>
      </c>
      <c r="I186" s="442">
        <v>0.48124990859376138</v>
      </c>
      <c r="J186" s="442">
        <v>388.88886363636362</v>
      </c>
      <c r="K186" s="446">
        <v>64</v>
      </c>
      <c r="L186" s="446">
        <v>35555.560000000005</v>
      </c>
      <c r="M186" s="442">
        <v>1</v>
      </c>
      <c r="N186" s="442">
        <v>555.55562500000008</v>
      </c>
      <c r="O186" s="446">
        <v>60</v>
      </c>
      <c r="P186" s="446">
        <v>55339.990000000005</v>
      </c>
      <c r="Q186" s="469">
        <v>1.556437024195372</v>
      </c>
      <c r="R186" s="447">
        <v>922.33316666666678</v>
      </c>
    </row>
    <row r="187" spans="1:18" ht="14.45" customHeight="1" x14ac:dyDescent="0.2">
      <c r="A187" s="441"/>
      <c r="B187" s="442" t="s">
        <v>1688</v>
      </c>
      <c r="C187" s="442" t="s">
        <v>1682</v>
      </c>
      <c r="D187" s="442" t="s">
        <v>1773</v>
      </c>
      <c r="E187" s="442" t="s">
        <v>1786</v>
      </c>
      <c r="F187" s="442" t="s">
        <v>1787</v>
      </c>
      <c r="G187" s="446">
        <v>590</v>
      </c>
      <c r="H187" s="446">
        <v>177000</v>
      </c>
      <c r="I187" s="442">
        <v>0.86510263929618769</v>
      </c>
      <c r="J187" s="442">
        <v>300</v>
      </c>
      <c r="K187" s="446">
        <v>372</v>
      </c>
      <c r="L187" s="446">
        <v>204600</v>
      </c>
      <c r="M187" s="442">
        <v>1</v>
      </c>
      <c r="N187" s="442">
        <v>550</v>
      </c>
      <c r="O187" s="446">
        <v>367</v>
      </c>
      <c r="P187" s="446">
        <v>213837.78999999998</v>
      </c>
      <c r="Q187" s="469">
        <v>1.0451504887585532</v>
      </c>
      <c r="R187" s="447">
        <v>582.66427792915522</v>
      </c>
    </row>
    <row r="188" spans="1:18" ht="14.45" customHeight="1" x14ac:dyDescent="0.2">
      <c r="A188" s="441"/>
      <c r="B188" s="442" t="s">
        <v>1688</v>
      </c>
      <c r="C188" s="442" t="s">
        <v>1682</v>
      </c>
      <c r="D188" s="442" t="s">
        <v>1773</v>
      </c>
      <c r="E188" s="442" t="s">
        <v>1788</v>
      </c>
      <c r="F188" s="442" t="s">
        <v>1789</v>
      </c>
      <c r="G188" s="446">
        <v>3</v>
      </c>
      <c r="H188" s="446">
        <v>883.31999999999994</v>
      </c>
      <c r="I188" s="442">
        <v>0.74999363203341907</v>
      </c>
      <c r="J188" s="442">
        <v>294.44</v>
      </c>
      <c r="K188" s="446">
        <v>4</v>
      </c>
      <c r="L188" s="446">
        <v>1177.77</v>
      </c>
      <c r="M188" s="442">
        <v>1</v>
      </c>
      <c r="N188" s="442">
        <v>294.4425</v>
      </c>
      <c r="O188" s="446">
        <v>1</v>
      </c>
      <c r="P188" s="446">
        <v>344.44</v>
      </c>
      <c r="Q188" s="469">
        <v>0.29245098788388224</v>
      </c>
      <c r="R188" s="447">
        <v>344.44</v>
      </c>
    </row>
    <row r="189" spans="1:18" ht="14.45" customHeight="1" x14ac:dyDescent="0.2">
      <c r="A189" s="441"/>
      <c r="B189" s="442" t="s">
        <v>1688</v>
      </c>
      <c r="C189" s="442" t="s">
        <v>1682</v>
      </c>
      <c r="D189" s="442" t="s">
        <v>1773</v>
      </c>
      <c r="E189" s="442" t="s">
        <v>1873</v>
      </c>
      <c r="F189" s="442" t="s">
        <v>1874</v>
      </c>
      <c r="G189" s="446">
        <v>1</v>
      </c>
      <c r="H189" s="446">
        <v>777.78</v>
      </c>
      <c r="I189" s="442"/>
      <c r="J189" s="442">
        <v>777.78</v>
      </c>
      <c r="K189" s="446"/>
      <c r="L189" s="446"/>
      <c r="M189" s="442"/>
      <c r="N189" s="442"/>
      <c r="O189" s="446"/>
      <c r="P189" s="446"/>
      <c r="Q189" s="469"/>
      <c r="R189" s="447"/>
    </row>
    <row r="190" spans="1:18" ht="14.45" customHeight="1" x14ac:dyDescent="0.2">
      <c r="A190" s="441"/>
      <c r="B190" s="442" t="s">
        <v>1688</v>
      </c>
      <c r="C190" s="442" t="s">
        <v>1682</v>
      </c>
      <c r="D190" s="442" t="s">
        <v>1773</v>
      </c>
      <c r="E190" s="442" t="s">
        <v>1794</v>
      </c>
      <c r="F190" s="442"/>
      <c r="G190" s="446">
        <v>19</v>
      </c>
      <c r="H190" s="446">
        <v>633.32999999999993</v>
      </c>
      <c r="I190" s="442"/>
      <c r="J190" s="442">
        <v>33.333157894736836</v>
      </c>
      <c r="K190" s="446"/>
      <c r="L190" s="446"/>
      <c r="M190" s="442"/>
      <c r="N190" s="442"/>
      <c r="O190" s="446"/>
      <c r="P190" s="446"/>
      <c r="Q190" s="469"/>
      <c r="R190" s="447"/>
    </row>
    <row r="191" spans="1:18" ht="14.45" customHeight="1" x14ac:dyDescent="0.2">
      <c r="A191" s="441"/>
      <c r="B191" s="442" t="s">
        <v>1688</v>
      </c>
      <c r="C191" s="442" t="s">
        <v>1682</v>
      </c>
      <c r="D191" s="442" t="s">
        <v>1773</v>
      </c>
      <c r="E191" s="442" t="s">
        <v>1795</v>
      </c>
      <c r="F191" s="442" t="s">
        <v>1777</v>
      </c>
      <c r="G191" s="446">
        <v>1262</v>
      </c>
      <c r="H191" s="446">
        <v>527235.55000000005</v>
      </c>
      <c r="I191" s="442">
        <v>1.0569514267741826</v>
      </c>
      <c r="J191" s="442">
        <v>417.77777337559434</v>
      </c>
      <c r="K191" s="446">
        <v>1194</v>
      </c>
      <c r="L191" s="446">
        <v>498826.66</v>
      </c>
      <c r="M191" s="442">
        <v>1</v>
      </c>
      <c r="N191" s="442">
        <v>417.77777219430482</v>
      </c>
      <c r="O191" s="446">
        <v>750</v>
      </c>
      <c r="P191" s="446">
        <v>330193.33</v>
      </c>
      <c r="Q191" s="469">
        <v>0.66194002140944119</v>
      </c>
      <c r="R191" s="447">
        <v>440.25777333333338</v>
      </c>
    </row>
    <row r="192" spans="1:18" ht="14.45" customHeight="1" x14ac:dyDescent="0.2">
      <c r="A192" s="441"/>
      <c r="B192" s="442" t="s">
        <v>1688</v>
      </c>
      <c r="C192" s="442" t="s">
        <v>1682</v>
      </c>
      <c r="D192" s="442" t="s">
        <v>1773</v>
      </c>
      <c r="E192" s="442" t="s">
        <v>1796</v>
      </c>
      <c r="F192" s="442" t="s">
        <v>1797</v>
      </c>
      <c r="G192" s="446">
        <v>125</v>
      </c>
      <c r="H192" s="446">
        <v>26388.890000000003</v>
      </c>
      <c r="I192" s="442">
        <v>0.74218785595718706</v>
      </c>
      <c r="J192" s="442">
        <v>211.11112000000003</v>
      </c>
      <c r="K192" s="446">
        <v>160</v>
      </c>
      <c r="L192" s="446">
        <v>35555.54</v>
      </c>
      <c r="M192" s="442">
        <v>1</v>
      </c>
      <c r="N192" s="442">
        <v>222.22212500000001</v>
      </c>
      <c r="O192" s="446">
        <v>222</v>
      </c>
      <c r="P192" s="446">
        <v>80920</v>
      </c>
      <c r="Q192" s="469">
        <v>2.2758759956957482</v>
      </c>
      <c r="R192" s="447">
        <v>364.5045045045045</v>
      </c>
    </row>
    <row r="193" spans="1:18" ht="14.45" customHeight="1" x14ac:dyDescent="0.2">
      <c r="A193" s="441"/>
      <c r="B193" s="442" t="s">
        <v>1688</v>
      </c>
      <c r="C193" s="442" t="s">
        <v>1682</v>
      </c>
      <c r="D193" s="442" t="s">
        <v>1773</v>
      </c>
      <c r="E193" s="442" t="s">
        <v>1798</v>
      </c>
      <c r="F193" s="442" t="s">
        <v>1799</v>
      </c>
      <c r="G193" s="446">
        <v>45</v>
      </c>
      <c r="H193" s="446">
        <v>26250</v>
      </c>
      <c r="I193" s="442">
        <v>0.39473690146419566</v>
      </c>
      <c r="J193" s="442">
        <v>583.33333333333337</v>
      </c>
      <c r="K193" s="446">
        <v>114</v>
      </c>
      <c r="L193" s="446">
        <v>66499.990000000005</v>
      </c>
      <c r="M193" s="442">
        <v>1</v>
      </c>
      <c r="N193" s="442">
        <v>583.33324561403515</v>
      </c>
      <c r="O193" s="446">
        <v>106</v>
      </c>
      <c r="P193" s="446">
        <v>74028.89</v>
      </c>
      <c r="Q193" s="469">
        <v>1.1132165583784297</v>
      </c>
      <c r="R193" s="447">
        <v>698.38575471698118</v>
      </c>
    </row>
    <row r="194" spans="1:18" ht="14.45" customHeight="1" x14ac:dyDescent="0.2">
      <c r="A194" s="441"/>
      <c r="B194" s="442" t="s">
        <v>1688</v>
      </c>
      <c r="C194" s="442" t="s">
        <v>1682</v>
      </c>
      <c r="D194" s="442" t="s">
        <v>1773</v>
      </c>
      <c r="E194" s="442" t="s">
        <v>1800</v>
      </c>
      <c r="F194" s="442" t="s">
        <v>1801</v>
      </c>
      <c r="G194" s="446">
        <v>39</v>
      </c>
      <c r="H194" s="446">
        <v>18200.010000000002</v>
      </c>
      <c r="I194" s="442">
        <v>0.9069775438463602</v>
      </c>
      <c r="J194" s="442">
        <v>466.66692307692313</v>
      </c>
      <c r="K194" s="446">
        <v>43</v>
      </c>
      <c r="L194" s="446">
        <v>20066.66</v>
      </c>
      <c r="M194" s="442">
        <v>1</v>
      </c>
      <c r="N194" s="442">
        <v>466.66651162790697</v>
      </c>
      <c r="O194" s="446">
        <v>29</v>
      </c>
      <c r="P194" s="446">
        <v>15331.11</v>
      </c>
      <c r="Q194" s="469">
        <v>0.76400905781031825</v>
      </c>
      <c r="R194" s="447">
        <v>528.65896551724143</v>
      </c>
    </row>
    <row r="195" spans="1:18" ht="14.45" customHeight="1" x14ac:dyDescent="0.2">
      <c r="A195" s="441"/>
      <c r="B195" s="442" t="s">
        <v>1688</v>
      </c>
      <c r="C195" s="442" t="s">
        <v>1682</v>
      </c>
      <c r="D195" s="442" t="s">
        <v>1773</v>
      </c>
      <c r="E195" s="442" t="s">
        <v>1875</v>
      </c>
      <c r="F195" s="442" t="s">
        <v>1801</v>
      </c>
      <c r="G195" s="446">
        <v>9</v>
      </c>
      <c r="H195" s="446">
        <v>9000</v>
      </c>
      <c r="I195" s="442">
        <v>1.125</v>
      </c>
      <c r="J195" s="442">
        <v>1000</v>
      </c>
      <c r="K195" s="446">
        <v>8</v>
      </c>
      <c r="L195" s="446">
        <v>8000</v>
      </c>
      <c r="M195" s="442">
        <v>1</v>
      </c>
      <c r="N195" s="442">
        <v>1000</v>
      </c>
      <c r="O195" s="446">
        <v>1</v>
      </c>
      <c r="P195" s="446">
        <v>1154.44</v>
      </c>
      <c r="Q195" s="469">
        <v>0.14430500000000002</v>
      </c>
      <c r="R195" s="447">
        <v>1154.44</v>
      </c>
    </row>
    <row r="196" spans="1:18" ht="14.45" customHeight="1" x14ac:dyDescent="0.2">
      <c r="A196" s="441"/>
      <c r="B196" s="442" t="s">
        <v>1688</v>
      </c>
      <c r="C196" s="442" t="s">
        <v>1682</v>
      </c>
      <c r="D196" s="442" t="s">
        <v>1773</v>
      </c>
      <c r="E196" s="442" t="s">
        <v>1802</v>
      </c>
      <c r="F196" s="442" t="s">
        <v>1803</v>
      </c>
      <c r="G196" s="446">
        <v>297</v>
      </c>
      <c r="H196" s="446">
        <v>14850</v>
      </c>
      <c r="I196" s="442">
        <v>1.0429198384422358</v>
      </c>
      <c r="J196" s="442">
        <v>50</v>
      </c>
      <c r="K196" s="446">
        <v>233</v>
      </c>
      <c r="L196" s="446">
        <v>14238.87</v>
      </c>
      <c r="M196" s="442">
        <v>1</v>
      </c>
      <c r="N196" s="442">
        <v>61.111030042918458</v>
      </c>
      <c r="O196" s="446">
        <v>265</v>
      </c>
      <c r="P196" s="446">
        <v>18686.66</v>
      </c>
      <c r="Q196" s="469">
        <v>1.3123695911262621</v>
      </c>
      <c r="R196" s="447">
        <v>70.515698113207549</v>
      </c>
    </row>
    <row r="197" spans="1:18" ht="14.45" customHeight="1" x14ac:dyDescent="0.2">
      <c r="A197" s="441"/>
      <c r="B197" s="442" t="s">
        <v>1688</v>
      </c>
      <c r="C197" s="442" t="s">
        <v>1682</v>
      </c>
      <c r="D197" s="442" t="s">
        <v>1773</v>
      </c>
      <c r="E197" s="442" t="s">
        <v>1808</v>
      </c>
      <c r="F197" s="442" t="s">
        <v>1809</v>
      </c>
      <c r="G197" s="446">
        <v>9</v>
      </c>
      <c r="H197" s="446">
        <v>0</v>
      </c>
      <c r="I197" s="442"/>
      <c r="J197" s="442">
        <v>0</v>
      </c>
      <c r="K197" s="446">
        <v>4</v>
      </c>
      <c r="L197" s="446">
        <v>0</v>
      </c>
      <c r="M197" s="442"/>
      <c r="N197" s="442">
        <v>0</v>
      </c>
      <c r="O197" s="446">
        <v>3</v>
      </c>
      <c r="P197" s="446">
        <v>0</v>
      </c>
      <c r="Q197" s="469"/>
      <c r="R197" s="447">
        <v>0</v>
      </c>
    </row>
    <row r="198" spans="1:18" ht="14.45" customHeight="1" x14ac:dyDescent="0.2">
      <c r="A198" s="441"/>
      <c r="B198" s="442" t="s">
        <v>1688</v>
      </c>
      <c r="C198" s="442" t="s">
        <v>1682</v>
      </c>
      <c r="D198" s="442" t="s">
        <v>1773</v>
      </c>
      <c r="E198" s="442" t="s">
        <v>1810</v>
      </c>
      <c r="F198" s="442" t="s">
        <v>1811</v>
      </c>
      <c r="G198" s="446">
        <v>382</v>
      </c>
      <c r="H198" s="446">
        <v>116722.23</v>
      </c>
      <c r="I198" s="442">
        <v>1.3890907996033217</v>
      </c>
      <c r="J198" s="442">
        <v>305.55557591623034</v>
      </c>
      <c r="K198" s="446">
        <v>275</v>
      </c>
      <c r="L198" s="446">
        <v>84027.79</v>
      </c>
      <c r="M198" s="442">
        <v>1</v>
      </c>
      <c r="N198" s="442">
        <v>305.55559999999997</v>
      </c>
      <c r="O198" s="446">
        <v>352</v>
      </c>
      <c r="P198" s="446">
        <v>113565.55</v>
      </c>
      <c r="Q198" s="469">
        <v>1.3515237042411803</v>
      </c>
      <c r="R198" s="447">
        <v>322.62940340909091</v>
      </c>
    </row>
    <row r="199" spans="1:18" ht="14.45" customHeight="1" x14ac:dyDescent="0.2">
      <c r="A199" s="441"/>
      <c r="B199" s="442" t="s">
        <v>1688</v>
      </c>
      <c r="C199" s="442" t="s">
        <v>1682</v>
      </c>
      <c r="D199" s="442" t="s">
        <v>1773</v>
      </c>
      <c r="E199" s="442" t="s">
        <v>1812</v>
      </c>
      <c r="F199" s="442" t="s">
        <v>1813</v>
      </c>
      <c r="G199" s="446">
        <v>194</v>
      </c>
      <c r="H199" s="446">
        <v>6466.67</v>
      </c>
      <c r="I199" s="442">
        <v>8.083337499999999</v>
      </c>
      <c r="J199" s="442">
        <v>33.33335051546392</v>
      </c>
      <c r="K199" s="446">
        <v>24</v>
      </c>
      <c r="L199" s="446">
        <v>800.00000000000011</v>
      </c>
      <c r="M199" s="442">
        <v>1</v>
      </c>
      <c r="N199" s="442">
        <v>33.333333333333336</v>
      </c>
      <c r="O199" s="446"/>
      <c r="P199" s="446"/>
      <c r="Q199" s="469"/>
      <c r="R199" s="447"/>
    </row>
    <row r="200" spans="1:18" ht="14.45" customHeight="1" x14ac:dyDescent="0.2">
      <c r="A200" s="441"/>
      <c r="B200" s="442" t="s">
        <v>1688</v>
      </c>
      <c r="C200" s="442" t="s">
        <v>1682</v>
      </c>
      <c r="D200" s="442" t="s">
        <v>1773</v>
      </c>
      <c r="E200" s="442" t="s">
        <v>1814</v>
      </c>
      <c r="F200" s="442" t="s">
        <v>1815</v>
      </c>
      <c r="G200" s="446">
        <v>1399</v>
      </c>
      <c r="H200" s="446">
        <v>637322.23</v>
      </c>
      <c r="I200" s="442">
        <v>1.1795952902159434</v>
      </c>
      <c r="J200" s="442">
        <v>455.55556111508218</v>
      </c>
      <c r="K200" s="446">
        <v>1186</v>
      </c>
      <c r="L200" s="446">
        <v>540288.89</v>
      </c>
      <c r="M200" s="442">
        <v>1</v>
      </c>
      <c r="N200" s="442">
        <v>455.55555649241148</v>
      </c>
      <c r="O200" s="446">
        <v>1237</v>
      </c>
      <c r="P200" s="446">
        <v>593777.79</v>
      </c>
      <c r="Q200" s="469">
        <v>1.0990005550549078</v>
      </c>
      <c r="R200" s="447">
        <v>480.01438156831045</v>
      </c>
    </row>
    <row r="201" spans="1:18" ht="14.45" customHeight="1" x14ac:dyDescent="0.2">
      <c r="A201" s="441"/>
      <c r="B201" s="442" t="s">
        <v>1688</v>
      </c>
      <c r="C201" s="442" t="s">
        <v>1682</v>
      </c>
      <c r="D201" s="442" t="s">
        <v>1773</v>
      </c>
      <c r="E201" s="442" t="s">
        <v>1818</v>
      </c>
      <c r="F201" s="442" t="s">
        <v>1819</v>
      </c>
      <c r="G201" s="446">
        <v>555</v>
      </c>
      <c r="H201" s="446">
        <v>43166.670000000006</v>
      </c>
      <c r="I201" s="442">
        <v>1.4122136955055951</v>
      </c>
      <c r="J201" s="442">
        <v>77.777783783783789</v>
      </c>
      <c r="K201" s="446">
        <v>393</v>
      </c>
      <c r="L201" s="446">
        <v>30566.67</v>
      </c>
      <c r="M201" s="442">
        <v>1</v>
      </c>
      <c r="N201" s="442">
        <v>77.777786259541983</v>
      </c>
      <c r="O201" s="446">
        <v>515</v>
      </c>
      <c r="P201" s="446">
        <v>50661.11</v>
      </c>
      <c r="Q201" s="469">
        <v>1.6573970929774164</v>
      </c>
      <c r="R201" s="447">
        <v>98.37108737864078</v>
      </c>
    </row>
    <row r="202" spans="1:18" ht="14.45" customHeight="1" x14ac:dyDescent="0.2">
      <c r="A202" s="441"/>
      <c r="B202" s="442" t="s">
        <v>1688</v>
      </c>
      <c r="C202" s="442" t="s">
        <v>1682</v>
      </c>
      <c r="D202" s="442" t="s">
        <v>1773</v>
      </c>
      <c r="E202" s="442" t="s">
        <v>1876</v>
      </c>
      <c r="F202" s="442" t="s">
        <v>1877</v>
      </c>
      <c r="G202" s="446">
        <v>49</v>
      </c>
      <c r="H202" s="446">
        <v>34300</v>
      </c>
      <c r="I202" s="442">
        <v>1.1395348837209303</v>
      </c>
      <c r="J202" s="442">
        <v>700</v>
      </c>
      <c r="K202" s="446">
        <v>43</v>
      </c>
      <c r="L202" s="446">
        <v>30100</v>
      </c>
      <c r="M202" s="442">
        <v>1</v>
      </c>
      <c r="N202" s="442">
        <v>700</v>
      </c>
      <c r="O202" s="446">
        <v>33</v>
      </c>
      <c r="P202" s="446">
        <v>24745.57</v>
      </c>
      <c r="Q202" s="469">
        <v>0.82211196013289034</v>
      </c>
      <c r="R202" s="447">
        <v>749.86575757575758</v>
      </c>
    </row>
    <row r="203" spans="1:18" ht="14.45" customHeight="1" x14ac:dyDescent="0.2">
      <c r="A203" s="441"/>
      <c r="B203" s="442" t="s">
        <v>1688</v>
      </c>
      <c r="C203" s="442" t="s">
        <v>1682</v>
      </c>
      <c r="D203" s="442" t="s">
        <v>1773</v>
      </c>
      <c r="E203" s="442" t="s">
        <v>1822</v>
      </c>
      <c r="F203" s="442" t="s">
        <v>1823</v>
      </c>
      <c r="G203" s="446">
        <v>2</v>
      </c>
      <c r="H203" s="446">
        <v>540</v>
      </c>
      <c r="I203" s="442">
        <v>1</v>
      </c>
      <c r="J203" s="442">
        <v>270</v>
      </c>
      <c r="K203" s="446">
        <v>2</v>
      </c>
      <c r="L203" s="446">
        <v>540</v>
      </c>
      <c r="M203" s="442">
        <v>1</v>
      </c>
      <c r="N203" s="442">
        <v>270</v>
      </c>
      <c r="O203" s="446">
        <v>1</v>
      </c>
      <c r="P203" s="446">
        <v>382.22</v>
      </c>
      <c r="Q203" s="469">
        <v>0.7078148148148149</v>
      </c>
      <c r="R203" s="447">
        <v>382.22</v>
      </c>
    </row>
    <row r="204" spans="1:18" ht="14.45" customHeight="1" x14ac:dyDescent="0.2">
      <c r="A204" s="441"/>
      <c r="B204" s="442" t="s">
        <v>1688</v>
      </c>
      <c r="C204" s="442" t="s">
        <v>1682</v>
      </c>
      <c r="D204" s="442" t="s">
        <v>1773</v>
      </c>
      <c r="E204" s="442" t="s">
        <v>1824</v>
      </c>
      <c r="F204" s="442" t="s">
        <v>1825</v>
      </c>
      <c r="G204" s="446">
        <v>834</v>
      </c>
      <c r="H204" s="446">
        <v>78766.66</v>
      </c>
      <c r="I204" s="442">
        <v>1.3092618621461836</v>
      </c>
      <c r="J204" s="442">
        <v>94.444436450839333</v>
      </c>
      <c r="K204" s="446">
        <v>637</v>
      </c>
      <c r="L204" s="446">
        <v>60161.119999999995</v>
      </c>
      <c r="M204" s="442">
        <v>1</v>
      </c>
      <c r="N204" s="442">
        <v>94.444458398744104</v>
      </c>
      <c r="O204" s="446">
        <v>611</v>
      </c>
      <c r="P204" s="446">
        <v>71005.56</v>
      </c>
      <c r="Q204" s="469">
        <v>1.180256617562971</v>
      </c>
      <c r="R204" s="447">
        <v>116.21204582651391</v>
      </c>
    </row>
    <row r="205" spans="1:18" ht="14.45" customHeight="1" x14ac:dyDescent="0.2">
      <c r="A205" s="441"/>
      <c r="B205" s="442" t="s">
        <v>1688</v>
      </c>
      <c r="C205" s="442" t="s">
        <v>1682</v>
      </c>
      <c r="D205" s="442" t="s">
        <v>1773</v>
      </c>
      <c r="E205" s="442" t="s">
        <v>1828</v>
      </c>
      <c r="F205" s="442" t="s">
        <v>1829</v>
      </c>
      <c r="G205" s="446">
        <v>678</v>
      </c>
      <c r="H205" s="446">
        <v>65540</v>
      </c>
      <c r="I205" s="442">
        <v>1.4243698510844574</v>
      </c>
      <c r="J205" s="442">
        <v>96.666666666666671</v>
      </c>
      <c r="K205" s="446">
        <v>476</v>
      </c>
      <c r="L205" s="446">
        <v>46013.33</v>
      </c>
      <c r="M205" s="442">
        <v>1</v>
      </c>
      <c r="N205" s="442">
        <v>96.666659663865545</v>
      </c>
      <c r="O205" s="446">
        <v>438</v>
      </c>
      <c r="P205" s="446">
        <v>68211.12</v>
      </c>
      <c r="Q205" s="469">
        <v>1.4824208550000617</v>
      </c>
      <c r="R205" s="447">
        <v>155.7331506849315</v>
      </c>
    </row>
    <row r="206" spans="1:18" ht="14.45" customHeight="1" x14ac:dyDescent="0.2">
      <c r="A206" s="441"/>
      <c r="B206" s="442" t="s">
        <v>1688</v>
      </c>
      <c r="C206" s="442" t="s">
        <v>1682</v>
      </c>
      <c r="D206" s="442" t="s">
        <v>1773</v>
      </c>
      <c r="E206" s="442" t="s">
        <v>1831</v>
      </c>
      <c r="F206" s="442" t="s">
        <v>1832</v>
      </c>
      <c r="G206" s="446">
        <v>679</v>
      </c>
      <c r="H206" s="446">
        <v>294233.33</v>
      </c>
      <c r="I206" s="442">
        <v>1.2190304900009601</v>
      </c>
      <c r="J206" s="442">
        <v>433.33332842415319</v>
      </c>
      <c r="K206" s="446">
        <v>557</v>
      </c>
      <c r="L206" s="446">
        <v>241366.66999999998</v>
      </c>
      <c r="M206" s="442">
        <v>1</v>
      </c>
      <c r="N206" s="442">
        <v>433.33333931777378</v>
      </c>
      <c r="O206" s="446">
        <v>591</v>
      </c>
      <c r="P206" s="446">
        <v>272078.89</v>
      </c>
      <c r="Q206" s="469">
        <v>1.1272430033525342</v>
      </c>
      <c r="R206" s="447">
        <v>460.37037225042303</v>
      </c>
    </row>
    <row r="207" spans="1:18" ht="14.45" customHeight="1" x14ac:dyDescent="0.2">
      <c r="A207" s="441"/>
      <c r="B207" s="442" t="s">
        <v>1688</v>
      </c>
      <c r="C207" s="442" t="s">
        <v>1682</v>
      </c>
      <c r="D207" s="442" t="s">
        <v>1773</v>
      </c>
      <c r="E207" s="442" t="s">
        <v>1833</v>
      </c>
      <c r="F207" s="442" t="s">
        <v>1834</v>
      </c>
      <c r="G207" s="446">
        <v>1054</v>
      </c>
      <c r="H207" s="446">
        <v>79635.55</v>
      </c>
      <c r="I207" s="442">
        <v>1.1370009994288979</v>
      </c>
      <c r="J207" s="442">
        <v>75.555550284629987</v>
      </c>
      <c r="K207" s="446">
        <v>927</v>
      </c>
      <c r="L207" s="446">
        <v>70040</v>
      </c>
      <c r="M207" s="442">
        <v>1</v>
      </c>
      <c r="N207" s="442">
        <v>75.555555555555557</v>
      </c>
      <c r="O207" s="446">
        <v>475</v>
      </c>
      <c r="P207" s="446">
        <v>49681.1</v>
      </c>
      <c r="Q207" s="469">
        <v>0.70932467161621926</v>
      </c>
      <c r="R207" s="447">
        <v>104.5917894736842</v>
      </c>
    </row>
    <row r="208" spans="1:18" ht="14.45" customHeight="1" x14ac:dyDescent="0.2">
      <c r="A208" s="441"/>
      <c r="B208" s="442" t="s">
        <v>1688</v>
      </c>
      <c r="C208" s="442" t="s">
        <v>1682</v>
      </c>
      <c r="D208" s="442" t="s">
        <v>1773</v>
      </c>
      <c r="E208" s="442" t="s">
        <v>1878</v>
      </c>
      <c r="F208" s="442" t="s">
        <v>1879</v>
      </c>
      <c r="G208" s="446">
        <v>115</v>
      </c>
      <c r="H208" s="446">
        <v>147583.33000000002</v>
      </c>
      <c r="I208" s="442">
        <v>1.0952380705009277</v>
      </c>
      <c r="J208" s="442">
        <v>1283.3333043478262</v>
      </c>
      <c r="K208" s="446">
        <v>105</v>
      </c>
      <c r="L208" s="446">
        <v>134750</v>
      </c>
      <c r="M208" s="442">
        <v>1</v>
      </c>
      <c r="N208" s="442">
        <v>1283.3333333333333</v>
      </c>
      <c r="O208" s="446">
        <v>99</v>
      </c>
      <c r="P208" s="446">
        <v>139951.11000000002</v>
      </c>
      <c r="Q208" s="469">
        <v>1.0385982189239333</v>
      </c>
      <c r="R208" s="447">
        <v>1413.6475757575759</v>
      </c>
    </row>
    <row r="209" spans="1:18" ht="14.45" customHeight="1" x14ac:dyDescent="0.2">
      <c r="A209" s="441"/>
      <c r="B209" s="442" t="s">
        <v>1688</v>
      </c>
      <c r="C209" s="442" t="s">
        <v>1682</v>
      </c>
      <c r="D209" s="442" t="s">
        <v>1773</v>
      </c>
      <c r="E209" s="442" t="s">
        <v>1880</v>
      </c>
      <c r="F209" s="442" t="s">
        <v>1881</v>
      </c>
      <c r="G209" s="446">
        <v>6</v>
      </c>
      <c r="H209" s="446">
        <v>2800</v>
      </c>
      <c r="I209" s="442"/>
      <c r="J209" s="442">
        <v>466.66666666666669</v>
      </c>
      <c r="K209" s="446"/>
      <c r="L209" s="446"/>
      <c r="M209" s="442"/>
      <c r="N209" s="442"/>
      <c r="O209" s="446">
        <v>3</v>
      </c>
      <c r="P209" s="446">
        <v>1516.67</v>
      </c>
      <c r="Q209" s="469"/>
      <c r="R209" s="447">
        <v>505.55666666666667</v>
      </c>
    </row>
    <row r="210" spans="1:18" ht="14.45" customHeight="1" x14ac:dyDescent="0.2">
      <c r="A210" s="441"/>
      <c r="B210" s="442" t="s">
        <v>1688</v>
      </c>
      <c r="C210" s="442" t="s">
        <v>1682</v>
      </c>
      <c r="D210" s="442" t="s">
        <v>1773</v>
      </c>
      <c r="E210" s="442" t="s">
        <v>1835</v>
      </c>
      <c r="F210" s="442" t="s">
        <v>1836</v>
      </c>
      <c r="G210" s="446">
        <v>2</v>
      </c>
      <c r="H210" s="446">
        <v>233.33</v>
      </c>
      <c r="I210" s="442">
        <v>1.7500187504687617</v>
      </c>
      <c r="J210" s="442">
        <v>116.66500000000001</v>
      </c>
      <c r="K210" s="446">
        <v>1</v>
      </c>
      <c r="L210" s="446">
        <v>133.33000000000001</v>
      </c>
      <c r="M210" s="442">
        <v>1</v>
      </c>
      <c r="N210" s="442">
        <v>133.33000000000001</v>
      </c>
      <c r="O210" s="446">
        <v>4</v>
      </c>
      <c r="P210" s="446">
        <v>714.44</v>
      </c>
      <c r="Q210" s="469">
        <v>5.3584339608490215</v>
      </c>
      <c r="R210" s="447">
        <v>178.61</v>
      </c>
    </row>
    <row r="211" spans="1:18" ht="14.45" customHeight="1" x14ac:dyDescent="0.2">
      <c r="A211" s="441"/>
      <c r="B211" s="442" t="s">
        <v>1688</v>
      </c>
      <c r="C211" s="442" t="s">
        <v>1682</v>
      </c>
      <c r="D211" s="442" t="s">
        <v>1773</v>
      </c>
      <c r="E211" s="442" t="s">
        <v>1839</v>
      </c>
      <c r="F211" s="442" t="s">
        <v>1840</v>
      </c>
      <c r="G211" s="446">
        <v>3</v>
      </c>
      <c r="H211" s="446">
        <v>1033.32</v>
      </c>
      <c r="I211" s="442">
        <v>0.24999758063735689</v>
      </c>
      <c r="J211" s="442">
        <v>344.44</v>
      </c>
      <c r="K211" s="446">
        <v>12</v>
      </c>
      <c r="L211" s="446">
        <v>4133.32</v>
      </c>
      <c r="M211" s="442">
        <v>1</v>
      </c>
      <c r="N211" s="442">
        <v>344.44333333333333</v>
      </c>
      <c r="O211" s="446">
        <v>6</v>
      </c>
      <c r="P211" s="446">
        <v>2366.65</v>
      </c>
      <c r="Q211" s="469">
        <v>0.57257845993051593</v>
      </c>
      <c r="R211" s="447">
        <v>394.44166666666666</v>
      </c>
    </row>
    <row r="212" spans="1:18" ht="14.45" customHeight="1" x14ac:dyDescent="0.2">
      <c r="A212" s="441"/>
      <c r="B212" s="442" t="s">
        <v>1688</v>
      </c>
      <c r="C212" s="442" t="s">
        <v>1682</v>
      </c>
      <c r="D212" s="442" t="s">
        <v>1773</v>
      </c>
      <c r="E212" s="442" t="s">
        <v>1882</v>
      </c>
      <c r="F212" s="442" t="s">
        <v>1883</v>
      </c>
      <c r="G212" s="446">
        <v>1</v>
      </c>
      <c r="H212" s="446">
        <v>833.33</v>
      </c>
      <c r="I212" s="442"/>
      <c r="J212" s="442">
        <v>833.33</v>
      </c>
      <c r="K212" s="446"/>
      <c r="L212" s="446"/>
      <c r="M212" s="442"/>
      <c r="N212" s="442"/>
      <c r="O212" s="446"/>
      <c r="P212" s="446"/>
      <c r="Q212" s="469"/>
      <c r="R212" s="447"/>
    </row>
    <row r="213" spans="1:18" ht="14.45" customHeight="1" x14ac:dyDescent="0.2">
      <c r="A213" s="441"/>
      <c r="B213" s="442" t="s">
        <v>1688</v>
      </c>
      <c r="C213" s="442" t="s">
        <v>1682</v>
      </c>
      <c r="D213" s="442" t="s">
        <v>1773</v>
      </c>
      <c r="E213" s="442" t="s">
        <v>1841</v>
      </c>
      <c r="F213" s="442" t="s">
        <v>1842</v>
      </c>
      <c r="G213" s="446">
        <v>7</v>
      </c>
      <c r="H213" s="446">
        <v>2045.5500000000002</v>
      </c>
      <c r="I213" s="442">
        <v>0.63636278791951328</v>
      </c>
      <c r="J213" s="442">
        <v>292.22142857142859</v>
      </c>
      <c r="K213" s="446">
        <v>11</v>
      </c>
      <c r="L213" s="446">
        <v>3214.44</v>
      </c>
      <c r="M213" s="442">
        <v>1</v>
      </c>
      <c r="N213" s="442">
        <v>292.22181818181821</v>
      </c>
      <c r="O213" s="446">
        <v>7</v>
      </c>
      <c r="P213" s="446">
        <v>2351.11</v>
      </c>
      <c r="Q213" s="469">
        <v>0.73142133622030592</v>
      </c>
      <c r="R213" s="447">
        <v>335.87285714285719</v>
      </c>
    </row>
    <row r="214" spans="1:18" ht="14.45" customHeight="1" x14ac:dyDescent="0.2">
      <c r="A214" s="441"/>
      <c r="B214" s="442" t="s">
        <v>1688</v>
      </c>
      <c r="C214" s="442" t="s">
        <v>1682</v>
      </c>
      <c r="D214" s="442" t="s">
        <v>1773</v>
      </c>
      <c r="E214" s="442" t="s">
        <v>1845</v>
      </c>
      <c r="F214" s="442" t="s">
        <v>1846</v>
      </c>
      <c r="G214" s="446">
        <v>552</v>
      </c>
      <c r="H214" s="446">
        <v>64400</v>
      </c>
      <c r="I214" s="442">
        <v>1.0781250601632288</v>
      </c>
      <c r="J214" s="442">
        <v>116.66666666666667</v>
      </c>
      <c r="K214" s="446">
        <v>512</v>
      </c>
      <c r="L214" s="446">
        <v>59733.33</v>
      </c>
      <c r="M214" s="442">
        <v>1</v>
      </c>
      <c r="N214" s="442">
        <v>116.66666015625</v>
      </c>
      <c r="O214" s="446">
        <v>305</v>
      </c>
      <c r="P214" s="446">
        <v>44021.11</v>
      </c>
      <c r="Q214" s="469">
        <v>0.73696058800003283</v>
      </c>
      <c r="R214" s="447">
        <v>144.3315081967213</v>
      </c>
    </row>
    <row r="215" spans="1:18" ht="14.45" customHeight="1" x14ac:dyDescent="0.2">
      <c r="A215" s="441"/>
      <c r="B215" s="442" t="s">
        <v>1688</v>
      </c>
      <c r="C215" s="442" t="s">
        <v>1682</v>
      </c>
      <c r="D215" s="442" t="s">
        <v>1773</v>
      </c>
      <c r="E215" s="442" t="s">
        <v>1859</v>
      </c>
      <c r="F215" s="442" t="s">
        <v>1860</v>
      </c>
      <c r="G215" s="446">
        <v>4</v>
      </c>
      <c r="H215" s="446">
        <v>1435.56</v>
      </c>
      <c r="I215" s="442">
        <v>0.66666666666666663</v>
      </c>
      <c r="J215" s="442">
        <v>358.89</v>
      </c>
      <c r="K215" s="446">
        <v>6</v>
      </c>
      <c r="L215" s="446">
        <v>2153.34</v>
      </c>
      <c r="M215" s="442">
        <v>1</v>
      </c>
      <c r="N215" s="442">
        <v>358.89000000000004</v>
      </c>
      <c r="O215" s="446">
        <v>1</v>
      </c>
      <c r="P215" s="446">
        <v>417.78</v>
      </c>
      <c r="Q215" s="469">
        <v>0.19401487921090024</v>
      </c>
      <c r="R215" s="447">
        <v>417.78</v>
      </c>
    </row>
    <row r="216" spans="1:18" ht="14.45" customHeight="1" x14ac:dyDescent="0.2">
      <c r="A216" s="441"/>
      <c r="B216" s="442" t="s">
        <v>1688</v>
      </c>
      <c r="C216" s="442" t="s">
        <v>1682</v>
      </c>
      <c r="D216" s="442" t="s">
        <v>1773</v>
      </c>
      <c r="E216" s="442" t="s">
        <v>1861</v>
      </c>
      <c r="F216" s="442"/>
      <c r="G216" s="446">
        <v>215</v>
      </c>
      <c r="H216" s="446">
        <v>118250</v>
      </c>
      <c r="I216" s="442">
        <v>1.1497326203208555</v>
      </c>
      <c r="J216" s="442">
        <v>550</v>
      </c>
      <c r="K216" s="446">
        <v>187</v>
      </c>
      <c r="L216" s="446">
        <v>102850</v>
      </c>
      <c r="M216" s="442">
        <v>1</v>
      </c>
      <c r="N216" s="442">
        <v>550</v>
      </c>
      <c r="O216" s="446"/>
      <c r="P216" s="446"/>
      <c r="Q216" s="469"/>
      <c r="R216" s="447"/>
    </row>
    <row r="217" spans="1:18" ht="14.45" customHeight="1" x14ac:dyDescent="0.2">
      <c r="A217" s="441"/>
      <c r="B217" s="442" t="s">
        <v>1688</v>
      </c>
      <c r="C217" s="442" t="s">
        <v>1682</v>
      </c>
      <c r="D217" s="442" t="s">
        <v>1773</v>
      </c>
      <c r="E217" s="442" t="s">
        <v>1847</v>
      </c>
      <c r="F217" s="442" t="s">
        <v>1848</v>
      </c>
      <c r="G217" s="446">
        <v>3</v>
      </c>
      <c r="H217" s="446">
        <v>350</v>
      </c>
      <c r="I217" s="442">
        <v>0.5</v>
      </c>
      <c r="J217" s="442">
        <v>116.66666666666667</v>
      </c>
      <c r="K217" s="446">
        <v>6</v>
      </c>
      <c r="L217" s="446">
        <v>700</v>
      </c>
      <c r="M217" s="442">
        <v>1</v>
      </c>
      <c r="N217" s="442">
        <v>116.66666666666667</v>
      </c>
      <c r="O217" s="446">
        <v>1</v>
      </c>
      <c r="P217" s="446">
        <v>150</v>
      </c>
      <c r="Q217" s="469">
        <v>0.21428571428571427</v>
      </c>
      <c r="R217" s="447">
        <v>150</v>
      </c>
    </row>
    <row r="218" spans="1:18" ht="14.45" customHeight="1" x14ac:dyDescent="0.2">
      <c r="A218" s="441"/>
      <c r="B218" s="442" t="s">
        <v>1688</v>
      </c>
      <c r="C218" s="442" t="s">
        <v>1682</v>
      </c>
      <c r="D218" s="442" t="s">
        <v>1773</v>
      </c>
      <c r="E218" s="442" t="s">
        <v>1862</v>
      </c>
      <c r="F218" s="442" t="s">
        <v>1863</v>
      </c>
      <c r="G218" s="446"/>
      <c r="H218" s="446"/>
      <c r="I218" s="442"/>
      <c r="J218" s="442"/>
      <c r="K218" s="446">
        <v>13</v>
      </c>
      <c r="L218" s="446">
        <v>7193.33</v>
      </c>
      <c r="M218" s="442">
        <v>1</v>
      </c>
      <c r="N218" s="442">
        <v>553.33307692307687</v>
      </c>
      <c r="O218" s="446">
        <v>48</v>
      </c>
      <c r="P218" s="446">
        <v>27731.11</v>
      </c>
      <c r="Q218" s="469">
        <v>3.855114390692489</v>
      </c>
      <c r="R218" s="447">
        <v>577.73145833333331</v>
      </c>
    </row>
    <row r="219" spans="1:18" ht="14.45" customHeight="1" x14ac:dyDescent="0.2">
      <c r="A219" s="441"/>
      <c r="B219" s="442" t="s">
        <v>1688</v>
      </c>
      <c r="C219" s="442" t="s">
        <v>1682</v>
      </c>
      <c r="D219" s="442" t="s">
        <v>1773</v>
      </c>
      <c r="E219" s="442" t="s">
        <v>1864</v>
      </c>
      <c r="F219" s="442" t="s">
        <v>1865</v>
      </c>
      <c r="G219" s="446"/>
      <c r="H219" s="446"/>
      <c r="I219" s="442"/>
      <c r="J219" s="442"/>
      <c r="K219" s="446"/>
      <c r="L219" s="446"/>
      <c r="M219" s="442"/>
      <c r="N219" s="442"/>
      <c r="O219" s="446">
        <v>1</v>
      </c>
      <c r="P219" s="446">
        <v>300</v>
      </c>
      <c r="Q219" s="469"/>
      <c r="R219" s="447">
        <v>300</v>
      </c>
    </row>
    <row r="220" spans="1:18" ht="14.45" customHeight="1" x14ac:dyDescent="0.2">
      <c r="A220" s="441"/>
      <c r="B220" s="442" t="s">
        <v>1688</v>
      </c>
      <c r="C220" s="442" t="s">
        <v>1682</v>
      </c>
      <c r="D220" s="442" t="s">
        <v>1773</v>
      </c>
      <c r="E220" s="442" t="s">
        <v>1849</v>
      </c>
      <c r="F220" s="442" t="s">
        <v>1850</v>
      </c>
      <c r="G220" s="446"/>
      <c r="H220" s="446"/>
      <c r="I220" s="442"/>
      <c r="J220" s="442"/>
      <c r="K220" s="446"/>
      <c r="L220" s="446"/>
      <c r="M220" s="442"/>
      <c r="N220" s="442"/>
      <c r="O220" s="446">
        <v>502</v>
      </c>
      <c r="P220" s="446">
        <v>30697.77</v>
      </c>
      <c r="Q220" s="469"/>
      <c r="R220" s="447">
        <v>61.150936254980081</v>
      </c>
    </row>
    <row r="221" spans="1:18" ht="14.45" customHeight="1" x14ac:dyDescent="0.2">
      <c r="A221" s="441"/>
      <c r="B221" s="442" t="s">
        <v>1688</v>
      </c>
      <c r="C221" s="442" t="s">
        <v>1682</v>
      </c>
      <c r="D221" s="442" t="s">
        <v>1773</v>
      </c>
      <c r="E221" s="442" t="s">
        <v>1884</v>
      </c>
      <c r="F221" s="442" t="s">
        <v>1885</v>
      </c>
      <c r="G221" s="446"/>
      <c r="H221" s="446"/>
      <c r="I221" s="442"/>
      <c r="J221" s="442"/>
      <c r="K221" s="446"/>
      <c r="L221" s="446"/>
      <c r="M221" s="442"/>
      <c r="N221" s="442"/>
      <c r="O221" s="446">
        <v>157</v>
      </c>
      <c r="P221" s="446">
        <v>92761.12</v>
      </c>
      <c r="Q221" s="469"/>
      <c r="R221" s="447">
        <v>590.83515923566881</v>
      </c>
    </row>
    <row r="222" spans="1:18" ht="14.45" customHeight="1" x14ac:dyDescent="0.2">
      <c r="A222" s="441"/>
      <c r="B222" s="442" t="s">
        <v>1688</v>
      </c>
      <c r="C222" s="442" t="s">
        <v>1682</v>
      </c>
      <c r="D222" s="442" t="s">
        <v>1773</v>
      </c>
      <c r="E222" s="442" t="s">
        <v>1866</v>
      </c>
      <c r="F222" s="442" t="s">
        <v>1867</v>
      </c>
      <c r="G222" s="446"/>
      <c r="H222" s="446"/>
      <c r="I222" s="442"/>
      <c r="J222" s="442"/>
      <c r="K222" s="446"/>
      <c r="L222" s="446"/>
      <c r="M222" s="442"/>
      <c r="N222" s="442"/>
      <c r="O222" s="446">
        <v>3</v>
      </c>
      <c r="P222" s="446">
        <v>1033.33</v>
      </c>
      <c r="Q222" s="469"/>
      <c r="R222" s="447">
        <v>344.44333333333333</v>
      </c>
    </row>
    <row r="223" spans="1:18" ht="14.45" customHeight="1" x14ac:dyDescent="0.2">
      <c r="A223" s="441"/>
      <c r="B223" s="442" t="s">
        <v>1688</v>
      </c>
      <c r="C223" s="442" t="s">
        <v>1682</v>
      </c>
      <c r="D223" s="442" t="s">
        <v>1773</v>
      </c>
      <c r="E223" s="442" t="s">
        <v>1886</v>
      </c>
      <c r="F223" s="442" t="s">
        <v>1887</v>
      </c>
      <c r="G223" s="446"/>
      <c r="H223" s="446"/>
      <c r="I223" s="442"/>
      <c r="J223" s="442"/>
      <c r="K223" s="446"/>
      <c r="L223" s="446"/>
      <c r="M223" s="442"/>
      <c r="N223" s="442"/>
      <c r="O223" s="446">
        <v>1</v>
      </c>
      <c r="P223" s="446">
        <v>672.22</v>
      </c>
      <c r="Q223" s="469"/>
      <c r="R223" s="447">
        <v>672.22</v>
      </c>
    </row>
    <row r="224" spans="1:18" ht="14.45" customHeight="1" x14ac:dyDescent="0.2">
      <c r="A224" s="441"/>
      <c r="B224" s="442" t="s">
        <v>1688</v>
      </c>
      <c r="C224" s="442" t="s">
        <v>1683</v>
      </c>
      <c r="D224" s="442" t="s">
        <v>1773</v>
      </c>
      <c r="E224" s="442" t="s">
        <v>1851</v>
      </c>
      <c r="F224" s="442" t="s">
        <v>1852</v>
      </c>
      <c r="G224" s="446">
        <v>2</v>
      </c>
      <c r="H224" s="446">
        <v>211.11</v>
      </c>
      <c r="I224" s="442"/>
      <c r="J224" s="442">
        <v>105.55500000000001</v>
      </c>
      <c r="K224" s="446"/>
      <c r="L224" s="446"/>
      <c r="M224" s="442"/>
      <c r="N224" s="442"/>
      <c r="O224" s="446"/>
      <c r="P224" s="446"/>
      <c r="Q224" s="469"/>
      <c r="R224" s="447"/>
    </row>
    <row r="225" spans="1:18" ht="14.45" customHeight="1" x14ac:dyDescent="0.2">
      <c r="A225" s="441"/>
      <c r="B225" s="442" t="s">
        <v>1688</v>
      </c>
      <c r="C225" s="442" t="s">
        <v>1683</v>
      </c>
      <c r="D225" s="442" t="s">
        <v>1773</v>
      </c>
      <c r="E225" s="442" t="s">
        <v>1778</v>
      </c>
      <c r="F225" s="442" t="s">
        <v>1779</v>
      </c>
      <c r="G225" s="446">
        <v>603</v>
      </c>
      <c r="H225" s="446">
        <v>46900</v>
      </c>
      <c r="I225" s="442">
        <v>1.0168632349303146</v>
      </c>
      <c r="J225" s="442">
        <v>77.777777777777771</v>
      </c>
      <c r="K225" s="446">
        <v>593</v>
      </c>
      <c r="L225" s="446">
        <v>46122.229999999996</v>
      </c>
      <c r="M225" s="442">
        <v>1</v>
      </c>
      <c r="N225" s="442">
        <v>77.777790893760539</v>
      </c>
      <c r="O225" s="446">
        <v>782</v>
      </c>
      <c r="P225" s="446">
        <v>68051.11</v>
      </c>
      <c r="Q225" s="469">
        <v>1.4754514254839803</v>
      </c>
      <c r="R225" s="447">
        <v>87.021879795396416</v>
      </c>
    </row>
    <row r="226" spans="1:18" ht="14.45" customHeight="1" x14ac:dyDescent="0.2">
      <c r="A226" s="441"/>
      <c r="B226" s="442" t="s">
        <v>1688</v>
      </c>
      <c r="C226" s="442" t="s">
        <v>1683</v>
      </c>
      <c r="D226" s="442" t="s">
        <v>1773</v>
      </c>
      <c r="E226" s="442" t="s">
        <v>1780</v>
      </c>
      <c r="F226" s="442" t="s">
        <v>1781</v>
      </c>
      <c r="G226" s="446">
        <v>15</v>
      </c>
      <c r="H226" s="446">
        <v>3750</v>
      </c>
      <c r="I226" s="442">
        <v>1.6666666666666667</v>
      </c>
      <c r="J226" s="442">
        <v>250</v>
      </c>
      <c r="K226" s="446">
        <v>9</v>
      </c>
      <c r="L226" s="446">
        <v>2250</v>
      </c>
      <c r="M226" s="442">
        <v>1</v>
      </c>
      <c r="N226" s="442">
        <v>250</v>
      </c>
      <c r="O226" s="446">
        <v>53</v>
      </c>
      <c r="P226" s="446">
        <v>14300.010000000002</v>
      </c>
      <c r="Q226" s="469">
        <v>6.3555600000000005</v>
      </c>
      <c r="R226" s="447">
        <v>269.81150943396233</v>
      </c>
    </row>
    <row r="227" spans="1:18" ht="14.45" customHeight="1" x14ac:dyDescent="0.2">
      <c r="A227" s="441"/>
      <c r="B227" s="442" t="s">
        <v>1688</v>
      </c>
      <c r="C227" s="442" t="s">
        <v>1683</v>
      </c>
      <c r="D227" s="442" t="s">
        <v>1773</v>
      </c>
      <c r="E227" s="442" t="s">
        <v>1782</v>
      </c>
      <c r="F227" s="442" t="s">
        <v>1783</v>
      </c>
      <c r="G227" s="446">
        <v>1</v>
      </c>
      <c r="H227" s="446">
        <v>300</v>
      </c>
      <c r="I227" s="442">
        <v>1</v>
      </c>
      <c r="J227" s="442">
        <v>300</v>
      </c>
      <c r="K227" s="446">
        <v>1</v>
      </c>
      <c r="L227" s="446">
        <v>300</v>
      </c>
      <c r="M227" s="442">
        <v>1</v>
      </c>
      <c r="N227" s="442">
        <v>300</v>
      </c>
      <c r="O227" s="446"/>
      <c r="P227" s="446"/>
      <c r="Q227" s="469"/>
      <c r="R227" s="447"/>
    </row>
    <row r="228" spans="1:18" ht="14.45" customHeight="1" x14ac:dyDescent="0.2">
      <c r="A228" s="441"/>
      <c r="B228" s="442" t="s">
        <v>1688</v>
      </c>
      <c r="C228" s="442" t="s">
        <v>1683</v>
      </c>
      <c r="D228" s="442" t="s">
        <v>1773</v>
      </c>
      <c r="E228" s="442" t="s">
        <v>1784</v>
      </c>
      <c r="F228" s="442" t="s">
        <v>1785</v>
      </c>
      <c r="G228" s="446">
        <v>359</v>
      </c>
      <c r="H228" s="446">
        <v>41883.339999999997</v>
      </c>
      <c r="I228" s="442">
        <v>1.0684522784560515</v>
      </c>
      <c r="J228" s="442">
        <v>116.6666852367688</v>
      </c>
      <c r="K228" s="446">
        <v>336</v>
      </c>
      <c r="L228" s="446">
        <v>39200.009999999995</v>
      </c>
      <c r="M228" s="442">
        <v>1</v>
      </c>
      <c r="N228" s="442">
        <v>116.66669642857141</v>
      </c>
      <c r="O228" s="446">
        <v>480</v>
      </c>
      <c r="P228" s="446">
        <v>67440.009999999995</v>
      </c>
      <c r="Q228" s="469">
        <v>1.7204079794877605</v>
      </c>
      <c r="R228" s="447">
        <v>140.50002083333331</v>
      </c>
    </row>
    <row r="229" spans="1:18" ht="14.45" customHeight="1" x14ac:dyDescent="0.2">
      <c r="A229" s="441"/>
      <c r="B229" s="442" t="s">
        <v>1688</v>
      </c>
      <c r="C229" s="442" t="s">
        <v>1683</v>
      </c>
      <c r="D229" s="442" t="s">
        <v>1773</v>
      </c>
      <c r="E229" s="442" t="s">
        <v>1786</v>
      </c>
      <c r="F229" s="442" t="s">
        <v>1787</v>
      </c>
      <c r="G229" s="446">
        <v>15</v>
      </c>
      <c r="H229" s="446">
        <v>4500</v>
      </c>
      <c r="I229" s="442"/>
      <c r="J229" s="442">
        <v>300</v>
      </c>
      <c r="K229" s="446"/>
      <c r="L229" s="446"/>
      <c r="M229" s="442"/>
      <c r="N229" s="442"/>
      <c r="O229" s="446">
        <v>15</v>
      </c>
      <c r="P229" s="446">
        <v>9566.6699999999983</v>
      </c>
      <c r="Q229" s="469"/>
      <c r="R229" s="447">
        <v>637.77799999999991</v>
      </c>
    </row>
    <row r="230" spans="1:18" ht="14.45" customHeight="1" x14ac:dyDescent="0.2">
      <c r="A230" s="441"/>
      <c r="B230" s="442" t="s">
        <v>1688</v>
      </c>
      <c r="C230" s="442" t="s">
        <v>1683</v>
      </c>
      <c r="D230" s="442" t="s">
        <v>1773</v>
      </c>
      <c r="E230" s="442" t="s">
        <v>1788</v>
      </c>
      <c r="F230" s="442" t="s">
        <v>1789</v>
      </c>
      <c r="G230" s="446"/>
      <c r="H230" s="446"/>
      <c r="I230" s="442"/>
      <c r="J230" s="442"/>
      <c r="K230" s="446"/>
      <c r="L230" s="446"/>
      <c r="M230" s="442"/>
      <c r="N230" s="442"/>
      <c r="O230" s="446">
        <v>1</v>
      </c>
      <c r="P230" s="446">
        <v>344.44</v>
      </c>
      <c r="Q230" s="469"/>
      <c r="R230" s="447">
        <v>344.44</v>
      </c>
    </row>
    <row r="231" spans="1:18" ht="14.45" customHeight="1" x14ac:dyDescent="0.2">
      <c r="A231" s="441"/>
      <c r="B231" s="442" t="s">
        <v>1688</v>
      </c>
      <c r="C231" s="442" t="s">
        <v>1683</v>
      </c>
      <c r="D231" s="442" t="s">
        <v>1773</v>
      </c>
      <c r="E231" s="442" t="s">
        <v>1790</v>
      </c>
      <c r="F231" s="442" t="s">
        <v>1791</v>
      </c>
      <c r="G231" s="446">
        <v>1253</v>
      </c>
      <c r="H231" s="446">
        <v>974555.54999999993</v>
      </c>
      <c r="I231" s="442">
        <v>0.98817035361635175</v>
      </c>
      <c r="J231" s="442">
        <v>777.77777334397445</v>
      </c>
      <c r="K231" s="446">
        <v>1268</v>
      </c>
      <c r="L231" s="446">
        <v>986222.21</v>
      </c>
      <c r="M231" s="442">
        <v>1</v>
      </c>
      <c r="N231" s="442">
        <v>777.77776813880121</v>
      </c>
      <c r="O231" s="446">
        <v>1054</v>
      </c>
      <c r="P231" s="446">
        <v>988363.33000000007</v>
      </c>
      <c r="Q231" s="469">
        <v>1.0021710320233004</v>
      </c>
      <c r="R231" s="447">
        <v>937.72611954459205</v>
      </c>
    </row>
    <row r="232" spans="1:18" ht="14.45" customHeight="1" x14ac:dyDescent="0.2">
      <c r="A232" s="441"/>
      <c r="B232" s="442" t="s">
        <v>1688</v>
      </c>
      <c r="C232" s="442" t="s">
        <v>1683</v>
      </c>
      <c r="D232" s="442" t="s">
        <v>1773</v>
      </c>
      <c r="E232" s="442" t="s">
        <v>1792</v>
      </c>
      <c r="F232" s="442" t="s">
        <v>1793</v>
      </c>
      <c r="G232" s="446">
        <v>2611</v>
      </c>
      <c r="H232" s="446">
        <v>243693.34000000003</v>
      </c>
      <c r="I232" s="442">
        <v>1.250478961412151</v>
      </c>
      <c r="J232" s="442">
        <v>93.333335886633478</v>
      </c>
      <c r="K232" s="446">
        <v>2088</v>
      </c>
      <c r="L232" s="446">
        <v>194880.00000000003</v>
      </c>
      <c r="M232" s="442">
        <v>1</v>
      </c>
      <c r="N232" s="442">
        <v>93.333333333333343</v>
      </c>
      <c r="O232" s="446">
        <v>2882</v>
      </c>
      <c r="P232" s="446">
        <v>303010</v>
      </c>
      <c r="Q232" s="469">
        <v>1.5548542692939242</v>
      </c>
      <c r="R232" s="447">
        <v>105.13879250520472</v>
      </c>
    </row>
    <row r="233" spans="1:18" ht="14.45" customHeight="1" x14ac:dyDescent="0.2">
      <c r="A233" s="441"/>
      <c r="B233" s="442" t="s">
        <v>1688</v>
      </c>
      <c r="C233" s="442" t="s">
        <v>1683</v>
      </c>
      <c r="D233" s="442" t="s">
        <v>1773</v>
      </c>
      <c r="E233" s="442" t="s">
        <v>1888</v>
      </c>
      <c r="F233" s="442" t="s">
        <v>1889</v>
      </c>
      <c r="G233" s="446">
        <v>60</v>
      </c>
      <c r="H233" s="446">
        <v>40000</v>
      </c>
      <c r="I233" s="442">
        <v>0.96774177939648731</v>
      </c>
      <c r="J233" s="442">
        <v>666.66666666666663</v>
      </c>
      <c r="K233" s="446">
        <v>62</v>
      </c>
      <c r="L233" s="446">
        <v>41333.339999999997</v>
      </c>
      <c r="M233" s="442">
        <v>1</v>
      </c>
      <c r="N233" s="442">
        <v>666.66677419354835</v>
      </c>
      <c r="O233" s="446">
        <v>36</v>
      </c>
      <c r="P233" s="446">
        <v>25287.770000000004</v>
      </c>
      <c r="Q233" s="469">
        <v>0.6118007884192278</v>
      </c>
      <c r="R233" s="447">
        <v>702.43805555555571</v>
      </c>
    </row>
    <row r="234" spans="1:18" ht="14.45" customHeight="1" x14ac:dyDescent="0.2">
      <c r="A234" s="441"/>
      <c r="B234" s="442" t="s">
        <v>1688</v>
      </c>
      <c r="C234" s="442" t="s">
        <v>1683</v>
      </c>
      <c r="D234" s="442" t="s">
        <v>1773</v>
      </c>
      <c r="E234" s="442" t="s">
        <v>1873</v>
      </c>
      <c r="F234" s="442" t="s">
        <v>1874</v>
      </c>
      <c r="G234" s="446">
        <v>214</v>
      </c>
      <c r="H234" s="446">
        <v>166444.44000000003</v>
      </c>
      <c r="I234" s="442">
        <v>1.3291925346795483</v>
      </c>
      <c r="J234" s="442">
        <v>777.77775700934592</v>
      </c>
      <c r="K234" s="446">
        <v>161</v>
      </c>
      <c r="L234" s="446">
        <v>125222.22</v>
      </c>
      <c r="M234" s="442">
        <v>1</v>
      </c>
      <c r="N234" s="442">
        <v>777.77776397515527</v>
      </c>
      <c r="O234" s="446">
        <v>184</v>
      </c>
      <c r="P234" s="446">
        <v>171503.33000000002</v>
      </c>
      <c r="Q234" s="469">
        <v>1.3695918344204407</v>
      </c>
      <c r="R234" s="447">
        <v>932.08331521739137</v>
      </c>
    </row>
    <row r="235" spans="1:18" ht="14.45" customHeight="1" x14ac:dyDescent="0.2">
      <c r="A235" s="441"/>
      <c r="B235" s="442" t="s">
        <v>1688</v>
      </c>
      <c r="C235" s="442" t="s">
        <v>1683</v>
      </c>
      <c r="D235" s="442" t="s">
        <v>1773</v>
      </c>
      <c r="E235" s="442" t="s">
        <v>1890</v>
      </c>
      <c r="F235" s="442" t="s">
        <v>1891</v>
      </c>
      <c r="G235" s="446">
        <v>366</v>
      </c>
      <c r="H235" s="446">
        <v>121999.99</v>
      </c>
      <c r="I235" s="442">
        <v>1.1192660659877125</v>
      </c>
      <c r="J235" s="442">
        <v>333.33330601092899</v>
      </c>
      <c r="K235" s="446">
        <v>327</v>
      </c>
      <c r="L235" s="446">
        <v>108999.99</v>
      </c>
      <c r="M235" s="442">
        <v>1</v>
      </c>
      <c r="N235" s="442">
        <v>333.3333027522936</v>
      </c>
      <c r="O235" s="446">
        <v>371</v>
      </c>
      <c r="P235" s="446">
        <v>131077.78</v>
      </c>
      <c r="Q235" s="469">
        <v>1.2025485506925275</v>
      </c>
      <c r="R235" s="447">
        <v>353.30938005390834</v>
      </c>
    </row>
    <row r="236" spans="1:18" ht="14.45" customHeight="1" x14ac:dyDescent="0.2">
      <c r="A236" s="441"/>
      <c r="B236" s="442" t="s">
        <v>1688</v>
      </c>
      <c r="C236" s="442" t="s">
        <v>1683</v>
      </c>
      <c r="D236" s="442" t="s">
        <v>1773</v>
      </c>
      <c r="E236" s="442" t="s">
        <v>1795</v>
      </c>
      <c r="F236" s="442" t="s">
        <v>1777</v>
      </c>
      <c r="G236" s="446">
        <v>13</v>
      </c>
      <c r="H236" s="446">
        <v>5431.119999999999</v>
      </c>
      <c r="I236" s="442"/>
      <c r="J236" s="442">
        <v>417.77846153846144</v>
      </c>
      <c r="K236" s="446"/>
      <c r="L236" s="446"/>
      <c r="M236" s="442"/>
      <c r="N236" s="442"/>
      <c r="O236" s="446"/>
      <c r="P236" s="446"/>
      <c r="Q236" s="469"/>
      <c r="R236" s="447"/>
    </row>
    <row r="237" spans="1:18" ht="14.45" customHeight="1" x14ac:dyDescent="0.2">
      <c r="A237" s="441"/>
      <c r="B237" s="442" t="s">
        <v>1688</v>
      </c>
      <c r="C237" s="442" t="s">
        <v>1683</v>
      </c>
      <c r="D237" s="442" t="s">
        <v>1773</v>
      </c>
      <c r="E237" s="442" t="s">
        <v>1796</v>
      </c>
      <c r="F237" s="442" t="s">
        <v>1797</v>
      </c>
      <c r="G237" s="446">
        <v>85</v>
      </c>
      <c r="H237" s="446">
        <v>17944.45</v>
      </c>
      <c r="I237" s="442">
        <v>0.79166679534311846</v>
      </c>
      <c r="J237" s="442">
        <v>211.11117647058825</v>
      </c>
      <c r="K237" s="446">
        <v>102</v>
      </c>
      <c r="L237" s="446">
        <v>22666.67</v>
      </c>
      <c r="M237" s="442">
        <v>1</v>
      </c>
      <c r="N237" s="442">
        <v>222.22225490196078</v>
      </c>
      <c r="O237" s="446">
        <v>120</v>
      </c>
      <c r="P237" s="446">
        <v>43584.44</v>
      </c>
      <c r="Q237" s="469">
        <v>1.9228426584054916</v>
      </c>
      <c r="R237" s="447">
        <v>363.20366666666666</v>
      </c>
    </row>
    <row r="238" spans="1:18" ht="14.45" customHeight="1" x14ac:dyDescent="0.2">
      <c r="A238" s="441"/>
      <c r="B238" s="442" t="s">
        <v>1688</v>
      </c>
      <c r="C238" s="442" t="s">
        <v>1683</v>
      </c>
      <c r="D238" s="442" t="s">
        <v>1773</v>
      </c>
      <c r="E238" s="442" t="s">
        <v>1798</v>
      </c>
      <c r="F238" s="442" t="s">
        <v>1799</v>
      </c>
      <c r="G238" s="446">
        <v>65</v>
      </c>
      <c r="H238" s="446">
        <v>37916.67</v>
      </c>
      <c r="I238" s="442">
        <v>1.7105269806096179</v>
      </c>
      <c r="J238" s="442">
        <v>583.3333846153846</v>
      </c>
      <c r="K238" s="446">
        <v>38</v>
      </c>
      <c r="L238" s="446">
        <v>22166.660000000003</v>
      </c>
      <c r="M238" s="442">
        <v>1</v>
      </c>
      <c r="N238" s="442">
        <v>583.33315789473693</v>
      </c>
      <c r="O238" s="446">
        <v>81</v>
      </c>
      <c r="P238" s="446">
        <v>57461.11</v>
      </c>
      <c r="Q238" s="469">
        <v>2.5922313059342268</v>
      </c>
      <c r="R238" s="447">
        <v>709.39641975308643</v>
      </c>
    </row>
    <row r="239" spans="1:18" ht="14.45" customHeight="1" x14ac:dyDescent="0.2">
      <c r="A239" s="441"/>
      <c r="B239" s="442" t="s">
        <v>1688</v>
      </c>
      <c r="C239" s="442" t="s">
        <v>1683</v>
      </c>
      <c r="D239" s="442" t="s">
        <v>1773</v>
      </c>
      <c r="E239" s="442" t="s">
        <v>1800</v>
      </c>
      <c r="F239" s="442" t="s">
        <v>1801</v>
      </c>
      <c r="G239" s="446">
        <v>58</v>
      </c>
      <c r="H239" s="446">
        <v>27066.66</v>
      </c>
      <c r="I239" s="442">
        <v>2</v>
      </c>
      <c r="J239" s="442">
        <v>466.66655172413795</v>
      </c>
      <c r="K239" s="446">
        <v>29</v>
      </c>
      <c r="L239" s="446">
        <v>13533.33</v>
      </c>
      <c r="M239" s="442">
        <v>1</v>
      </c>
      <c r="N239" s="442">
        <v>466.66655172413795</v>
      </c>
      <c r="O239" s="446">
        <v>134</v>
      </c>
      <c r="P239" s="446">
        <v>73923.34</v>
      </c>
      <c r="Q239" s="469">
        <v>5.4623171089451006</v>
      </c>
      <c r="R239" s="447">
        <v>551.66671641791038</v>
      </c>
    </row>
    <row r="240" spans="1:18" ht="14.45" customHeight="1" x14ac:dyDescent="0.2">
      <c r="A240" s="441"/>
      <c r="B240" s="442" t="s">
        <v>1688</v>
      </c>
      <c r="C240" s="442" t="s">
        <v>1683</v>
      </c>
      <c r="D240" s="442" t="s">
        <v>1773</v>
      </c>
      <c r="E240" s="442" t="s">
        <v>1875</v>
      </c>
      <c r="F240" s="442" t="s">
        <v>1801</v>
      </c>
      <c r="G240" s="446">
        <v>29</v>
      </c>
      <c r="H240" s="446">
        <v>29000</v>
      </c>
      <c r="I240" s="442">
        <v>1.0740740740740742</v>
      </c>
      <c r="J240" s="442">
        <v>1000</v>
      </c>
      <c r="K240" s="446">
        <v>27</v>
      </c>
      <c r="L240" s="446">
        <v>27000</v>
      </c>
      <c r="M240" s="442">
        <v>1</v>
      </c>
      <c r="N240" s="442">
        <v>1000</v>
      </c>
      <c r="O240" s="446">
        <v>15</v>
      </c>
      <c r="P240" s="446">
        <v>15976.67</v>
      </c>
      <c r="Q240" s="469">
        <v>0.59172851851851849</v>
      </c>
      <c r="R240" s="447">
        <v>1065.1113333333333</v>
      </c>
    </row>
    <row r="241" spans="1:18" ht="14.45" customHeight="1" x14ac:dyDescent="0.2">
      <c r="A241" s="441"/>
      <c r="B241" s="442" t="s">
        <v>1688</v>
      </c>
      <c r="C241" s="442" t="s">
        <v>1683</v>
      </c>
      <c r="D241" s="442" t="s">
        <v>1773</v>
      </c>
      <c r="E241" s="442" t="s">
        <v>1802</v>
      </c>
      <c r="F241" s="442" t="s">
        <v>1803</v>
      </c>
      <c r="G241" s="446">
        <v>390</v>
      </c>
      <c r="H241" s="446">
        <v>19500</v>
      </c>
      <c r="I241" s="442">
        <v>1.5954535301659354</v>
      </c>
      <c r="J241" s="442">
        <v>50</v>
      </c>
      <c r="K241" s="446">
        <v>200</v>
      </c>
      <c r="L241" s="446">
        <v>12222.23</v>
      </c>
      <c r="M241" s="442">
        <v>1</v>
      </c>
      <c r="N241" s="442">
        <v>61.111149999999995</v>
      </c>
      <c r="O241" s="446">
        <v>168</v>
      </c>
      <c r="P241" s="446">
        <v>11670</v>
      </c>
      <c r="Q241" s="469">
        <v>0.95481757420699831</v>
      </c>
      <c r="R241" s="447">
        <v>69.464285714285708</v>
      </c>
    </row>
    <row r="242" spans="1:18" ht="14.45" customHeight="1" x14ac:dyDescent="0.2">
      <c r="A242" s="441"/>
      <c r="B242" s="442" t="s">
        <v>1688</v>
      </c>
      <c r="C242" s="442" t="s">
        <v>1683</v>
      </c>
      <c r="D242" s="442" t="s">
        <v>1773</v>
      </c>
      <c r="E242" s="442" t="s">
        <v>1804</v>
      </c>
      <c r="F242" s="442" t="s">
        <v>1805</v>
      </c>
      <c r="G242" s="446">
        <v>1</v>
      </c>
      <c r="H242" s="446">
        <v>101.11</v>
      </c>
      <c r="I242" s="442">
        <v>0.39564094537486305</v>
      </c>
      <c r="J242" s="442">
        <v>101.11</v>
      </c>
      <c r="K242" s="446">
        <v>2</v>
      </c>
      <c r="L242" s="446">
        <v>255.56</v>
      </c>
      <c r="M242" s="442">
        <v>1</v>
      </c>
      <c r="N242" s="442">
        <v>127.78</v>
      </c>
      <c r="O242" s="446"/>
      <c r="P242" s="446"/>
      <c r="Q242" s="469"/>
      <c r="R242" s="447"/>
    </row>
    <row r="243" spans="1:18" ht="14.45" customHeight="1" x14ac:dyDescent="0.2">
      <c r="A243" s="441"/>
      <c r="B243" s="442" t="s">
        <v>1688</v>
      </c>
      <c r="C243" s="442" t="s">
        <v>1683</v>
      </c>
      <c r="D243" s="442" t="s">
        <v>1773</v>
      </c>
      <c r="E243" s="442" t="s">
        <v>1855</v>
      </c>
      <c r="F243" s="442" t="s">
        <v>1856</v>
      </c>
      <c r="G243" s="446">
        <v>1</v>
      </c>
      <c r="H243" s="446">
        <v>0</v>
      </c>
      <c r="I243" s="442"/>
      <c r="J243" s="442">
        <v>0</v>
      </c>
      <c r="K243" s="446"/>
      <c r="L243" s="446"/>
      <c r="M243" s="442"/>
      <c r="N243" s="442"/>
      <c r="O243" s="446"/>
      <c r="P243" s="446"/>
      <c r="Q243" s="469"/>
      <c r="R243" s="447"/>
    </row>
    <row r="244" spans="1:18" ht="14.45" customHeight="1" x14ac:dyDescent="0.2">
      <c r="A244" s="441"/>
      <c r="B244" s="442" t="s">
        <v>1688</v>
      </c>
      <c r="C244" s="442" t="s">
        <v>1683</v>
      </c>
      <c r="D244" s="442" t="s">
        <v>1773</v>
      </c>
      <c r="E244" s="442" t="s">
        <v>1810</v>
      </c>
      <c r="F244" s="442" t="s">
        <v>1811</v>
      </c>
      <c r="G244" s="446">
        <v>586</v>
      </c>
      <c r="H244" s="446">
        <v>179055.55</v>
      </c>
      <c r="I244" s="442">
        <v>1.1603961205799869</v>
      </c>
      <c r="J244" s="442">
        <v>305.55554607508532</v>
      </c>
      <c r="K244" s="446">
        <v>505</v>
      </c>
      <c r="L244" s="446">
        <v>154305.54</v>
      </c>
      <c r="M244" s="442">
        <v>1</v>
      </c>
      <c r="N244" s="442">
        <v>305.55552475247526</v>
      </c>
      <c r="O244" s="446">
        <v>507</v>
      </c>
      <c r="P244" s="446">
        <v>165432.22</v>
      </c>
      <c r="Q244" s="469">
        <v>1.0721081044789447</v>
      </c>
      <c r="R244" s="447">
        <v>326.29629191321499</v>
      </c>
    </row>
    <row r="245" spans="1:18" ht="14.45" customHeight="1" x14ac:dyDescent="0.2">
      <c r="A245" s="441"/>
      <c r="B245" s="442" t="s">
        <v>1688</v>
      </c>
      <c r="C245" s="442" t="s">
        <v>1683</v>
      </c>
      <c r="D245" s="442" t="s">
        <v>1773</v>
      </c>
      <c r="E245" s="442" t="s">
        <v>1812</v>
      </c>
      <c r="F245" s="442" t="s">
        <v>1813</v>
      </c>
      <c r="G245" s="446">
        <v>4010</v>
      </c>
      <c r="H245" s="446">
        <v>133666.66999999998</v>
      </c>
      <c r="I245" s="442">
        <v>2.3152422846140546</v>
      </c>
      <c r="J245" s="442">
        <v>33.333334164588521</v>
      </c>
      <c r="K245" s="446">
        <v>1732</v>
      </c>
      <c r="L245" s="446">
        <v>57733.34</v>
      </c>
      <c r="M245" s="442">
        <v>1</v>
      </c>
      <c r="N245" s="442">
        <v>33.333337182448034</v>
      </c>
      <c r="O245" s="446">
        <v>190</v>
      </c>
      <c r="P245" s="446">
        <v>6333.34</v>
      </c>
      <c r="Q245" s="469">
        <v>0.10969987185913721</v>
      </c>
      <c r="R245" s="447">
        <v>33.333368421052633</v>
      </c>
    </row>
    <row r="246" spans="1:18" ht="14.45" customHeight="1" x14ac:dyDescent="0.2">
      <c r="A246" s="441"/>
      <c r="B246" s="442" t="s">
        <v>1688</v>
      </c>
      <c r="C246" s="442" t="s">
        <v>1683</v>
      </c>
      <c r="D246" s="442" t="s">
        <v>1773</v>
      </c>
      <c r="E246" s="442" t="s">
        <v>1814</v>
      </c>
      <c r="F246" s="442" t="s">
        <v>1815</v>
      </c>
      <c r="G246" s="446">
        <v>286</v>
      </c>
      <c r="H246" s="446">
        <v>130288.88</v>
      </c>
      <c r="I246" s="442">
        <v>2.0283687612023229</v>
      </c>
      <c r="J246" s="442">
        <v>455.55552447552446</v>
      </c>
      <c r="K246" s="446">
        <v>141</v>
      </c>
      <c r="L246" s="446">
        <v>64233.33</v>
      </c>
      <c r="M246" s="442">
        <v>1</v>
      </c>
      <c r="N246" s="442">
        <v>455.55553191489361</v>
      </c>
      <c r="O246" s="446">
        <v>142</v>
      </c>
      <c r="P246" s="446">
        <v>70493.34</v>
      </c>
      <c r="Q246" s="469">
        <v>1.0974573480777035</v>
      </c>
      <c r="R246" s="447">
        <v>496.4319718309859</v>
      </c>
    </row>
    <row r="247" spans="1:18" ht="14.45" customHeight="1" x14ac:dyDescent="0.2">
      <c r="A247" s="441"/>
      <c r="B247" s="442" t="s">
        <v>1688</v>
      </c>
      <c r="C247" s="442" t="s">
        <v>1683</v>
      </c>
      <c r="D247" s="442" t="s">
        <v>1773</v>
      </c>
      <c r="E247" s="442" t="s">
        <v>1816</v>
      </c>
      <c r="F247" s="442" t="s">
        <v>1817</v>
      </c>
      <c r="G247" s="446">
        <v>231</v>
      </c>
      <c r="H247" s="446">
        <v>13603.34</v>
      </c>
      <c r="I247" s="442">
        <v>1.2157910353851324</v>
      </c>
      <c r="J247" s="442">
        <v>58.888917748917748</v>
      </c>
      <c r="K247" s="446">
        <v>190</v>
      </c>
      <c r="L247" s="446">
        <v>11188.88</v>
      </c>
      <c r="M247" s="442">
        <v>1</v>
      </c>
      <c r="N247" s="442">
        <v>58.888842105263151</v>
      </c>
      <c r="O247" s="446">
        <v>194</v>
      </c>
      <c r="P247" s="446">
        <v>23866.659999999996</v>
      </c>
      <c r="Q247" s="469">
        <v>2.1330696191218421</v>
      </c>
      <c r="R247" s="447">
        <v>123.02402061855668</v>
      </c>
    </row>
    <row r="248" spans="1:18" ht="14.45" customHeight="1" x14ac:dyDescent="0.2">
      <c r="A248" s="441"/>
      <c r="B248" s="442" t="s">
        <v>1688</v>
      </c>
      <c r="C248" s="442" t="s">
        <v>1683</v>
      </c>
      <c r="D248" s="442" t="s">
        <v>1773</v>
      </c>
      <c r="E248" s="442" t="s">
        <v>1818</v>
      </c>
      <c r="F248" s="442" t="s">
        <v>1819</v>
      </c>
      <c r="G248" s="446">
        <v>563</v>
      </c>
      <c r="H248" s="446">
        <v>43788.899999999994</v>
      </c>
      <c r="I248" s="442">
        <v>1.4398985896596963</v>
      </c>
      <c r="J248" s="442">
        <v>77.777797513321488</v>
      </c>
      <c r="K248" s="446">
        <v>391</v>
      </c>
      <c r="L248" s="446">
        <v>30411.100000000002</v>
      </c>
      <c r="M248" s="442">
        <v>1</v>
      </c>
      <c r="N248" s="442">
        <v>77.777749360613811</v>
      </c>
      <c r="O248" s="446">
        <v>403</v>
      </c>
      <c r="P248" s="446">
        <v>40097.770000000004</v>
      </c>
      <c r="Q248" s="469">
        <v>1.3185241572978288</v>
      </c>
      <c r="R248" s="447">
        <v>99.498188585607949</v>
      </c>
    </row>
    <row r="249" spans="1:18" ht="14.45" customHeight="1" x14ac:dyDescent="0.2">
      <c r="A249" s="441"/>
      <c r="B249" s="442" t="s">
        <v>1688</v>
      </c>
      <c r="C249" s="442" t="s">
        <v>1683</v>
      </c>
      <c r="D249" s="442" t="s">
        <v>1773</v>
      </c>
      <c r="E249" s="442" t="s">
        <v>1876</v>
      </c>
      <c r="F249" s="442" t="s">
        <v>1877</v>
      </c>
      <c r="G249" s="446"/>
      <c r="H249" s="446"/>
      <c r="I249" s="442"/>
      <c r="J249" s="442"/>
      <c r="K249" s="446"/>
      <c r="L249" s="446"/>
      <c r="M249" s="442"/>
      <c r="N249" s="442"/>
      <c r="O249" s="446">
        <v>1</v>
      </c>
      <c r="P249" s="446">
        <v>705.56</v>
      </c>
      <c r="Q249" s="469"/>
      <c r="R249" s="447">
        <v>705.56</v>
      </c>
    </row>
    <row r="250" spans="1:18" ht="14.45" customHeight="1" x14ac:dyDescent="0.2">
      <c r="A250" s="441"/>
      <c r="B250" s="442" t="s">
        <v>1688</v>
      </c>
      <c r="C250" s="442" t="s">
        <v>1683</v>
      </c>
      <c r="D250" s="442" t="s">
        <v>1773</v>
      </c>
      <c r="E250" s="442" t="s">
        <v>1892</v>
      </c>
      <c r="F250" s="442" t="s">
        <v>1893</v>
      </c>
      <c r="G250" s="446">
        <v>166</v>
      </c>
      <c r="H250" s="446">
        <v>184444.44999999998</v>
      </c>
      <c r="I250" s="442">
        <v>1.5090909819834721</v>
      </c>
      <c r="J250" s="442">
        <v>1111.1111445783131</v>
      </c>
      <c r="K250" s="446">
        <v>110</v>
      </c>
      <c r="L250" s="446">
        <v>122222.22</v>
      </c>
      <c r="M250" s="442">
        <v>1</v>
      </c>
      <c r="N250" s="442">
        <v>1111.111090909091</v>
      </c>
      <c r="O250" s="446">
        <v>96</v>
      </c>
      <c r="P250" s="446">
        <v>122394.45</v>
      </c>
      <c r="Q250" s="469">
        <v>1.0014091545710755</v>
      </c>
      <c r="R250" s="447">
        <v>1274.9421875</v>
      </c>
    </row>
    <row r="251" spans="1:18" ht="14.45" customHeight="1" x14ac:dyDescent="0.2">
      <c r="A251" s="441"/>
      <c r="B251" s="442" t="s">
        <v>1688</v>
      </c>
      <c r="C251" s="442" t="s">
        <v>1683</v>
      </c>
      <c r="D251" s="442" t="s">
        <v>1773</v>
      </c>
      <c r="E251" s="442" t="s">
        <v>1822</v>
      </c>
      <c r="F251" s="442" t="s">
        <v>1823</v>
      </c>
      <c r="G251" s="446">
        <v>2268</v>
      </c>
      <c r="H251" s="446">
        <v>612360</v>
      </c>
      <c r="I251" s="442">
        <v>1.1553744268976056</v>
      </c>
      <c r="J251" s="442">
        <v>270</v>
      </c>
      <c r="K251" s="446">
        <v>1963</v>
      </c>
      <c r="L251" s="446">
        <v>530010</v>
      </c>
      <c r="M251" s="442">
        <v>1</v>
      </c>
      <c r="N251" s="442">
        <v>270</v>
      </c>
      <c r="O251" s="446">
        <v>1951</v>
      </c>
      <c r="P251" s="446">
        <v>684213.33000000007</v>
      </c>
      <c r="Q251" s="469">
        <v>1.2909441897322693</v>
      </c>
      <c r="R251" s="447">
        <v>350.69878523833933</v>
      </c>
    </row>
    <row r="252" spans="1:18" ht="14.45" customHeight="1" x14ac:dyDescent="0.2">
      <c r="A252" s="441"/>
      <c r="B252" s="442" t="s">
        <v>1688</v>
      </c>
      <c r="C252" s="442" t="s">
        <v>1683</v>
      </c>
      <c r="D252" s="442" t="s">
        <v>1773</v>
      </c>
      <c r="E252" s="442" t="s">
        <v>1824</v>
      </c>
      <c r="F252" s="442" t="s">
        <v>1825</v>
      </c>
      <c r="G252" s="446">
        <v>807</v>
      </c>
      <c r="H252" s="446">
        <v>76216.67</v>
      </c>
      <c r="I252" s="442">
        <v>1.3961938042704294</v>
      </c>
      <c r="J252" s="442">
        <v>94.444448574969016</v>
      </c>
      <c r="K252" s="446">
        <v>578</v>
      </c>
      <c r="L252" s="446">
        <v>54588.89</v>
      </c>
      <c r="M252" s="442">
        <v>1</v>
      </c>
      <c r="N252" s="442">
        <v>94.444446366782003</v>
      </c>
      <c r="O252" s="446">
        <v>711</v>
      </c>
      <c r="P252" s="446">
        <v>83333.33</v>
      </c>
      <c r="Q252" s="469">
        <v>1.5265620898318322</v>
      </c>
      <c r="R252" s="447">
        <v>117.20580872011251</v>
      </c>
    </row>
    <row r="253" spans="1:18" ht="14.45" customHeight="1" x14ac:dyDescent="0.2">
      <c r="A253" s="441"/>
      <c r="B253" s="442" t="s">
        <v>1688</v>
      </c>
      <c r="C253" s="442" t="s">
        <v>1683</v>
      </c>
      <c r="D253" s="442" t="s">
        <v>1773</v>
      </c>
      <c r="E253" s="442" t="s">
        <v>1828</v>
      </c>
      <c r="F253" s="442" t="s">
        <v>1829</v>
      </c>
      <c r="G253" s="446">
        <v>9</v>
      </c>
      <c r="H253" s="446">
        <v>870</v>
      </c>
      <c r="I253" s="442">
        <v>8.999689665873591</v>
      </c>
      <c r="J253" s="442">
        <v>96.666666666666671</v>
      </c>
      <c r="K253" s="446">
        <v>1</v>
      </c>
      <c r="L253" s="446">
        <v>96.67</v>
      </c>
      <c r="M253" s="442">
        <v>1</v>
      </c>
      <c r="N253" s="442">
        <v>96.67</v>
      </c>
      <c r="O253" s="446">
        <v>1</v>
      </c>
      <c r="P253" s="446">
        <v>150</v>
      </c>
      <c r="Q253" s="469">
        <v>1.5516706320471707</v>
      </c>
      <c r="R253" s="447">
        <v>150</v>
      </c>
    </row>
    <row r="254" spans="1:18" ht="14.45" customHeight="1" x14ac:dyDescent="0.2">
      <c r="A254" s="441"/>
      <c r="B254" s="442" t="s">
        <v>1688</v>
      </c>
      <c r="C254" s="442" t="s">
        <v>1683</v>
      </c>
      <c r="D254" s="442" t="s">
        <v>1773</v>
      </c>
      <c r="E254" s="442" t="s">
        <v>1894</v>
      </c>
      <c r="F254" s="442" t="s">
        <v>1895</v>
      </c>
      <c r="G254" s="446"/>
      <c r="H254" s="446"/>
      <c r="I254" s="442"/>
      <c r="J254" s="442"/>
      <c r="K254" s="446">
        <v>2</v>
      </c>
      <c r="L254" s="446">
        <v>666.67</v>
      </c>
      <c r="M254" s="442">
        <v>1</v>
      </c>
      <c r="N254" s="442">
        <v>333.33499999999998</v>
      </c>
      <c r="O254" s="446"/>
      <c r="P254" s="446"/>
      <c r="Q254" s="469"/>
      <c r="R254" s="447"/>
    </row>
    <row r="255" spans="1:18" ht="14.45" customHeight="1" x14ac:dyDescent="0.2">
      <c r="A255" s="441"/>
      <c r="B255" s="442" t="s">
        <v>1688</v>
      </c>
      <c r="C255" s="442" t="s">
        <v>1683</v>
      </c>
      <c r="D255" s="442" t="s">
        <v>1773</v>
      </c>
      <c r="E255" s="442" t="s">
        <v>1833</v>
      </c>
      <c r="F255" s="442" t="s">
        <v>1834</v>
      </c>
      <c r="G255" s="446">
        <v>27</v>
      </c>
      <c r="H255" s="446">
        <v>2040</v>
      </c>
      <c r="I255" s="442">
        <v>2.4545192030031768</v>
      </c>
      <c r="J255" s="442">
        <v>75.555555555555557</v>
      </c>
      <c r="K255" s="446">
        <v>11</v>
      </c>
      <c r="L255" s="446">
        <v>831.11999999999989</v>
      </c>
      <c r="M255" s="442">
        <v>1</v>
      </c>
      <c r="N255" s="442">
        <v>75.556363636363628</v>
      </c>
      <c r="O255" s="446">
        <v>2</v>
      </c>
      <c r="P255" s="446">
        <v>200</v>
      </c>
      <c r="Q255" s="469">
        <v>0.24063913754933106</v>
      </c>
      <c r="R255" s="447">
        <v>100</v>
      </c>
    </row>
    <row r="256" spans="1:18" ht="14.45" customHeight="1" x14ac:dyDescent="0.2">
      <c r="A256" s="441"/>
      <c r="B256" s="442" t="s">
        <v>1688</v>
      </c>
      <c r="C256" s="442" t="s">
        <v>1683</v>
      </c>
      <c r="D256" s="442" t="s">
        <v>1773</v>
      </c>
      <c r="E256" s="442" t="s">
        <v>1878</v>
      </c>
      <c r="F256" s="442" t="s">
        <v>1879</v>
      </c>
      <c r="G256" s="446">
        <v>37</v>
      </c>
      <c r="H256" s="446">
        <v>47483.35</v>
      </c>
      <c r="I256" s="442">
        <v>1.5416672077922078</v>
      </c>
      <c r="J256" s="442">
        <v>1283.3337837837837</v>
      </c>
      <c r="K256" s="446">
        <v>24</v>
      </c>
      <c r="L256" s="446">
        <v>30800</v>
      </c>
      <c r="M256" s="442">
        <v>1</v>
      </c>
      <c r="N256" s="442">
        <v>1283.3333333333333</v>
      </c>
      <c r="O256" s="446">
        <v>5</v>
      </c>
      <c r="P256" s="446">
        <v>7237.7800000000007</v>
      </c>
      <c r="Q256" s="469">
        <v>0.23499285714285717</v>
      </c>
      <c r="R256" s="447">
        <v>1447.556</v>
      </c>
    </row>
    <row r="257" spans="1:18" ht="14.45" customHeight="1" x14ac:dyDescent="0.2">
      <c r="A257" s="441"/>
      <c r="B257" s="442" t="s">
        <v>1688</v>
      </c>
      <c r="C257" s="442" t="s">
        <v>1683</v>
      </c>
      <c r="D257" s="442" t="s">
        <v>1773</v>
      </c>
      <c r="E257" s="442" t="s">
        <v>1835</v>
      </c>
      <c r="F257" s="442" t="s">
        <v>1836</v>
      </c>
      <c r="G257" s="446">
        <v>2</v>
      </c>
      <c r="H257" s="446">
        <v>233.34</v>
      </c>
      <c r="I257" s="442"/>
      <c r="J257" s="442">
        <v>116.67</v>
      </c>
      <c r="K257" s="446"/>
      <c r="L257" s="446"/>
      <c r="M257" s="442"/>
      <c r="N257" s="442"/>
      <c r="O257" s="446">
        <v>6</v>
      </c>
      <c r="P257" s="446">
        <v>1084.44</v>
      </c>
      <c r="Q257" s="469"/>
      <c r="R257" s="447">
        <v>180.74</v>
      </c>
    </row>
    <row r="258" spans="1:18" ht="14.45" customHeight="1" x14ac:dyDescent="0.2">
      <c r="A258" s="441"/>
      <c r="B258" s="442" t="s">
        <v>1688</v>
      </c>
      <c r="C258" s="442" t="s">
        <v>1683</v>
      </c>
      <c r="D258" s="442" t="s">
        <v>1773</v>
      </c>
      <c r="E258" s="442" t="s">
        <v>1837</v>
      </c>
      <c r="F258" s="442" t="s">
        <v>1838</v>
      </c>
      <c r="G258" s="446">
        <v>15</v>
      </c>
      <c r="H258" s="446">
        <v>733.34</v>
      </c>
      <c r="I258" s="442">
        <v>0.50000340908316121</v>
      </c>
      <c r="J258" s="442">
        <v>48.889333333333333</v>
      </c>
      <c r="K258" s="446">
        <v>30</v>
      </c>
      <c r="L258" s="446">
        <v>1466.67</v>
      </c>
      <c r="M258" s="442">
        <v>1</v>
      </c>
      <c r="N258" s="442">
        <v>48.889000000000003</v>
      </c>
      <c r="O258" s="446">
        <v>96</v>
      </c>
      <c r="P258" s="446">
        <v>7499.99</v>
      </c>
      <c r="Q258" s="469">
        <v>5.1136179235956281</v>
      </c>
      <c r="R258" s="447">
        <v>78.124895833333326</v>
      </c>
    </row>
    <row r="259" spans="1:18" ht="14.45" customHeight="1" x14ac:dyDescent="0.2">
      <c r="A259" s="441"/>
      <c r="B259" s="442" t="s">
        <v>1688</v>
      </c>
      <c r="C259" s="442" t="s">
        <v>1683</v>
      </c>
      <c r="D259" s="442" t="s">
        <v>1773</v>
      </c>
      <c r="E259" s="442" t="s">
        <v>1896</v>
      </c>
      <c r="F259" s="442" t="s">
        <v>1897</v>
      </c>
      <c r="G259" s="446">
        <v>4</v>
      </c>
      <c r="H259" s="446">
        <v>1866.67</v>
      </c>
      <c r="I259" s="442">
        <v>1.9999892857908157</v>
      </c>
      <c r="J259" s="442">
        <v>466.66750000000002</v>
      </c>
      <c r="K259" s="446">
        <v>2</v>
      </c>
      <c r="L259" s="446">
        <v>933.34</v>
      </c>
      <c r="M259" s="442">
        <v>1</v>
      </c>
      <c r="N259" s="442">
        <v>466.67</v>
      </c>
      <c r="O259" s="446">
        <v>3</v>
      </c>
      <c r="P259" s="446">
        <v>1556.67</v>
      </c>
      <c r="Q259" s="469">
        <v>1.6678488010799923</v>
      </c>
      <c r="R259" s="447">
        <v>518.89</v>
      </c>
    </row>
    <row r="260" spans="1:18" ht="14.45" customHeight="1" x14ac:dyDescent="0.2">
      <c r="A260" s="441"/>
      <c r="B260" s="442" t="s">
        <v>1688</v>
      </c>
      <c r="C260" s="442" t="s">
        <v>1683</v>
      </c>
      <c r="D260" s="442" t="s">
        <v>1773</v>
      </c>
      <c r="E260" s="442" t="s">
        <v>1839</v>
      </c>
      <c r="F260" s="442" t="s">
        <v>1840</v>
      </c>
      <c r="G260" s="446">
        <v>4</v>
      </c>
      <c r="H260" s="446">
        <v>1377.77</v>
      </c>
      <c r="I260" s="442">
        <v>4.0000290326326793</v>
      </c>
      <c r="J260" s="442">
        <v>344.4425</v>
      </c>
      <c r="K260" s="446">
        <v>1</v>
      </c>
      <c r="L260" s="446">
        <v>344.44</v>
      </c>
      <c r="M260" s="442">
        <v>1</v>
      </c>
      <c r="N260" s="442">
        <v>344.44</v>
      </c>
      <c r="O260" s="446">
        <v>69</v>
      </c>
      <c r="P260" s="446">
        <v>27332.22</v>
      </c>
      <c r="Q260" s="469">
        <v>79.352630356520734</v>
      </c>
      <c r="R260" s="447">
        <v>396.11913043478262</v>
      </c>
    </row>
    <row r="261" spans="1:18" ht="14.45" customHeight="1" x14ac:dyDescent="0.2">
      <c r="A261" s="441"/>
      <c r="B261" s="442" t="s">
        <v>1688</v>
      </c>
      <c r="C261" s="442" t="s">
        <v>1683</v>
      </c>
      <c r="D261" s="442" t="s">
        <v>1773</v>
      </c>
      <c r="E261" s="442" t="s">
        <v>1857</v>
      </c>
      <c r="F261" s="442" t="s">
        <v>1858</v>
      </c>
      <c r="G261" s="446">
        <v>110</v>
      </c>
      <c r="H261" s="446">
        <v>51333.33</v>
      </c>
      <c r="I261" s="442">
        <v>2.0370360964142478</v>
      </c>
      <c r="J261" s="442">
        <v>466.66663636363637</v>
      </c>
      <c r="K261" s="446">
        <v>54</v>
      </c>
      <c r="L261" s="446">
        <v>25200.01</v>
      </c>
      <c r="M261" s="442">
        <v>1</v>
      </c>
      <c r="N261" s="442">
        <v>466.66685185185185</v>
      </c>
      <c r="O261" s="446">
        <v>51</v>
      </c>
      <c r="P261" s="446">
        <v>27272.21</v>
      </c>
      <c r="Q261" s="469">
        <v>1.0822301260991563</v>
      </c>
      <c r="R261" s="447">
        <v>534.74921568627451</v>
      </c>
    </row>
    <row r="262" spans="1:18" ht="14.45" customHeight="1" x14ac:dyDescent="0.2">
      <c r="A262" s="441"/>
      <c r="B262" s="442" t="s">
        <v>1688</v>
      </c>
      <c r="C262" s="442" t="s">
        <v>1683</v>
      </c>
      <c r="D262" s="442" t="s">
        <v>1773</v>
      </c>
      <c r="E262" s="442" t="s">
        <v>1898</v>
      </c>
      <c r="F262" s="442" t="s">
        <v>1899</v>
      </c>
      <c r="G262" s="446">
        <v>36</v>
      </c>
      <c r="H262" s="446">
        <v>3520</v>
      </c>
      <c r="I262" s="442">
        <v>1.1612907482737349</v>
      </c>
      <c r="J262" s="442">
        <v>97.777777777777771</v>
      </c>
      <c r="K262" s="446">
        <v>31</v>
      </c>
      <c r="L262" s="446">
        <v>3031.1099999999997</v>
      </c>
      <c r="M262" s="442">
        <v>1</v>
      </c>
      <c r="N262" s="442">
        <v>97.77774193548386</v>
      </c>
      <c r="O262" s="446">
        <v>17</v>
      </c>
      <c r="P262" s="446">
        <v>1849.9900000000002</v>
      </c>
      <c r="Q262" s="469">
        <v>0.61033416801105878</v>
      </c>
      <c r="R262" s="447">
        <v>108.82294117647061</v>
      </c>
    </row>
    <row r="263" spans="1:18" ht="14.45" customHeight="1" x14ac:dyDescent="0.2">
      <c r="A263" s="441"/>
      <c r="B263" s="442" t="s">
        <v>1688</v>
      </c>
      <c r="C263" s="442" t="s">
        <v>1683</v>
      </c>
      <c r="D263" s="442" t="s">
        <v>1773</v>
      </c>
      <c r="E263" s="442" t="s">
        <v>1900</v>
      </c>
      <c r="F263" s="442"/>
      <c r="G263" s="446">
        <v>1</v>
      </c>
      <c r="H263" s="446">
        <v>645.55999999999995</v>
      </c>
      <c r="I263" s="442">
        <v>1</v>
      </c>
      <c r="J263" s="442">
        <v>645.55999999999995</v>
      </c>
      <c r="K263" s="446">
        <v>1</v>
      </c>
      <c r="L263" s="446">
        <v>645.55999999999995</v>
      </c>
      <c r="M263" s="442">
        <v>1</v>
      </c>
      <c r="N263" s="442">
        <v>645.55999999999995</v>
      </c>
      <c r="O263" s="446"/>
      <c r="P263" s="446"/>
      <c r="Q263" s="469"/>
      <c r="R263" s="447"/>
    </row>
    <row r="264" spans="1:18" ht="14.45" customHeight="1" x14ac:dyDescent="0.2">
      <c r="A264" s="441"/>
      <c r="B264" s="442" t="s">
        <v>1688</v>
      </c>
      <c r="C264" s="442" t="s">
        <v>1683</v>
      </c>
      <c r="D264" s="442" t="s">
        <v>1773</v>
      </c>
      <c r="E264" s="442" t="s">
        <v>1847</v>
      </c>
      <c r="F264" s="442" t="s">
        <v>1848</v>
      </c>
      <c r="G264" s="446">
        <v>1</v>
      </c>
      <c r="H264" s="446">
        <v>116.67</v>
      </c>
      <c r="I264" s="442">
        <v>7.1430320692568591E-2</v>
      </c>
      <c r="J264" s="442">
        <v>116.67</v>
      </c>
      <c r="K264" s="446">
        <v>14</v>
      </c>
      <c r="L264" s="446">
        <v>1633.3400000000001</v>
      </c>
      <c r="M264" s="442">
        <v>1</v>
      </c>
      <c r="N264" s="442">
        <v>116.66714285714286</v>
      </c>
      <c r="O264" s="446">
        <v>31</v>
      </c>
      <c r="P264" s="446">
        <v>4961.1000000000004</v>
      </c>
      <c r="Q264" s="469">
        <v>3.0373957657315684</v>
      </c>
      <c r="R264" s="447">
        <v>160.03548387096777</v>
      </c>
    </row>
    <row r="265" spans="1:18" ht="14.45" customHeight="1" x14ac:dyDescent="0.2">
      <c r="A265" s="441"/>
      <c r="B265" s="442" t="s">
        <v>1688</v>
      </c>
      <c r="C265" s="442" t="s">
        <v>1683</v>
      </c>
      <c r="D265" s="442" t="s">
        <v>1773</v>
      </c>
      <c r="E265" s="442" t="s">
        <v>1849</v>
      </c>
      <c r="F265" s="442" t="s">
        <v>1850</v>
      </c>
      <c r="G265" s="446"/>
      <c r="H265" s="446"/>
      <c r="I265" s="442"/>
      <c r="J265" s="442"/>
      <c r="K265" s="446"/>
      <c r="L265" s="446"/>
      <c r="M265" s="442"/>
      <c r="N265" s="442"/>
      <c r="O265" s="446">
        <v>1225</v>
      </c>
      <c r="P265" s="446">
        <v>74881.11</v>
      </c>
      <c r="Q265" s="469"/>
      <c r="R265" s="447">
        <v>61.12743673469388</v>
      </c>
    </row>
    <row r="266" spans="1:18" ht="14.45" customHeight="1" x14ac:dyDescent="0.2">
      <c r="A266" s="441"/>
      <c r="B266" s="442" t="s">
        <v>1688</v>
      </c>
      <c r="C266" s="442" t="s">
        <v>1683</v>
      </c>
      <c r="D266" s="442" t="s">
        <v>1773</v>
      </c>
      <c r="E266" s="442" t="s">
        <v>1901</v>
      </c>
      <c r="F266" s="442" t="s">
        <v>1902</v>
      </c>
      <c r="G266" s="446"/>
      <c r="H266" s="446"/>
      <c r="I266" s="442"/>
      <c r="J266" s="442"/>
      <c r="K266" s="446">
        <v>4</v>
      </c>
      <c r="L266" s="446">
        <v>1924.44</v>
      </c>
      <c r="M266" s="442">
        <v>1</v>
      </c>
      <c r="N266" s="442">
        <v>481.11</v>
      </c>
      <c r="O266" s="446"/>
      <c r="P266" s="446"/>
      <c r="Q266" s="469"/>
      <c r="R266" s="447"/>
    </row>
    <row r="267" spans="1:18" ht="14.45" customHeight="1" x14ac:dyDescent="0.2">
      <c r="A267" s="441"/>
      <c r="B267" s="442" t="s">
        <v>1903</v>
      </c>
      <c r="C267" s="442" t="s">
        <v>1680</v>
      </c>
      <c r="D267" s="442" t="s">
        <v>1689</v>
      </c>
      <c r="E267" s="442" t="s">
        <v>1690</v>
      </c>
      <c r="F267" s="442"/>
      <c r="G267" s="446">
        <v>18</v>
      </c>
      <c r="H267" s="446">
        <v>2034</v>
      </c>
      <c r="I267" s="442">
        <v>0.51428571428571423</v>
      </c>
      <c r="J267" s="442">
        <v>113</v>
      </c>
      <c r="K267" s="446">
        <v>35</v>
      </c>
      <c r="L267" s="446">
        <v>3955</v>
      </c>
      <c r="M267" s="442">
        <v>1</v>
      </c>
      <c r="N267" s="442">
        <v>113</v>
      </c>
      <c r="O267" s="446">
        <v>44</v>
      </c>
      <c r="P267" s="446">
        <v>4972</v>
      </c>
      <c r="Q267" s="469">
        <v>1.2571428571428571</v>
      </c>
      <c r="R267" s="447">
        <v>113</v>
      </c>
    </row>
    <row r="268" spans="1:18" ht="14.45" customHeight="1" x14ac:dyDescent="0.2">
      <c r="A268" s="441"/>
      <c r="B268" s="442" t="s">
        <v>1903</v>
      </c>
      <c r="C268" s="442" t="s">
        <v>1680</v>
      </c>
      <c r="D268" s="442" t="s">
        <v>1689</v>
      </c>
      <c r="E268" s="442" t="s">
        <v>1904</v>
      </c>
      <c r="F268" s="442"/>
      <c r="G268" s="446">
        <v>4</v>
      </c>
      <c r="H268" s="446">
        <v>4032</v>
      </c>
      <c r="I268" s="442">
        <v>2</v>
      </c>
      <c r="J268" s="442">
        <v>1008</v>
      </c>
      <c r="K268" s="446">
        <v>2</v>
      </c>
      <c r="L268" s="446">
        <v>2016</v>
      </c>
      <c r="M268" s="442">
        <v>1</v>
      </c>
      <c r="N268" s="442">
        <v>1008</v>
      </c>
      <c r="O268" s="446">
        <v>2</v>
      </c>
      <c r="P268" s="446">
        <v>2016</v>
      </c>
      <c r="Q268" s="469">
        <v>1</v>
      </c>
      <c r="R268" s="447">
        <v>1008</v>
      </c>
    </row>
    <row r="269" spans="1:18" ht="14.45" customHeight="1" x14ac:dyDescent="0.2">
      <c r="A269" s="441"/>
      <c r="B269" s="442" t="s">
        <v>1903</v>
      </c>
      <c r="C269" s="442" t="s">
        <v>1680</v>
      </c>
      <c r="D269" s="442" t="s">
        <v>1689</v>
      </c>
      <c r="E269" s="442" t="s">
        <v>1905</v>
      </c>
      <c r="F269" s="442"/>
      <c r="G269" s="446">
        <v>408</v>
      </c>
      <c r="H269" s="446">
        <v>88536</v>
      </c>
      <c r="I269" s="442">
        <v>0.94663573085846864</v>
      </c>
      <c r="J269" s="442">
        <v>217</v>
      </c>
      <c r="K269" s="446">
        <v>431</v>
      </c>
      <c r="L269" s="446">
        <v>93527</v>
      </c>
      <c r="M269" s="442">
        <v>1</v>
      </c>
      <c r="N269" s="442">
        <v>217</v>
      </c>
      <c r="O269" s="446">
        <v>415</v>
      </c>
      <c r="P269" s="446">
        <v>90055</v>
      </c>
      <c r="Q269" s="469">
        <v>0.96287703016241299</v>
      </c>
      <c r="R269" s="447">
        <v>217</v>
      </c>
    </row>
    <row r="270" spans="1:18" ht="14.45" customHeight="1" x14ac:dyDescent="0.2">
      <c r="A270" s="441"/>
      <c r="B270" s="442" t="s">
        <v>1903</v>
      </c>
      <c r="C270" s="442" t="s">
        <v>1680</v>
      </c>
      <c r="D270" s="442" t="s">
        <v>1689</v>
      </c>
      <c r="E270" s="442" t="s">
        <v>1906</v>
      </c>
      <c r="F270" s="442"/>
      <c r="G270" s="446"/>
      <c r="H270" s="446"/>
      <c r="I270" s="442"/>
      <c r="J270" s="442"/>
      <c r="K270" s="446">
        <v>1</v>
      </c>
      <c r="L270" s="446">
        <v>1289</v>
      </c>
      <c r="M270" s="442">
        <v>1</v>
      </c>
      <c r="N270" s="442">
        <v>1289</v>
      </c>
      <c r="O270" s="446">
        <v>1</v>
      </c>
      <c r="P270" s="446">
        <v>1289</v>
      </c>
      <c r="Q270" s="469">
        <v>1</v>
      </c>
      <c r="R270" s="447">
        <v>1289</v>
      </c>
    </row>
    <row r="271" spans="1:18" ht="14.45" customHeight="1" x14ac:dyDescent="0.2">
      <c r="A271" s="441"/>
      <c r="B271" s="442" t="s">
        <v>1903</v>
      </c>
      <c r="C271" s="442" t="s">
        <v>1680</v>
      </c>
      <c r="D271" s="442" t="s">
        <v>1689</v>
      </c>
      <c r="E271" s="442" t="s">
        <v>1907</v>
      </c>
      <c r="F271" s="442"/>
      <c r="G271" s="446">
        <v>2</v>
      </c>
      <c r="H271" s="446">
        <v>3540</v>
      </c>
      <c r="I271" s="442"/>
      <c r="J271" s="442">
        <v>1770</v>
      </c>
      <c r="K271" s="446"/>
      <c r="L271" s="446"/>
      <c r="M271" s="442"/>
      <c r="N271" s="442"/>
      <c r="O271" s="446"/>
      <c r="P271" s="446"/>
      <c r="Q271" s="469"/>
      <c r="R271" s="447"/>
    </row>
    <row r="272" spans="1:18" ht="14.45" customHeight="1" x14ac:dyDescent="0.2">
      <c r="A272" s="441"/>
      <c r="B272" s="442" t="s">
        <v>1903</v>
      </c>
      <c r="C272" s="442" t="s">
        <v>1680</v>
      </c>
      <c r="D272" s="442" t="s">
        <v>1689</v>
      </c>
      <c r="E272" s="442" t="s">
        <v>1908</v>
      </c>
      <c r="F272" s="442"/>
      <c r="G272" s="446">
        <v>5</v>
      </c>
      <c r="H272" s="446">
        <v>12250</v>
      </c>
      <c r="I272" s="442">
        <v>1</v>
      </c>
      <c r="J272" s="442">
        <v>2450</v>
      </c>
      <c r="K272" s="446">
        <v>5</v>
      </c>
      <c r="L272" s="446">
        <v>12250</v>
      </c>
      <c r="M272" s="442">
        <v>1</v>
      </c>
      <c r="N272" s="442">
        <v>2450</v>
      </c>
      <c r="O272" s="446">
        <v>7</v>
      </c>
      <c r="P272" s="446">
        <v>17150</v>
      </c>
      <c r="Q272" s="469">
        <v>1.4</v>
      </c>
      <c r="R272" s="447">
        <v>2450</v>
      </c>
    </row>
    <row r="273" spans="1:18" ht="14.45" customHeight="1" x14ac:dyDescent="0.2">
      <c r="A273" s="441"/>
      <c r="B273" s="442" t="s">
        <v>1903</v>
      </c>
      <c r="C273" s="442" t="s">
        <v>1680</v>
      </c>
      <c r="D273" s="442" t="s">
        <v>1689</v>
      </c>
      <c r="E273" s="442" t="s">
        <v>1909</v>
      </c>
      <c r="F273" s="442"/>
      <c r="G273" s="446">
        <v>2</v>
      </c>
      <c r="H273" s="446">
        <v>2606</v>
      </c>
      <c r="I273" s="442"/>
      <c r="J273" s="442">
        <v>1303</v>
      </c>
      <c r="K273" s="446"/>
      <c r="L273" s="446"/>
      <c r="M273" s="442"/>
      <c r="N273" s="442"/>
      <c r="O273" s="446"/>
      <c r="P273" s="446"/>
      <c r="Q273" s="469"/>
      <c r="R273" s="447"/>
    </row>
    <row r="274" spans="1:18" ht="14.45" customHeight="1" x14ac:dyDescent="0.2">
      <c r="A274" s="441"/>
      <c r="B274" s="442" t="s">
        <v>1903</v>
      </c>
      <c r="C274" s="442" t="s">
        <v>1680</v>
      </c>
      <c r="D274" s="442" t="s">
        <v>1689</v>
      </c>
      <c r="E274" s="442" t="s">
        <v>1910</v>
      </c>
      <c r="F274" s="442"/>
      <c r="G274" s="446">
        <v>203</v>
      </c>
      <c r="H274" s="446">
        <v>211729</v>
      </c>
      <c r="I274" s="442">
        <v>0.84583333333333333</v>
      </c>
      <c r="J274" s="442">
        <v>1043</v>
      </c>
      <c r="K274" s="446">
        <v>240</v>
      </c>
      <c r="L274" s="446">
        <v>250320</v>
      </c>
      <c r="M274" s="442">
        <v>1</v>
      </c>
      <c r="N274" s="442">
        <v>1043</v>
      </c>
      <c r="O274" s="446">
        <v>183</v>
      </c>
      <c r="P274" s="446">
        <v>190869</v>
      </c>
      <c r="Q274" s="469">
        <v>0.76249999999999996</v>
      </c>
      <c r="R274" s="447">
        <v>1043</v>
      </c>
    </row>
    <row r="275" spans="1:18" ht="14.45" customHeight="1" x14ac:dyDescent="0.2">
      <c r="A275" s="441"/>
      <c r="B275" s="442" t="s">
        <v>1903</v>
      </c>
      <c r="C275" s="442" t="s">
        <v>1680</v>
      </c>
      <c r="D275" s="442" t="s">
        <v>1689</v>
      </c>
      <c r="E275" s="442" t="s">
        <v>1911</v>
      </c>
      <c r="F275" s="442"/>
      <c r="G275" s="446">
        <v>2</v>
      </c>
      <c r="H275" s="446">
        <v>3308</v>
      </c>
      <c r="I275" s="442"/>
      <c r="J275" s="442">
        <v>1654</v>
      </c>
      <c r="K275" s="446"/>
      <c r="L275" s="446"/>
      <c r="M275" s="442"/>
      <c r="N275" s="442"/>
      <c r="O275" s="446"/>
      <c r="P275" s="446"/>
      <c r="Q275" s="469"/>
      <c r="R275" s="447"/>
    </row>
    <row r="276" spans="1:18" ht="14.45" customHeight="1" x14ac:dyDescent="0.2">
      <c r="A276" s="441"/>
      <c r="B276" s="442" t="s">
        <v>1903</v>
      </c>
      <c r="C276" s="442" t="s">
        <v>1680</v>
      </c>
      <c r="D276" s="442" t="s">
        <v>1689</v>
      </c>
      <c r="E276" s="442" t="s">
        <v>1912</v>
      </c>
      <c r="F276" s="442"/>
      <c r="G276" s="446">
        <v>22</v>
      </c>
      <c r="H276" s="446">
        <v>29106</v>
      </c>
      <c r="I276" s="442">
        <v>1</v>
      </c>
      <c r="J276" s="442">
        <v>1323</v>
      </c>
      <c r="K276" s="446">
        <v>22</v>
      </c>
      <c r="L276" s="446">
        <v>29106</v>
      </c>
      <c r="M276" s="442">
        <v>1</v>
      </c>
      <c r="N276" s="442">
        <v>1323</v>
      </c>
      <c r="O276" s="446">
        <v>16</v>
      </c>
      <c r="P276" s="446">
        <v>21168</v>
      </c>
      <c r="Q276" s="469">
        <v>0.72727272727272729</v>
      </c>
      <c r="R276" s="447">
        <v>1323</v>
      </c>
    </row>
    <row r="277" spans="1:18" ht="14.45" customHeight="1" x14ac:dyDescent="0.2">
      <c r="A277" s="441"/>
      <c r="B277" s="442" t="s">
        <v>1903</v>
      </c>
      <c r="C277" s="442" t="s">
        <v>1680</v>
      </c>
      <c r="D277" s="442" t="s">
        <v>1689</v>
      </c>
      <c r="E277" s="442" t="s">
        <v>1913</v>
      </c>
      <c r="F277" s="442"/>
      <c r="G277" s="446">
        <v>2</v>
      </c>
      <c r="H277" s="446">
        <v>3866</v>
      </c>
      <c r="I277" s="442">
        <v>0.66666666666666663</v>
      </c>
      <c r="J277" s="442">
        <v>1933</v>
      </c>
      <c r="K277" s="446">
        <v>3</v>
      </c>
      <c r="L277" s="446">
        <v>5799</v>
      </c>
      <c r="M277" s="442">
        <v>1</v>
      </c>
      <c r="N277" s="442">
        <v>1933</v>
      </c>
      <c r="O277" s="446">
        <v>3</v>
      </c>
      <c r="P277" s="446">
        <v>5799</v>
      </c>
      <c r="Q277" s="469">
        <v>1</v>
      </c>
      <c r="R277" s="447">
        <v>1933</v>
      </c>
    </row>
    <row r="278" spans="1:18" ht="14.45" customHeight="1" x14ac:dyDescent="0.2">
      <c r="A278" s="441"/>
      <c r="B278" s="442" t="s">
        <v>1903</v>
      </c>
      <c r="C278" s="442" t="s">
        <v>1680</v>
      </c>
      <c r="D278" s="442" t="s">
        <v>1689</v>
      </c>
      <c r="E278" s="442" t="s">
        <v>1914</v>
      </c>
      <c r="F278" s="442"/>
      <c r="G278" s="446">
        <v>3</v>
      </c>
      <c r="H278" s="446">
        <v>2034</v>
      </c>
      <c r="I278" s="442">
        <v>1.5</v>
      </c>
      <c r="J278" s="442">
        <v>678</v>
      </c>
      <c r="K278" s="446">
        <v>2</v>
      </c>
      <c r="L278" s="446">
        <v>1356</v>
      </c>
      <c r="M278" s="442">
        <v>1</v>
      </c>
      <c r="N278" s="442">
        <v>678</v>
      </c>
      <c r="O278" s="446"/>
      <c r="P278" s="446"/>
      <c r="Q278" s="469"/>
      <c r="R278" s="447"/>
    </row>
    <row r="279" spans="1:18" ht="14.45" customHeight="1" x14ac:dyDescent="0.2">
      <c r="A279" s="441"/>
      <c r="B279" s="442" t="s">
        <v>1903</v>
      </c>
      <c r="C279" s="442" t="s">
        <v>1680</v>
      </c>
      <c r="D279" s="442" t="s">
        <v>1689</v>
      </c>
      <c r="E279" s="442" t="s">
        <v>1915</v>
      </c>
      <c r="F279" s="442"/>
      <c r="G279" s="446">
        <v>70</v>
      </c>
      <c r="H279" s="446">
        <v>37940</v>
      </c>
      <c r="I279" s="442">
        <v>0.83332344942315306</v>
      </c>
      <c r="J279" s="442">
        <v>542</v>
      </c>
      <c r="K279" s="446">
        <v>84</v>
      </c>
      <c r="L279" s="446">
        <v>45528.54</v>
      </c>
      <c r="M279" s="442">
        <v>1</v>
      </c>
      <c r="N279" s="442">
        <v>542.00642857142861</v>
      </c>
      <c r="O279" s="446">
        <v>61</v>
      </c>
      <c r="P279" s="446">
        <v>33062</v>
      </c>
      <c r="Q279" s="469">
        <v>0.72618186306874766</v>
      </c>
      <c r="R279" s="447">
        <v>542</v>
      </c>
    </row>
    <row r="280" spans="1:18" ht="14.45" customHeight="1" x14ac:dyDescent="0.2">
      <c r="A280" s="441"/>
      <c r="B280" s="442" t="s">
        <v>1903</v>
      </c>
      <c r="C280" s="442" t="s">
        <v>1680</v>
      </c>
      <c r="D280" s="442" t="s">
        <v>1689</v>
      </c>
      <c r="E280" s="442" t="s">
        <v>1916</v>
      </c>
      <c r="F280" s="442"/>
      <c r="G280" s="446">
        <v>2</v>
      </c>
      <c r="H280" s="446">
        <v>596</v>
      </c>
      <c r="I280" s="442"/>
      <c r="J280" s="442">
        <v>298</v>
      </c>
      <c r="K280" s="446"/>
      <c r="L280" s="446"/>
      <c r="M280" s="442"/>
      <c r="N280" s="442"/>
      <c r="O280" s="446"/>
      <c r="P280" s="446"/>
      <c r="Q280" s="469"/>
      <c r="R280" s="447"/>
    </row>
    <row r="281" spans="1:18" ht="14.45" customHeight="1" x14ac:dyDescent="0.2">
      <c r="A281" s="441"/>
      <c r="B281" s="442" t="s">
        <v>1903</v>
      </c>
      <c r="C281" s="442" t="s">
        <v>1680</v>
      </c>
      <c r="D281" s="442" t="s">
        <v>1689</v>
      </c>
      <c r="E281" s="442" t="s">
        <v>1917</v>
      </c>
      <c r="F281" s="442"/>
      <c r="G281" s="446">
        <v>74</v>
      </c>
      <c r="H281" s="446">
        <v>42846</v>
      </c>
      <c r="I281" s="442">
        <v>1.2333333333333334</v>
      </c>
      <c r="J281" s="442">
        <v>579</v>
      </c>
      <c r="K281" s="446">
        <v>60</v>
      </c>
      <c r="L281" s="446">
        <v>34740</v>
      </c>
      <c r="M281" s="442">
        <v>1</v>
      </c>
      <c r="N281" s="442">
        <v>579</v>
      </c>
      <c r="O281" s="446">
        <v>46</v>
      </c>
      <c r="P281" s="446">
        <v>26634</v>
      </c>
      <c r="Q281" s="469">
        <v>0.76666666666666672</v>
      </c>
      <c r="R281" s="447">
        <v>579</v>
      </c>
    </row>
    <row r="282" spans="1:18" ht="14.45" customHeight="1" x14ac:dyDescent="0.2">
      <c r="A282" s="441"/>
      <c r="B282" s="442" t="s">
        <v>1903</v>
      </c>
      <c r="C282" s="442" t="s">
        <v>1680</v>
      </c>
      <c r="D282" s="442" t="s">
        <v>1689</v>
      </c>
      <c r="E282" s="442" t="s">
        <v>1693</v>
      </c>
      <c r="F282" s="442"/>
      <c r="G282" s="446">
        <v>59</v>
      </c>
      <c r="H282" s="446">
        <v>6667</v>
      </c>
      <c r="I282" s="442">
        <v>0.64835164835164838</v>
      </c>
      <c r="J282" s="442">
        <v>113</v>
      </c>
      <c r="K282" s="446">
        <v>91</v>
      </c>
      <c r="L282" s="446">
        <v>10283</v>
      </c>
      <c r="M282" s="442">
        <v>1</v>
      </c>
      <c r="N282" s="442">
        <v>113</v>
      </c>
      <c r="O282" s="446">
        <v>120</v>
      </c>
      <c r="P282" s="446">
        <v>13560</v>
      </c>
      <c r="Q282" s="469">
        <v>1.3186813186813187</v>
      </c>
      <c r="R282" s="447">
        <v>113</v>
      </c>
    </row>
    <row r="283" spans="1:18" ht="14.45" customHeight="1" x14ac:dyDescent="0.2">
      <c r="A283" s="441"/>
      <c r="B283" s="442" t="s">
        <v>1903</v>
      </c>
      <c r="C283" s="442" t="s">
        <v>1680</v>
      </c>
      <c r="D283" s="442" t="s">
        <v>1689</v>
      </c>
      <c r="E283" s="442" t="s">
        <v>1694</v>
      </c>
      <c r="F283" s="442"/>
      <c r="G283" s="446">
        <v>11</v>
      </c>
      <c r="H283" s="446">
        <v>1452</v>
      </c>
      <c r="I283" s="442">
        <v>0.6875</v>
      </c>
      <c r="J283" s="442">
        <v>132</v>
      </c>
      <c r="K283" s="446">
        <v>16</v>
      </c>
      <c r="L283" s="446">
        <v>2112</v>
      </c>
      <c r="M283" s="442">
        <v>1</v>
      </c>
      <c r="N283" s="442">
        <v>132</v>
      </c>
      <c r="O283" s="446">
        <v>21</v>
      </c>
      <c r="P283" s="446">
        <v>2772</v>
      </c>
      <c r="Q283" s="469">
        <v>1.3125</v>
      </c>
      <c r="R283" s="447">
        <v>132</v>
      </c>
    </row>
    <row r="284" spans="1:18" ht="14.45" customHeight="1" x14ac:dyDescent="0.2">
      <c r="A284" s="441"/>
      <c r="B284" s="442" t="s">
        <v>1903</v>
      </c>
      <c r="C284" s="442" t="s">
        <v>1680</v>
      </c>
      <c r="D284" s="442" t="s">
        <v>1689</v>
      </c>
      <c r="E284" s="442" t="s">
        <v>1695</v>
      </c>
      <c r="F284" s="442"/>
      <c r="G284" s="446">
        <v>11</v>
      </c>
      <c r="H284" s="446">
        <v>1716</v>
      </c>
      <c r="I284" s="442">
        <v>7.0967741935483872E-2</v>
      </c>
      <c r="J284" s="442">
        <v>156</v>
      </c>
      <c r="K284" s="446">
        <v>155</v>
      </c>
      <c r="L284" s="446">
        <v>24180</v>
      </c>
      <c r="M284" s="442">
        <v>1</v>
      </c>
      <c r="N284" s="442">
        <v>156</v>
      </c>
      <c r="O284" s="446">
        <v>39</v>
      </c>
      <c r="P284" s="446">
        <v>6084</v>
      </c>
      <c r="Q284" s="469">
        <v>0.25161290322580643</v>
      </c>
      <c r="R284" s="447">
        <v>156</v>
      </c>
    </row>
    <row r="285" spans="1:18" ht="14.45" customHeight="1" x14ac:dyDescent="0.2">
      <c r="A285" s="441"/>
      <c r="B285" s="442" t="s">
        <v>1903</v>
      </c>
      <c r="C285" s="442" t="s">
        <v>1680</v>
      </c>
      <c r="D285" s="442" t="s">
        <v>1689</v>
      </c>
      <c r="E285" s="442" t="s">
        <v>1719</v>
      </c>
      <c r="F285" s="442"/>
      <c r="G285" s="446">
        <v>1</v>
      </c>
      <c r="H285" s="446">
        <v>2000</v>
      </c>
      <c r="I285" s="442">
        <v>0.5</v>
      </c>
      <c r="J285" s="442">
        <v>2000</v>
      </c>
      <c r="K285" s="446">
        <v>2</v>
      </c>
      <c r="L285" s="446">
        <v>4000</v>
      </c>
      <c r="M285" s="442">
        <v>1</v>
      </c>
      <c r="N285" s="442">
        <v>2000</v>
      </c>
      <c r="O285" s="446"/>
      <c r="P285" s="446"/>
      <c r="Q285" s="469"/>
      <c r="R285" s="447"/>
    </row>
    <row r="286" spans="1:18" ht="14.45" customHeight="1" x14ac:dyDescent="0.2">
      <c r="A286" s="441"/>
      <c r="B286" s="442" t="s">
        <v>1903</v>
      </c>
      <c r="C286" s="442" t="s">
        <v>1680</v>
      </c>
      <c r="D286" s="442" t="s">
        <v>1689</v>
      </c>
      <c r="E286" s="442" t="s">
        <v>1734</v>
      </c>
      <c r="F286" s="442"/>
      <c r="G286" s="446">
        <v>4</v>
      </c>
      <c r="H286" s="446">
        <v>4032</v>
      </c>
      <c r="I286" s="442">
        <v>1.3333333333333333</v>
      </c>
      <c r="J286" s="442">
        <v>1008</v>
      </c>
      <c r="K286" s="446">
        <v>3</v>
      </c>
      <c r="L286" s="446">
        <v>3024</v>
      </c>
      <c r="M286" s="442">
        <v>1</v>
      </c>
      <c r="N286" s="442">
        <v>1008</v>
      </c>
      <c r="O286" s="446">
        <v>3</v>
      </c>
      <c r="P286" s="446">
        <v>3024</v>
      </c>
      <c r="Q286" s="469">
        <v>1</v>
      </c>
      <c r="R286" s="447">
        <v>1008</v>
      </c>
    </row>
    <row r="287" spans="1:18" ht="14.45" customHeight="1" x14ac:dyDescent="0.2">
      <c r="A287" s="441"/>
      <c r="B287" s="442" t="s">
        <v>1903</v>
      </c>
      <c r="C287" s="442" t="s">
        <v>1680</v>
      </c>
      <c r="D287" s="442" t="s">
        <v>1689</v>
      </c>
      <c r="E287" s="442" t="s">
        <v>1918</v>
      </c>
      <c r="F287" s="442"/>
      <c r="G287" s="446">
        <v>226</v>
      </c>
      <c r="H287" s="446">
        <v>49042</v>
      </c>
      <c r="I287" s="442">
        <v>1.0558701315477856</v>
      </c>
      <c r="J287" s="442">
        <v>217</v>
      </c>
      <c r="K287" s="446">
        <v>215</v>
      </c>
      <c r="L287" s="446">
        <v>46447</v>
      </c>
      <c r="M287" s="442">
        <v>1</v>
      </c>
      <c r="N287" s="442">
        <v>216.03255813953487</v>
      </c>
      <c r="O287" s="446">
        <v>210</v>
      </c>
      <c r="P287" s="446">
        <v>45570</v>
      </c>
      <c r="Q287" s="469">
        <v>0.98111826382758849</v>
      </c>
      <c r="R287" s="447">
        <v>217</v>
      </c>
    </row>
    <row r="288" spans="1:18" ht="14.45" customHeight="1" x14ac:dyDescent="0.2">
      <c r="A288" s="441"/>
      <c r="B288" s="442" t="s">
        <v>1903</v>
      </c>
      <c r="C288" s="442" t="s">
        <v>1680</v>
      </c>
      <c r="D288" s="442" t="s">
        <v>1689</v>
      </c>
      <c r="E288" s="442" t="s">
        <v>1919</v>
      </c>
      <c r="F288" s="442"/>
      <c r="G288" s="446">
        <v>174</v>
      </c>
      <c r="H288" s="446">
        <v>181482</v>
      </c>
      <c r="I288" s="442">
        <v>1.0674846625766872</v>
      </c>
      <c r="J288" s="442">
        <v>1043</v>
      </c>
      <c r="K288" s="446">
        <v>163</v>
      </c>
      <c r="L288" s="446">
        <v>170009</v>
      </c>
      <c r="M288" s="442">
        <v>1</v>
      </c>
      <c r="N288" s="442">
        <v>1043</v>
      </c>
      <c r="O288" s="446">
        <v>128</v>
      </c>
      <c r="P288" s="446">
        <v>133504</v>
      </c>
      <c r="Q288" s="469">
        <v>0.78527607361963192</v>
      </c>
      <c r="R288" s="447">
        <v>1043</v>
      </c>
    </row>
    <row r="289" spans="1:18" ht="14.45" customHeight="1" x14ac:dyDescent="0.2">
      <c r="A289" s="441"/>
      <c r="B289" s="442" t="s">
        <v>1903</v>
      </c>
      <c r="C289" s="442" t="s">
        <v>1680</v>
      </c>
      <c r="D289" s="442" t="s">
        <v>1689</v>
      </c>
      <c r="E289" s="442" t="s">
        <v>1920</v>
      </c>
      <c r="F289" s="442"/>
      <c r="G289" s="446">
        <v>6</v>
      </c>
      <c r="H289" s="446">
        <v>7938</v>
      </c>
      <c r="I289" s="442">
        <v>1</v>
      </c>
      <c r="J289" s="442">
        <v>1323</v>
      </c>
      <c r="K289" s="446">
        <v>6</v>
      </c>
      <c r="L289" s="446">
        <v>7938</v>
      </c>
      <c r="M289" s="442">
        <v>1</v>
      </c>
      <c r="N289" s="442">
        <v>1323</v>
      </c>
      <c r="O289" s="446">
        <v>8</v>
      </c>
      <c r="P289" s="446">
        <v>10584</v>
      </c>
      <c r="Q289" s="469">
        <v>1.3333333333333333</v>
      </c>
      <c r="R289" s="447">
        <v>1323</v>
      </c>
    </row>
    <row r="290" spans="1:18" ht="14.45" customHeight="1" x14ac:dyDescent="0.2">
      <c r="A290" s="441"/>
      <c r="B290" s="442" t="s">
        <v>1903</v>
      </c>
      <c r="C290" s="442" t="s">
        <v>1680</v>
      </c>
      <c r="D290" s="442" t="s">
        <v>1689</v>
      </c>
      <c r="E290" s="442" t="s">
        <v>1921</v>
      </c>
      <c r="F290" s="442"/>
      <c r="G290" s="446">
        <v>14</v>
      </c>
      <c r="H290" s="446">
        <v>7588</v>
      </c>
      <c r="I290" s="442">
        <v>2.3333333333333335</v>
      </c>
      <c r="J290" s="442">
        <v>542</v>
      </c>
      <c r="K290" s="446">
        <v>6</v>
      </c>
      <c r="L290" s="446">
        <v>3252</v>
      </c>
      <c r="M290" s="442">
        <v>1</v>
      </c>
      <c r="N290" s="442">
        <v>542</v>
      </c>
      <c r="O290" s="446">
        <v>18</v>
      </c>
      <c r="P290" s="446">
        <v>9756</v>
      </c>
      <c r="Q290" s="469">
        <v>3</v>
      </c>
      <c r="R290" s="447">
        <v>542</v>
      </c>
    </row>
    <row r="291" spans="1:18" ht="14.45" customHeight="1" x14ac:dyDescent="0.2">
      <c r="A291" s="441"/>
      <c r="B291" s="442" t="s">
        <v>1903</v>
      </c>
      <c r="C291" s="442" t="s">
        <v>1680</v>
      </c>
      <c r="D291" s="442" t="s">
        <v>1689</v>
      </c>
      <c r="E291" s="442" t="s">
        <v>1922</v>
      </c>
      <c r="F291" s="442"/>
      <c r="G291" s="446">
        <v>77</v>
      </c>
      <c r="H291" s="446">
        <v>44583</v>
      </c>
      <c r="I291" s="442">
        <v>1.0405405405405406</v>
      </c>
      <c r="J291" s="442">
        <v>579</v>
      </c>
      <c r="K291" s="446">
        <v>74</v>
      </c>
      <c r="L291" s="446">
        <v>42846</v>
      </c>
      <c r="M291" s="442">
        <v>1</v>
      </c>
      <c r="N291" s="442">
        <v>579</v>
      </c>
      <c r="O291" s="446">
        <v>66</v>
      </c>
      <c r="P291" s="446">
        <v>38214</v>
      </c>
      <c r="Q291" s="469">
        <v>0.89189189189189189</v>
      </c>
      <c r="R291" s="447">
        <v>579</v>
      </c>
    </row>
    <row r="292" spans="1:18" ht="14.45" customHeight="1" x14ac:dyDescent="0.2">
      <c r="A292" s="441"/>
      <c r="B292" s="442" t="s">
        <v>1903</v>
      </c>
      <c r="C292" s="442" t="s">
        <v>1680</v>
      </c>
      <c r="D292" s="442" t="s">
        <v>1689</v>
      </c>
      <c r="E292" s="442" t="s">
        <v>1923</v>
      </c>
      <c r="F292" s="442"/>
      <c r="G292" s="446">
        <v>1</v>
      </c>
      <c r="H292" s="446">
        <v>678</v>
      </c>
      <c r="I292" s="442"/>
      <c r="J292" s="442">
        <v>678</v>
      </c>
      <c r="K292" s="446"/>
      <c r="L292" s="446"/>
      <c r="M292" s="442"/>
      <c r="N292" s="442"/>
      <c r="O292" s="446"/>
      <c r="P292" s="446"/>
      <c r="Q292" s="469"/>
      <c r="R292" s="447"/>
    </row>
    <row r="293" spans="1:18" ht="14.45" customHeight="1" x14ac:dyDescent="0.2">
      <c r="A293" s="441"/>
      <c r="B293" s="442" t="s">
        <v>1903</v>
      </c>
      <c r="C293" s="442" t="s">
        <v>1680</v>
      </c>
      <c r="D293" s="442" t="s">
        <v>1689</v>
      </c>
      <c r="E293" s="442" t="s">
        <v>1924</v>
      </c>
      <c r="F293" s="442"/>
      <c r="G293" s="446">
        <v>2</v>
      </c>
      <c r="H293" s="446">
        <v>2606</v>
      </c>
      <c r="I293" s="442">
        <v>1</v>
      </c>
      <c r="J293" s="442">
        <v>1303</v>
      </c>
      <c r="K293" s="446">
        <v>2</v>
      </c>
      <c r="L293" s="446">
        <v>2606</v>
      </c>
      <c r="M293" s="442">
        <v>1</v>
      </c>
      <c r="N293" s="442">
        <v>1303</v>
      </c>
      <c r="O293" s="446">
        <v>4</v>
      </c>
      <c r="P293" s="446">
        <v>5212</v>
      </c>
      <c r="Q293" s="469">
        <v>2</v>
      </c>
      <c r="R293" s="447">
        <v>1303</v>
      </c>
    </row>
    <row r="294" spans="1:18" ht="14.45" customHeight="1" x14ac:dyDescent="0.2">
      <c r="A294" s="441"/>
      <c r="B294" s="442" t="s">
        <v>1903</v>
      </c>
      <c r="C294" s="442" t="s">
        <v>1680</v>
      </c>
      <c r="D294" s="442" t="s">
        <v>1689</v>
      </c>
      <c r="E294" s="442" t="s">
        <v>1925</v>
      </c>
      <c r="F294" s="442"/>
      <c r="G294" s="446"/>
      <c r="H294" s="446"/>
      <c r="I294" s="442"/>
      <c r="J294" s="442"/>
      <c r="K294" s="446">
        <v>4</v>
      </c>
      <c r="L294" s="446">
        <v>544</v>
      </c>
      <c r="M294" s="442">
        <v>1</v>
      </c>
      <c r="N294" s="442">
        <v>136</v>
      </c>
      <c r="O294" s="446"/>
      <c r="P294" s="446"/>
      <c r="Q294" s="469"/>
      <c r="R294" s="447"/>
    </row>
    <row r="295" spans="1:18" ht="14.45" customHeight="1" x14ac:dyDescent="0.2">
      <c r="A295" s="441"/>
      <c r="B295" s="442" t="s">
        <v>1903</v>
      </c>
      <c r="C295" s="442" t="s">
        <v>1680</v>
      </c>
      <c r="D295" s="442" t="s">
        <v>1689</v>
      </c>
      <c r="E295" s="442" t="s">
        <v>1926</v>
      </c>
      <c r="F295" s="442"/>
      <c r="G295" s="446"/>
      <c r="H295" s="446"/>
      <c r="I295" s="442"/>
      <c r="J295" s="442"/>
      <c r="K295" s="446">
        <v>37</v>
      </c>
      <c r="L295" s="446">
        <v>8288</v>
      </c>
      <c r="M295" s="442">
        <v>1</v>
      </c>
      <c r="N295" s="442">
        <v>224</v>
      </c>
      <c r="O295" s="446"/>
      <c r="P295" s="446"/>
      <c r="Q295" s="469"/>
      <c r="R295" s="447"/>
    </row>
    <row r="296" spans="1:18" ht="14.45" customHeight="1" x14ac:dyDescent="0.2">
      <c r="A296" s="441"/>
      <c r="B296" s="442" t="s">
        <v>1903</v>
      </c>
      <c r="C296" s="442" t="s">
        <v>1680</v>
      </c>
      <c r="D296" s="442" t="s">
        <v>1689</v>
      </c>
      <c r="E296" s="442" t="s">
        <v>1927</v>
      </c>
      <c r="F296" s="442"/>
      <c r="G296" s="446">
        <v>7</v>
      </c>
      <c r="H296" s="446">
        <v>7581</v>
      </c>
      <c r="I296" s="442">
        <v>0.58333333333333337</v>
      </c>
      <c r="J296" s="442">
        <v>1083</v>
      </c>
      <c r="K296" s="446">
        <v>12</v>
      </c>
      <c r="L296" s="446">
        <v>12996</v>
      </c>
      <c r="M296" s="442">
        <v>1</v>
      </c>
      <c r="N296" s="442">
        <v>1083</v>
      </c>
      <c r="O296" s="446">
        <v>26</v>
      </c>
      <c r="P296" s="446">
        <v>28158</v>
      </c>
      <c r="Q296" s="469">
        <v>2.1666666666666665</v>
      </c>
      <c r="R296" s="447">
        <v>1083</v>
      </c>
    </row>
    <row r="297" spans="1:18" ht="14.45" customHeight="1" x14ac:dyDescent="0.2">
      <c r="A297" s="441"/>
      <c r="B297" s="442" t="s">
        <v>1903</v>
      </c>
      <c r="C297" s="442" t="s">
        <v>1680</v>
      </c>
      <c r="D297" s="442" t="s">
        <v>1689</v>
      </c>
      <c r="E297" s="442" t="s">
        <v>1928</v>
      </c>
      <c r="F297" s="442"/>
      <c r="G297" s="446">
        <v>1</v>
      </c>
      <c r="H297" s="446">
        <v>2450</v>
      </c>
      <c r="I297" s="442"/>
      <c r="J297" s="442">
        <v>2450</v>
      </c>
      <c r="K297" s="446"/>
      <c r="L297" s="446"/>
      <c r="M297" s="442"/>
      <c r="N297" s="442"/>
      <c r="O297" s="446"/>
      <c r="P297" s="446"/>
      <c r="Q297" s="469"/>
      <c r="R297" s="447"/>
    </row>
    <row r="298" spans="1:18" ht="14.45" customHeight="1" x14ac:dyDescent="0.2">
      <c r="A298" s="441"/>
      <c r="B298" s="442" t="s">
        <v>1903</v>
      </c>
      <c r="C298" s="442" t="s">
        <v>1680</v>
      </c>
      <c r="D298" s="442" t="s">
        <v>1689</v>
      </c>
      <c r="E298" s="442" t="s">
        <v>1929</v>
      </c>
      <c r="F298" s="442"/>
      <c r="G298" s="446"/>
      <c r="H298" s="446"/>
      <c r="I298" s="442"/>
      <c r="J298" s="442"/>
      <c r="K298" s="446">
        <v>4</v>
      </c>
      <c r="L298" s="446">
        <v>4332</v>
      </c>
      <c r="M298" s="442">
        <v>1</v>
      </c>
      <c r="N298" s="442">
        <v>1083</v>
      </c>
      <c r="O298" s="446"/>
      <c r="P298" s="446"/>
      <c r="Q298" s="469"/>
      <c r="R298" s="447"/>
    </row>
    <row r="299" spans="1:18" ht="14.45" customHeight="1" x14ac:dyDescent="0.2">
      <c r="A299" s="441"/>
      <c r="B299" s="442" t="s">
        <v>1903</v>
      </c>
      <c r="C299" s="442" t="s">
        <v>1680</v>
      </c>
      <c r="D299" s="442" t="s">
        <v>1689</v>
      </c>
      <c r="E299" s="442" t="s">
        <v>1930</v>
      </c>
      <c r="F299" s="442"/>
      <c r="G299" s="446"/>
      <c r="H299" s="446"/>
      <c r="I299" s="442"/>
      <c r="J299" s="442"/>
      <c r="K299" s="446">
        <v>1</v>
      </c>
      <c r="L299" s="446">
        <v>1654</v>
      </c>
      <c r="M299" s="442">
        <v>1</v>
      </c>
      <c r="N299" s="442">
        <v>1654</v>
      </c>
      <c r="O299" s="446">
        <v>1</v>
      </c>
      <c r="P299" s="446">
        <v>1654</v>
      </c>
      <c r="Q299" s="469">
        <v>1</v>
      </c>
      <c r="R299" s="447">
        <v>1654</v>
      </c>
    </row>
    <row r="300" spans="1:18" ht="14.45" customHeight="1" x14ac:dyDescent="0.2">
      <c r="A300" s="441"/>
      <c r="B300" s="442" t="s">
        <v>1903</v>
      </c>
      <c r="C300" s="442" t="s">
        <v>1680</v>
      </c>
      <c r="D300" s="442" t="s">
        <v>1689</v>
      </c>
      <c r="E300" s="442" t="s">
        <v>1931</v>
      </c>
      <c r="F300" s="442"/>
      <c r="G300" s="446">
        <v>1</v>
      </c>
      <c r="H300" s="446">
        <v>1289</v>
      </c>
      <c r="I300" s="442"/>
      <c r="J300" s="442">
        <v>1289</v>
      </c>
      <c r="K300" s="446"/>
      <c r="L300" s="446"/>
      <c r="M300" s="442"/>
      <c r="N300" s="442"/>
      <c r="O300" s="446"/>
      <c r="P300" s="446"/>
      <c r="Q300" s="469"/>
      <c r="R300" s="447"/>
    </row>
    <row r="301" spans="1:18" ht="14.45" customHeight="1" x14ac:dyDescent="0.2">
      <c r="A301" s="441"/>
      <c r="B301" s="442" t="s">
        <v>1903</v>
      </c>
      <c r="C301" s="442" t="s">
        <v>1680</v>
      </c>
      <c r="D301" s="442" t="s">
        <v>1773</v>
      </c>
      <c r="E301" s="442" t="s">
        <v>1778</v>
      </c>
      <c r="F301" s="442" t="s">
        <v>1779</v>
      </c>
      <c r="G301" s="446">
        <v>35</v>
      </c>
      <c r="H301" s="446">
        <v>2722.22</v>
      </c>
      <c r="I301" s="442">
        <v>0.5833324404768282</v>
      </c>
      <c r="J301" s="442">
        <v>77.777714285714282</v>
      </c>
      <c r="K301" s="446">
        <v>60</v>
      </c>
      <c r="L301" s="446">
        <v>4666.67</v>
      </c>
      <c r="M301" s="442">
        <v>1</v>
      </c>
      <c r="N301" s="442">
        <v>77.777833333333334</v>
      </c>
      <c r="O301" s="446">
        <v>50</v>
      </c>
      <c r="P301" s="446">
        <v>4423.34</v>
      </c>
      <c r="Q301" s="469">
        <v>0.94785789438721835</v>
      </c>
      <c r="R301" s="447">
        <v>88.466800000000006</v>
      </c>
    </row>
    <row r="302" spans="1:18" ht="14.45" customHeight="1" x14ac:dyDescent="0.2">
      <c r="A302" s="441"/>
      <c r="B302" s="442" t="s">
        <v>1903</v>
      </c>
      <c r="C302" s="442" t="s">
        <v>1680</v>
      </c>
      <c r="D302" s="442" t="s">
        <v>1773</v>
      </c>
      <c r="E302" s="442" t="s">
        <v>1780</v>
      </c>
      <c r="F302" s="442" t="s">
        <v>1781</v>
      </c>
      <c r="G302" s="446">
        <v>36</v>
      </c>
      <c r="H302" s="446">
        <v>9000</v>
      </c>
      <c r="I302" s="442">
        <v>1.3846153846153846</v>
      </c>
      <c r="J302" s="442">
        <v>250</v>
      </c>
      <c r="K302" s="446">
        <v>26</v>
      </c>
      <c r="L302" s="446">
        <v>6500</v>
      </c>
      <c r="M302" s="442">
        <v>1</v>
      </c>
      <c r="N302" s="442">
        <v>250</v>
      </c>
      <c r="O302" s="446">
        <v>40</v>
      </c>
      <c r="P302" s="446">
        <v>10486.66</v>
      </c>
      <c r="Q302" s="469">
        <v>1.6133323076923076</v>
      </c>
      <c r="R302" s="447">
        <v>262.16649999999998</v>
      </c>
    </row>
    <row r="303" spans="1:18" ht="14.45" customHeight="1" x14ac:dyDescent="0.2">
      <c r="A303" s="441"/>
      <c r="B303" s="442" t="s">
        <v>1903</v>
      </c>
      <c r="C303" s="442" t="s">
        <v>1680</v>
      </c>
      <c r="D303" s="442" t="s">
        <v>1773</v>
      </c>
      <c r="E303" s="442" t="s">
        <v>1782</v>
      </c>
      <c r="F303" s="442" t="s">
        <v>1783</v>
      </c>
      <c r="G303" s="446">
        <v>602</v>
      </c>
      <c r="H303" s="446">
        <v>180600</v>
      </c>
      <c r="I303" s="442">
        <v>1.0255536626916524</v>
      </c>
      <c r="J303" s="442">
        <v>300</v>
      </c>
      <c r="K303" s="446">
        <v>587</v>
      </c>
      <c r="L303" s="446">
        <v>176100</v>
      </c>
      <c r="M303" s="442">
        <v>1</v>
      </c>
      <c r="N303" s="442">
        <v>300</v>
      </c>
      <c r="O303" s="446">
        <v>585</v>
      </c>
      <c r="P303" s="446">
        <v>187587.79</v>
      </c>
      <c r="Q303" s="469">
        <v>1.0652344690516753</v>
      </c>
      <c r="R303" s="447">
        <v>320.66288888888892</v>
      </c>
    </row>
    <row r="304" spans="1:18" ht="14.45" customHeight="1" x14ac:dyDescent="0.2">
      <c r="A304" s="441"/>
      <c r="B304" s="442" t="s">
        <v>1903</v>
      </c>
      <c r="C304" s="442" t="s">
        <v>1680</v>
      </c>
      <c r="D304" s="442" t="s">
        <v>1773</v>
      </c>
      <c r="E304" s="442" t="s">
        <v>1786</v>
      </c>
      <c r="F304" s="442" t="s">
        <v>1787</v>
      </c>
      <c r="G304" s="446"/>
      <c r="H304" s="446"/>
      <c r="I304" s="442"/>
      <c r="J304" s="442"/>
      <c r="K304" s="446">
        <v>1</v>
      </c>
      <c r="L304" s="446">
        <v>550</v>
      </c>
      <c r="M304" s="442">
        <v>1</v>
      </c>
      <c r="N304" s="442">
        <v>550</v>
      </c>
      <c r="O304" s="446">
        <v>5</v>
      </c>
      <c r="P304" s="446">
        <v>2860</v>
      </c>
      <c r="Q304" s="469">
        <v>5.2</v>
      </c>
      <c r="R304" s="447">
        <v>572</v>
      </c>
    </row>
    <row r="305" spans="1:18" ht="14.45" customHeight="1" x14ac:dyDescent="0.2">
      <c r="A305" s="441"/>
      <c r="B305" s="442" t="s">
        <v>1903</v>
      </c>
      <c r="C305" s="442" t="s">
        <v>1680</v>
      </c>
      <c r="D305" s="442" t="s">
        <v>1773</v>
      </c>
      <c r="E305" s="442" t="s">
        <v>1800</v>
      </c>
      <c r="F305" s="442" t="s">
        <v>1801</v>
      </c>
      <c r="G305" s="446"/>
      <c r="H305" s="446"/>
      <c r="I305" s="442"/>
      <c r="J305" s="442"/>
      <c r="K305" s="446">
        <v>1</v>
      </c>
      <c r="L305" s="446">
        <v>466.67</v>
      </c>
      <c r="M305" s="442">
        <v>1</v>
      </c>
      <c r="N305" s="442">
        <v>466.67</v>
      </c>
      <c r="O305" s="446">
        <v>4</v>
      </c>
      <c r="P305" s="446">
        <v>2022.22</v>
      </c>
      <c r="Q305" s="469">
        <v>4.3332976193027193</v>
      </c>
      <c r="R305" s="447">
        <v>505.55500000000001</v>
      </c>
    </row>
    <row r="306" spans="1:18" ht="14.45" customHeight="1" x14ac:dyDescent="0.2">
      <c r="A306" s="441"/>
      <c r="B306" s="442" t="s">
        <v>1903</v>
      </c>
      <c r="C306" s="442" t="s">
        <v>1680</v>
      </c>
      <c r="D306" s="442" t="s">
        <v>1773</v>
      </c>
      <c r="E306" s="442" t="s">
        <v>1802</v>
      </c>
      <c r="F306" s="442" t="s">
        <v>1803</v>
      </c>
      <c r="G306" s="446"/>
      <c r="H306" s="446"/>
      <c r="I306" s="442"/>
      <c r="J306" s="442"/>
      <c r="K306" s="446">
        <v>1</v>
      </c>
      <c r="L306" s="446">
        <v>61.11</v>
      </c>
      <c r="M306" s="442">
        <v>1</v>
      </c>
      <c r="N306" s="442">
        <v>61.11</v>
      </c>
      <c r="O306" s="446"/>
      <c r="P306" s="446"/>
      <c r="Q306" s="469"/>
      <c r="R306" s="447"/>
    </row>
    <row r="307" spans="1:18" ht="14.45" customHeight="1" x14ac:dyDescent="0.2">
      <c r="A307" s="441"/>
      <c r="B307" s="442" t="s">
        <v>1903</v>
      </c>
      <c r="C307" s="442" t="s">
        <v>1680</v>
      </c>
      <c r="D307" s="442" t="s">
        <v>1773</v>
      </c>
      <c r="E307" s="442" t="s">
        <v>1932</v>
      </c>
      <c r="F307" s="442" t="s">
        <v>1933</v>
      </c>
      <c r="G307" s="446">
        <v>347</v>
      </c>
      <c r="H307" s="446">
        <v>231333.33000000002</v>
      </c>
      <c r="I307" s="442">
        <v>1.1157556288706694</v>
      </c>
      <c r="J307" s="442">
        <v>666.66665706051879</v>
      </c>
      <c r="K307" s="446">
        <v>311</v>
      </c>
      <c r="L307" s="446">
        <v>207333.33</v>
      </c>
      <c r="M307" s="442">
        <v>1</v>
      </c>
      <c r="N307" s="442">
        <v>666.66665594855306</v>
      </c>
      <c r="O307" s="446">
        <v>335</v>
      </c>
      <c r="P307" s="446">
        <v>248267.78</v>
      </c>
      <c r="Q307" s="469">
        <v>1.1974330417593737</v>
      </c>
      <c r="R307" s="447">
        <v>741.0978507462687</v>
      </c>
    </row>
    <row r="308" spans="1:18" ht="14.45" customHeight="1" x14ac:dyDescent="0.2">
      <c r="A308" s="441"/>
      <c r="B308" s="442" t="s">
        <v>1903</v>
      </c>
      <c r="C308" s="442" t="s">
        <v>1680</v>
      </c>
      <c r="D308" s="442" t="s">
        <v>1773</v>
      </c>
      <c r="E308" s="442" t="s">
        <v>1934</v>
      </c>
      <c r="F308" s="442" t="s">
        <v>1935</v>
      </c>
      <c r="G308" s="446">
        <v>644</v>
      </c>
      <c r="H308" s="446">
        <v>150266.67000000001</v>
      </c>
      <c r="I308" s="442">
        <v>0.88705236127508846</v>
      </c>
      <c r="J308" s="442">
        <v>233.3333385093168</v>
      </c>
      <c r="K308" s="446">
        <v>726</v>
      </c>
      <c r="L308" s="446">
        <v>169400.00000000003</v>
      </c>
      <c r="M308" s="442">
        <v>1</v>
      </c>
      <c r="N308" s="442">
        <v>233.33333333333337</v>
      </c>
      <c r="O308" s="446">
        <v>593</v>
      </c>
      <c r="P308" s="446">
        <v>155985.56</v>
      </c>
      <c r="Q308" s="469">
        <v>0.92081204250295146</v>
      </c>
      <c r="R308" s="447">
        <v>263.04478920741991</v>
      </c>
    </row>
    <row r="309" spans="1:18" ht="14.45" customHeight="1" x14ac:dyDescent="0.2">
      <c r="A309" s="441"/>
      <c r="B309" s="442" t="s">
        <v>1903</v>
      </c>
      <c r="C309" s="442" t="s">
        <v>1680</v>
      </c>
      <c r="D309" s="442" t="s">
        <v>1773</v>
      </c>
      <c r="E309" s="442" t="s">
        <v>1936</v>
      </c>
      <c r="F309" s="442" t="s">
        <v>1937</v>
      </c>
      <c r="G309" s="446">
        <v>396</v>
      </c>
      <c r="H309" s="446">
        <v>308000</v>
      </c>
      <c r="I309" s="442">
        <v>0.89390523223048446</v>
      </c>
      <c r="J309" s="442">
        <v>777.77777777777783</v>
      </c>
      <c r="K309" s="446">
        <v>443</v>
      </c>
      <c r="L309" s="446">
        <v>344555.54000000004</v>
      </c>
      <c r="M309" s="442">
        <v>1</v>
      </c>
      <c r="N309" s="442">
        <v>777.77774266365702</v>
      </c>
      <c r="O309" s="446">
        <v>359</v>
      </c>
      <c r="P309" s="446">
        <v>309347.77</v>
      </c>
      <c r="Q309" s="469">
        <v>0.89781685123971589</v>
      </c>
      <c r="R309" s="447">
        <v>861.69295264623963</v>
      </c>
    </row>
    <row r="310" spans="1:18" ht="14.45" customHeight="1" x14ac:dyDescent="0.2">
      <c r="A310" s="441"/>
      <c r="B310" s="442" t="s">
        <v>1903</v>
      </c>
      <c r="C310" s="442" t="s">
        <v>1680</v>
      </c>
      <c r="D310" s="442" t="s">
        <v>1773</v>
      </c>
      <c r="E310" s="442" t="s">
        <v>1938</v>
      </c>
      <c r="F310" s="442" t="s">
        <v>1939</v>
      </c>
      <c r="G310" s="446">
        <v>890</v>
      </c>
      <c r="H310" s="446">
        <v>217555.55000000002</v>
      </c>
      <c r="I310" s="442">
        <v>0.89808270117230771</v>
      </c>
      <c r="J310" s="442">
        <v>244.4444382022472</v>
      </c>
      <c r="K310" s="446">
        <v>991</v>
      </c>
      <c r="L310" s="446">
        <v>242244.44999999998</v>
      </c>
      <c r="M310" s="442">
        <v>1</v>
      </c>
      <c r="N310" s="442">
        <v>244.44445005045407</v>
      </c>
      <c r="O310" s="446">
        <v>852</v>
      </c>
      <c r="P310" s="446">
        <v>235663.33000000002</v>
      </c>
      <c r="Q310" s="469">
        <v>0.97283273156516081</v>
      </c>
      <c r="R310" s="447">
        <v>276.60015258215964</v>
      </c>
    </row>
    <row r="311" spans="1:18" ht="14.45" customHeight="1" x14ac:dyDescent="0.2">
      <c r="A311" s="441"/>
      <c r="B311" s="442" t="s">
        <v>1903</v>
      </c>
      <c r="C311" s="442" t="s">
        <v>1680</v>
      </c>
      <c r="D311" s="442" t="s">
        <v>1773</v>
      </c>
      <c r="E311" s="442" t="s">
        <v>1940</v>
      </c>
      <c r="F311" s="442" t="s">
        <v>1941</v>
      </c>
      <c r="G311" s="446">
        <v>24</v>
      </c>
      <c r="H311" s="446">
        <v>12613.319999999998</v>
      </c>
      <c r="I311" s="442">
        <v>0.59999942917541527</v>
      </c>
      <c r="J311" s="442">
        <v>525.55499999999995</v>
      </c>
      <c r="K311" s="446">
        <v>40</v>
      </c>
      <c r="L311" s="446">
        <v>21022.22</v>
      </c>
      <c r="M311" s="442">
        <v>1</v>
      </c>
      <c r="N311" s="442">
        <v>525.55550000000005</v>
      </c>
      <c r="O311" s="446">
        <v>38</v>
      </c>
      <c r="P311" s="446">
        <v>22346.670000000002</v>
      </c>
      <c r="Q311" s="469">
        <v>1.0630023850953896</v>
      </c>
      <c r="R311" s="447">
        <v>588.07026315789483</v>
      </c>
    </row>
    <row r="312" spans="1:18" ht="14.45" customHeight="1" x14ac:dyDescent="0.2">
      <c r="A312" s="441"/>
      <c r="B312" s="442" t="s">
        <v>1903</v>
      </c>
      <c r="C312" s="442" t="s">
        <v>1680</v>
      </c>
      <c r="D312" s="442" t="s">
        <v>1773</v>
      </c>
      <c r="E312" s="442" t="s">
        <v>1942</v>
      </c>
      <c r="F312" s="442" t="s">
        <v>1943</v>
      </c>
      <c r="G312" s="446">
        <v>13</v>
      </c>
      <c r="H312" s="446">
        <v>13000</v>
      </c>
      <c r="I312" s="442">
        <v>1.0833333333333333</v>
      </c>
      <c r="J312" s="442">
        <v>1000</v>
      </c>
      <c r="K312" s="446">
        <v>12</v>
      </c>
      <c r="L312" s="446">
        <v>12000</v>
      </c>
      <c r="M312" s="442">
        <v>1</v>
      </c>
      <c r="N312" s="442">
        <v>1000</v>
      </c>
      <c r="O312" s="446">
        <v>5</v>
      </c>
      <c r="P312" s="446">
        <v>5744.4500000000007</v>
      </c>
      <c r="Q312" s="469">
        <v>0.47870416666666671</v>
      </c>
      <c r="R312" s="447">
        <v>1148.8900000000001</v>
      </c>
    </row>
    <row r="313" spans="1:18" ht="14.45" customHeight="1" x14ac:dyDescent="0.2">
      <c r="A313" s="441"/>
      <c r="B313" s="442" t="s">
        <v>1903</v>
      </c>
      <c r="C313" s="442" t="s">
        <v>1680</v>
      </c>
      <c r="D313" s="442" t="s">
        <v>1773</v>
      </c>
      <c r="E313" s="442" t="s">
        <v>1855</v>
      </c>
      <c r="F313" s="442" t="s">
        <v>1856</v>
      </c>
      <c r="G313" s="446"/>
      <c r="H313" s="446"/>
      <c r="I313" s="442"/>
      <c r="J313" s="442"/>
      <c r="K313" s="446">
        <v>2</v>
      </c>
      <c r="L313" s="446">
        <v>0</v>
      </c>
      <c r="M313" s="442"/>
      <c r="N313" s="442">
        <v>0</v>
      </c>
      <c r="O313" s="446"/>
      <c r="P313" s="446"/>
      <c r="Q313" s="469"/>
      <c r="R313" s="447"/>
    </row>
    <row r="314" spans="1:18" ht="14.45" customHeight="1" x14ac:dyDescent="0.2">
      <c r="A314" s="441"/>
      <c r="B314" s="442" t="s">
        <v>1903</v>
      </c>
      <c r="C314" s="442" t="s">
        <v>1680</v>
      </c>
      <c r="D314" s="442" t="s">
        <v>1773</v>
      </c>
      <c r="E314" s="442" t="s">
        <v>1808</v>
      </c>
      <c r="F314" s="442" t="s">
        <v>1809</v>
      </c>
      <c r="G314" s="446">
        <v>1019</v>
      </c>
      <c r="H314" s="446">
        <v>0</v>
      </c>
      <c r="I314" s="442"/>
      <c r="J314" s="442">
        <v>0</v>
      </c>
      <c r="K314" s="446">
        <v>995</v>
      </c>
      <c r="L314" s="446">
        <v>0</v>
      </c>
      <c r="M314" s="442"/>
      <c r="N314" s="442">
        <v>0</v>
      </c>
      <c r="O314" s="446">
        <v>991</v>
      </c>
      <c r="P314" s="446">
        <v>0</v>
      </c>
      <c r="Q314" s="469"/>
      <c r="R314" s="447">
        <v>0</v>
      </c>
    </row>
    <row r="315" spans="1:18" ht="14.45" customHeight="1" x14ac:dyDescent="0.2">
      <c r="A315" s="441"/>
      <c r="B315" s="442" t="s">
        <v>1903</v>
      </c>
      <c r="C315" s="442" t="s">
        <v>1680</v>
      </c>
      <c r="D315" s="442" t="s">
        <v>1773</v>
      </c>
      <c r="E315" s="442" t="s">
        <v>1810</v>
      </c>
      <c r="F315" s="442" t="s">
        <v>1811</v>
      </c>
      <c r="G315" s="446">
        <v>715</v>
      </c>
      <c r="H315" s="446">
        <v>218472.22</v>
      </c>
      <c r="I315" s="442">
        <v>0.95973152917763749</v>
      </c>
      <c r="J315" s="442">
        <v>305.55555244755243</v>
      </c>
      <c r="K315" s="446">
        <v>745</v>
      </c>
      <c r="L315" s="446">
        <v>227638.88999999998</v>
      </c>
      <c r="M315" s="442">
        <v>1</v>
      </c>
      <c r="N315" s="442">
        <v>305.55555704697986</v>
      </c>
      <c r="O315" s="446">
        <v>785</v>
      </c>
      <c r="P315" s="446">
        <v>255656.65999999997</v>
      </c>
      <c r="Q315" s="469">
        <v>1.1230798920166936</v>
      </c>
      <c r="R315" s="447">
        <v>325.6772738853503</v>
      </c>
    </row>
    <row r="316" spans="1:18" ht="14.45" customHeight="1" x14ac:dyDescent="0.2">
      <c r="A316" s="441"/>
      <c r="B316" s="442" t="s">
        <v>1903</v>
      </c>
      <c r="C316" s="442" t="s">
        <v>1680</v>
      </c>
      <c r="D316" s="442" t="s">
        <v>1773</v>
      </c>
      <c r="E316" s="442" t="s">
        <v>1812</v>
      </c>
      <c r="F316" s="442" t="s">
        <v>1813</v>
      </c>
      <c r="G316" s="446">
        <v>1778</v>
      </c>
      <c r="H316" s="446">
        <v>59266.67</v>
      </c>
      <c r="I316" s="442">
        <v>3.650924979656053</v>
      </c>
      <c r="J316" s="442">
        <v>33.333335208098987</v>
      </c>
      <c r="K316" s="446">
        <v>487</v>
      </c>
      <c r="L316" s="446">
        <v>16233.33</v>
      </c>
      <c r="M316" s="442">
        <v>1</v>
      </c>
      <c r="N316" s="442">
        <v>33.333326488706362</v>
      </c>
      <c r="O316" s="446"/>
      <c r="P316" s="446"/>
      <c r="Q316" s="469"/>
      <c r="R316" s="447"/>
    </row>
    <row r="317" spans="1:18" ht="14.45" customHeight="1" x14ac:dyDescent="0.2">
      <c r="A317" s="441"/>
      <c r="B317" s="442" t="s">
        <v>1903</v>
      </c>
      <c r="C317" s="442" t="s">
        <v>1680</v>
      </c>
      <c r="D317" s="442" t="s">
        <v>1773</v>
      </c>
      <c r="E317" s="442" t="s">
        <v>1814</v>
      </c>
      <c r="F317" s="442" t="s">
        <v>1815</v>
      </c>
      <c r="G317" s="446">
        <v>832</v>
      </c>
      <c r="H317" s="446">
        <v>379022.22000000003</v>
      </c>
      <c r="I317" s="442">
        <v>0.98113207254122214</v>
      </c>
      <c r="J317" s="442">
        <v>455.55555288461539</v>
      </c>
      <c r="K317" s="446">
        <v>848</v>
      </c>
      <c r="L317" s="446">
        <v>386311.11</v>
      </c>
      <c r="M317" s="442">
        <v>1</v>
      </c>
      <c r="N317" s="442">
        <v>455.55555424528302</v>
      </c>
      <c r="O317" s="446">
        <v>748</v>
      </c>
      <c r="P317" s="446">
        <v>363482.21</v>
      </c>
      <c r="Q317" s="469">
        <v>0.94090540134866951</v>
      </c>
      <c r="R317" s="447">
        <v>485.93878342245995</v>
      </c>
    </row>
    <row r="318" spans="1:18" ht="14.45" customHeight="1" x14ac:dyDescent="0.2">
      <c r="A318" s="441"/>
      <c r="B318" s="442" t="s">
        <v>1903</v>
      </c>
      <c r="C318" s="442" t="s">
        <v>1680</v>
      </c>
      <c r="D318" s="442" t="s">
        <v>1773</v>
      </c>
      <c r="E318" s="442" t="s">
        <v>1818</v>
      </c>
      <c r="F318" s="442" t="s">
        <v>1819</v>
      </c>
      <c r="G318" s="446">
        <v>777</v>
      </c>
      <c r="H318" s="446">
        <v>60433.32</v>
      </c>
      <c r="I318" s="442">
        <v>0.91519405197435122</v>
      </c>
      <c r="J318" s="442">
        <v>77.77776061776062</v>
      </c>
      <c r="K318" s="446">
        <v>849</v>
      </c>
      <c r="L318" s="446">
        <v>66033.34</v>
      </c>
      <c r="M318" s="442">
        <v>1</v>
      </c>
      <c r="N318" s="442">
        <v>77.777785630153119</v>
      </c>
      <c r="O318" s="446">
        <v>903</v>
      </c>
      <c r="P318" s="446">
        <v>89356.67</v>
      </c>
      <c r="Q318" s="469">
        <v>1.3532053656531686</v>
      </c>
      <c r="R318" s="447">
        <v>98.955337763012182</v>
      </c>
    </row>
    <row r="319" spans="1:18" ht="14.45" customHeight="1" x14ac:dyDescent="0.2">
      <c r="A319" s="441"/>
      <c r="B319" s="442" t="s">
        <v>1903</v>
      </c>
      <c r="C319" s="442" t="s">
        <v>1680</v>
      </c>
      <c r="D319" s="442" t="s">
        <v>1773</v>
      </c>
      <c r="E319" s="442" t="s">
        <v>1944</v>
      </c>
      <c r="F319" s="442" t="s">
        <v>1945</v>
      </c>
      <c r="G319" s="446">
        <v>448</v>
      </c>
      <c r="H319" s="446">
        <v>647111.11</v>
      </c>
      <c r="I319" s="442">
        <v>1.0717703291432819</v>
      </c>
      <c r="J319" s="442">
        <v>1444.4444419642857</v>
      </c>
      <c r="K319" s="446">
        <v>418</v>
      </c>
      <c r="L319" s="446">
        <v>603777.77999999991</v>
      </c>
      <c r="M319" s="442">
        <v>1</v>
      </c>
      <c r="N319" s="442">
        <v>1444.4444497607653</v>
      </c>
      <c r="O319" s="446">
        <v>370</v>
      </c>
      <c r="P319" s="446">
        <v>590604.43999999994</v>
      </c>
      <c r="Q319" s="469">
        <v>0.97818180722053072</v>
      </c>
      <c r="R319" s="447">
        <v>1596.228216216216</v>
      </c>
    </row>
    <row r="320" spans="1:18" ht="14.45" customHeight="1" x14ac:dyDescent="0.2">
      <c r="A320" s="441"/>
      <c r="B320" s="442" t="s">
        <v>1903</v>
      </c>
      <c r="C320" s="442" t="s">
        <v>1680</v>
      </c>
      <c r="D320" s="442" t="s">
        <v>1773</v>
      </c>
      <c r="E320" s="442" t="s">
        <v>1820</v>
      </c>
      <c r="F320" s="442" t="s">
        <v>1821</v>
      </c>
      <c r="G320" s="446"/>
      <c r="H320" s="446"/>
      <c r="I320" s="442"/>
      <c r="J320" s="442"/>
      <c r="K320" s="446">
        <v>0</v>
      </c>
      <c r="L320" s="446">
        <v>0</v>
      </c>
      <c r="M320" s="442"/>
      <c r="N320" s="442"/>
      <c r="O320" s="446"/>
      <c r="P320" s="446"/>
      <c r="Q320" s="469"/>
      <c r="R320" s="447"/>
    </row>
    <row r="321" spans="1:18" ht="14.45" customHeight="1" x14ac:dyDescent="0.2">
      <c r="A321" s="441"/>
      <c r="B321" s="442" t="s">
        <v>1903</v>
      </c>
      <c r="C321" s="442" t="s">
        <v>1680</v>
      </c>
      <c r="D321" s="442" t="s">
        <v>1773</v>
      </c>
      <c r="E321" s="442" t="s">
        <v>1824</v>
      </c>
      <c r="F321" s="442" t="s">
        <v>1825</v>
      </c>
      <c r="G321" s="446">
        <v>6</v>
      </c>
      <c r="H321" s="446">
        <v>566.66</v>
      </c>
      <c r="I321" s="442">
        <v>0.42856710683547372</v>
      </c>
      <c r="J321" s="442">
        <v>94.443333333333328</v>
      </c>
      <c r="K321" s="446">
        <v>14</v>
      </c>
      <c r="L321" s="446">
        <v>1322.2199999999998</v>
      </c>
      <c r="M321" s="442">
        <v>1</v>
      </c>
      <c r="N321" s="442">
        <v>94.444285714285698</v>
      </c>
      <c r="O321" s="446">
        <v>11</v>
      </c>
      <c r="P321" s="446">
        <v>1255.55</v>
      </c>
      <c r="Q321" s="469">
        <v>0.94957722618021223</v>
      </c>
      <c r="R321" s="447">
        <v>114.14090909090909</v>
      </c>
    </row>
    <row r="322" spans="1:18" ht="14.45" customHeight="1" x14ac:dyDescent="0.2">
      <c r="A322" s="441"/>
      <c r="B322" s="442" t="s">
        <v>1903</v>
      </c>
      <c r="C322" s="442" t="s">
        <v>1680</v>
      </c>
      <c r="D322" s="442" t="s">
        <v>1773</v>
      </c>
      <c r="E322" s="442" t="s">
        <v>1828</v>
      </c>
      <c r="F322" s="442" t="s">
        <v>1829</v>
      </c>
      <c r="G322" s="446">
        <v>20</v>
      </c>
      <c r="H322" s="446">
        <v>1933.3399999999997</v>
      </c>
      <c r="I322" s="442">
        <v>2.2222298850574709</v>
      </c>
      <c r="J322" s="442">
        <v>96.666999999999987</v>
      </c>
      <c r="K322" s="446">
        <v>9</v>
      </c>
      <c r="L322" s="446">
        <v>870</v>
      </c>
      <c r="M322" s="442">
        <v>1</v>
      </c>
      <c r="N322" s="442">
        <v>96.666666666666671</v>
      </c>
      <c r="O322" s="446">
        <v>7</v>
      </c>
      <c r="P322" s="446">
        <v>1072.22</v>
      </c>
      <c r="Q322" s="469">
        <v>1.2324367816091955</v>
      </c>
      <c r="R322" s="447">
        <v>153.17428571428573</v>
      </c>
    </row>
    <row r="323" spans="1:18" ht="14.45" customHeight="1" x14ac:dyDescent="0.2">
      <c r="A323" s="441"/>
      <c r="B323" s="442" t="s">
        <v>1903</v>
      </c>
      <c r="C323" s="442" t="s">
        <v>1680</v>
      </c>
      <c r="D323" s="442" t="s">
        <v>1773</v>
      </c>
      <c r="E323" s="442" t="s">
        <v>1946</v>
      </c>
      <c r="F323" s="442" t="s">
        <v>1947</v>
      </c>
      <c r="G323" s="446">
        <v>411</v>
      </c>
      <c r="H323" s="446">
        <v>143850</v>
      </c>
      <c r="I323" s="442">
        <v>1.0458015267175573</v>
      </c>
      <c r="J323" s="442">
        <v>350</v>
      </c>
      <c r="K323" s="446">
        <v>393</v>
      </c>
      <c r="L323" s="446">
        <v>137550</v>
      </c>
      <c r="M323" s="442">
        <v>1</v>
      </c>
      <c r="N323" s="442">
        <v>350</v>
      </c>
      <c r="O323" s="446">
        <v>422</v>
      </c>
      <c r="P323" s="446">
        <v>164863.33000000002</v>
      </c>
      <c r="Q323" s="469">
        <v>1.1985701926572156</v>
      </c>
      <c r="R323" s="447">
        <v>390.67139810426545</v>
      </c>
    </row>
    <row r="324" spans="1:18" ht="14.45" customHeight="1" x14ac:dyDescent="0.2">
      <c r="A324" s="441"/>
      <c r="B324" s="442" t="s">
        <v>1903</v>
      </c>
      <c r="C324" s="442" t="s">
        <v>1680</v>
      </c>
      <c r="D324" s="442" t="s">
        <v>1773</v>
      </c>
      <c r="E324" s="442" t="s">
        <v>1948</v>
      </c>
      <c r="F324" s="442" t="s">
        <v>1949</v>
      </c>
      <c r="G324" s="446">
        <v>34</v>
      </c>
      <c r="H324" s="446">
        <v>2002.23</v>
      </c>
      <c r="I324" s="442">
        <v>1.3599980981232551</v>
      </c>
      <c r="J324" s="442">
        <v>58.889117647058825</v>
      </c>
      <c r="K324" s="446">
        <v>25</v>
      </c>
      <c r="L324" s="446">
        <v>1472.23</v>
      </c>
      <c r="M324" s="442">
        <v>1</v>
      </c>
      <c r="N324" s="442">
        <v>58.889200000000002</v>
      </c>
      <c r="O324" s="446">
        <v>37</v>
      </c>
      <c r="P324" s="446">
        <v>2577.7799999999997</v>
      </c>
      <c r="Q324" s="469">
        <v>1.750935655434273</v>
      </c>
      <c r="R324" s="447">
        <v>69.669729729729724</v>
      </c>
    </row>
    <row r="325" spans="1:18" ht="14.45" customHeight="1" x14ac:dyDescent="0.2">
      <c r="A325" s="441"/>
      <c r="B325" s="442" t="s">
        <v>1903</v>
      </c>
      <c r="C325" s="442" t="s">
        <v>1680</v>
      </c>
      <c r="D325" s="442" t="s">
        <v>1773</v>
      </c>
      <c r="E325" s="442" t="s">
        <v>1950</v>
      </c>
      <c r="F325" s="442" t="s">
        <v>1951</v>
      </c>
      <c r="G325" s="446">
        <v>603</v>
      </c>
      <c r="H325" s="446">
        <v>77720</v>
      </c>
      <c r="I325" s="442">
        <v>1.0272572100318038</v>
      </c>
      <c r="J325" s="442">
        <v>128.88888888888889</v>
      </c>
      <c r="K325" s="446">
        <v>587</v>
      </c>
      <c r="L325" s="446">
        <v>75657.78</v>
      </c>
      <c r="M325" s="442">
        <v>1</v>
      </c>
      <c r="N325" s="442">
        <v>128.8888926746167</v>
      </c>
      <c r="O325" s="446">
        <v>588</v>
      </c>
      <c r="P325" s="446">
        <v>87047.77</v>
      </c>
      <c r="Q325" s="469">
        <v>1.1505461830891681</v>
      </c>
      <c r="R325" s="447">
        <v>148.04042517006803</v>
      </c>
    </row>
    <row r="326" spans="1:18" ht="14.45" customHeight="1" x14ac:dyDescent="0.2">
      <c r="A326" s="441"/>
      <c r="B326" s="442" t="s">
        <v>1903</v>
      </c>
      <c r="C326" s="442" t="s">
        <v>1680</v>
      </c>
      <c r="D326" s="442" t="s">
        <v>1773</v>
      </c>
      <c r="E326" s="442" t="s">
        <v>1837</v>
      </c>
      <c r="F326" s="442" t="s">
        <v>1838</v>
      </c>
      <c r="G326" s="446">
        <v>1940</v>
      </c>
      <c r="H326" s="446">
        <v>94844.44</v>
      </c>
      <c r="I326" s="442">
        <v>0.9061186898771485</v>
      </c>
      <c r="J326" s="442">
        <v>48.888886597938146</v>
      </c>
      <c r="K326" s="446">
        <v>2141</v>
      </c>
      <c r="L326" s="446">
        <v>104671.1</v>
      </c>
      <c r="M326" s="442">
        <v>1</v>
      </c>
      <c r="N326" s="442">
        <v>48.888883699205984</v>
      </c>
      <c r="O326" s="446">
        <v>1844</v>
      </c>
      <c r="P326" s="446">
        <v>140322.22</v>
      </c>
      <c r="Q326" s="469">
        <v>1.3406013694324412</v>
      </c>
      <c r="R326" s="447">
        <v>76.096648590021687</v>
      </c>
    </row>
    <row r="327" spans="1:18" ht="14.45" customHeight="1" x14ac:dyDescent="0.2">
      <c r="A327" s="441"/>
      <c r="B327" s="442" t="s">
        <v>1903</v>
      </c>
      <c r="C327" s="442" t="s">
        <v>1680</v>
      </c>
      <c r="D327" s="442" t="s">
        <v>1773</v>
      </c>
      <c r="E327" s="442" t="s">
        <v>1952</v>
      </c>
      <c r="F327" s="442" t="s">
        <v>1953</v>
      </c>
      <c r="G327" s="446">
        <v>2032</v>
      </c>
      <c r="H327" s="446">
        <v>1806222.22</v>
      </c>
      <c r="I327" s="442">
        <v>0.95443870972739753</v>
      </c>
      <c r="J327" s="442">
        <v>888.88888779527554</v>
      </c>
      <c r="K327" s="446">
        <v>2129</v>
      </c>
      <c r="L327" s="446">
        <v>1892444.4299999997</v>
      </c>
      <c r="M327" s="442">
        <v>1</v>
      </c>
      <c r="N327" s="442">
        <v>888.88888210427422</v>
      </c>
      <c r="O327" s="446">
        <v>1980</v>
      </c>
      <c r="P327" s="446">
        <v>1947888.89</v>
      </c>
      <c r="Q327" s="469">
        <v>1.0292978008342364</v>
      </c>
      <c r="R327" s="447">
        <v>983.78226767676767</v>
      </c>
    </row>
    <row r="328" spans="1:18" ht="14.45" customHeight="1" x14ac:dyDescent="0.2">
      <c r="A328" s="441"/>
      <c r="B328" s="442" t="s">
        <v>1903</v>
      </c>
      <c r="C328" s="442" t="s">
        <v>1680</v>
      </c>
      <c r="D328" s="442" t="s">
        <v>1773</v>
      </c>
      <c r="E328" s="442" t="s">
        <v>1954</v>
      </c>
      <c r="F328" s="442" t="s">
        <v>1955</v>
      </c>
      <c r="G328" s="446">
        <v>32</v>
      </c>
      <c r="H328" s="446">
        <v>10666.66</v>
      </c>
      <c r="I328" s="442">
        <v>0.69565189035910657</v>
      </c>
      <c r="J328" s="442">
        <v>333.333125</v>
      </c>
      <c r="K328" s="446">
        <v>46</v>
      </c>
      <c r="L328" s="446">
        <v>15333.33</v>
      </c>
      <c r="M328" s="442">
        <v>1</v>
      </c>
      <c r="N328" s="442">
        <v>333.33326086956521</v>
      </c>
      <c r="O328" s="446">
        <v>175</v>
      </c>
      <c r="P328" s="446">
        <v>66713.34</v>
      </c>
      <c r="Q328" s="469">
        <v>4.3508709458415096</v>
      </c>
      <c r="R328" s="447">
        <v>381.21908571428571</v>
      </c>
    </row>
    <row r="329" spans="1:18" ht="14.45" customHeight="1" thickBot="1" x14ac:dyDescent="0.25">
      <c r="A329" s="448"/>
      <c r="B329" s="449" t="s">
        <v>1903</v>
      </c>
      <c r="C329" s="449" t="s">
        <v>1680</v>
      </c>
      <c r="D329" s="449" t="s">
        <v>1773</v>
      </c>
      <c r="E329" s="449" t="s">
        <v>1849</v>
      </c>
      <c r="F329" s="449" t="s">
        <v>1850</v>
      </c>
      <c r="G329" s="453"/>
      <c r="H329" s="453"/>
      <c r="I329" s="449"/>
      <c r="J329" s="449"/>
      <c r="K329" s="453"/>
      <c r="L329" s="453"/>
      <c r="M329" s="449"/>
      <c r="N329" s="449"/>
      <c r="O329" s="453">
        <v>6</v>
      </c>
      <c r="P329" s="453">
        <v>373.33000000000004</v>
      </c>
      <c r="Q329" s="461"/>
      <c r="R329" s="454">
        <v>62.221666666666671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DFB1AFFB-1755-430F-8F2D-5904B665A38F}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329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14" customWidth="1"/>
    <col min="2" max="2" width="8.7109375" style="114" bestFit="1" customWidth="1"/>
    <col min="3" max="3" width="6.140625" style="114" customWidth="1"/>
    <col min="4" max="4" width="27.7109375" style="114" customWidth="1"/>
    <col min="5" max="5" width="2.140625" style="114" bestFit="1" customWidth="1"/>
    <col min="6" max="6" width="8" style="114" customWidth="1"/>
    <col min="7" max="7" width="50.85546875" style="114" bestFit="1" customWidth="1" collapsed="1"/>
    <col min="8" max="9" width="11.140625" style="189" hidden="1" customWidth="1" outlineLevel="1"/>
    <col min="10" max="11" width="9.28515625" style="114" hidden="1" customWidth="1"/>
    <col min="12" max="13" width="11.140625" style="189" customWidth="1"/>
    <col min="14" max="15" width="9.28515625" style="114" hidden="1" customWidth="1"/>
    <col min="16" max="17" width="11.140625" style="189" customWidth="1"/>
    <col min="18" max="18" width="11.140625" style="192" customWidth="1"/>
    <col min="19" max="19" width="11.140625" style="189" customWidth="1"/>
    <col min="20" max="16384" width="8.85546875" style="114"/>
  </cols>
  <sheetData>
    <row r="1" spans="1:19" ht="18.600000000000001" customHeight="1" thickBot="1" x14ac:dyDescent="0.35">
      <c r="A1" s="304" t="s">
        <v>1957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</row>
    <row r="2" spans="1:19" ht="14.45" customHeight="1" thickBot="1" x14ac:dyDescent="0.25">
      <c r="A2" s="207" t="s">
        <v>242</v>
      </c>
      <c r="B2" s="179"/>
      <c r="C2" s="179"/>
      <c r="D2" s="179"/>
      <c r="E2" s="96"/>
      <c r="F2" s="96"/>
      <c r="G2" s="96"/>
      <c r="H2" s="205"/>
      <c r="I2" s="205"/>
      <c r="J2" s="96"/>
      <c r="K2" s="96"/>
      <c r="L2" s="205"/>
      <c r="M2" s="205"/>
      <c r="N2" s="96"/>
      <c r="O2" s="96"/>
      <c r="P2" s="205"/>
      <c r="Q2" s="205"/>
      <c r="R2" s="204"/>
      <c r="S2" s="205"/>
    </row>
    <row r="3" spans="1:19" ht="14.45" customHeight="1" thickBot="1" x14ac:dyDescent="0.25">
      <c r="G3" s="73" t="s">
        <v>107</v>
      </c>
      <c r="H3" s="88">
        <f t="shared" ref="H3:Q3" si="0">SUBTOTAL(9,H6:H1048576)</f>
        <v>58694</v>
      </c>
      <c r="I3" s="89">
        <f t="shared" si="0"/>
        <v>15211378.870000003</v>
      </c>
      <c r="J3" s="66"/>
      <c r="K3" s="66"/>
      <c r="L3" s="89">
        <f t="shared" si="0"/>
        <v>49949</v>
      </c>
      <c r="M3" s="89">
        <f t="shared" si="0"/>
        <v>14643294.209999995</v>
      </c>
      <c r="N3" s="66"/>
      <c r="O3" s="66"/>
      <c r="P3" s="89">
        <f t="shared" si="0"/>
        <v>50042</v>
      </c>
      <c r="Q3" s="89">
        <f t="shared" si="0"/>
        <v>15915638.109999999</v>
      </c>
      <c r="R3" s="67">
        <f>IF(M3=0,0,Q3/M3)</f>
        <v>1.086889185025806</v>
      </c>
      <c r="S3" s="90">
        <f>IF(P3=0,0,Q3/P3)</f>
        <v>318.04560389273007</v>
      </c>
    </row>
    <row r="4" spans="1:19" ht="14.45" customHeight="1" x14ac:dyDescent="0.2">
      <c r="A4" s="406" t="s">
        <v>183</v>
      </c>
      <c r="B4" s="406" t="s">
        <v>81</v>
      </c>
      <c r="C4" s="414" t="s">
        <v>0</v>
      </c>
      <c r="D4" s="241" t="s">
        <v>115</v>
      </c>
      <c r="E4" s="408" t="s">
        <v>82</v>
      </c>
      <c r="F4" s="413" t="s">
        <v>57</v>
      </c>
      <c r="G4" s="409" t="s">
        <v>56</v>
      </c>
      <c r="H4" s="410">
        <v>2018</v>
      </c>
      <c r="I4" s="411"/>
      <c r="J4" s="87"/>
      <c r="K4" s="87"/>
      <c r="L4" s="410">
        <v>2019</v>
      </c>
      <c r="M4" s="411"/>
      <c r="N4" s="87"/>
      <c r="O4" s="87"/>
      <c r="P4" s="410">
        <v>2020</v>
      </c>
      <c r="Q4" s="411"/>
      <c r="R4" s="412" t="s">
        <v>2</v>
      </c>
      <c r="S4" s="407" t="s">
        <v>83</v>
      </c>
    </row>
    <row r="5" spans="1:19" ht="14.45" customHeight="1" thickBot="1" x14ac:dyDescent="0.25">
      <c r="A5" s="522"/>
      <c r="B5" s="522"/>
      <c r="C5" s="523"/>
      <c r="D5" s="532"/>
      <c r="E5" s="524"/>
      <c r="F5" s="525"/>
      <c r="G5" s="526"/>
      <c r="H5" s="527" t="s">
        <v>58</v>
      </c>
      <c r="I5" s="528" t="s">
        <v>14</v>
      </c>
      <c r="J5" s="529"/>
      <c r="K5" s="529"/>
      <c r="L5" s="527" t="s">
        <v>58</v>
      </c>
      <c r="M5" s="528" t="s">
        <v>14</v>
      </c>
      <c r="N5" s="529"/>
      <c r="O5" s="529"/>
      <c r="P5" s="527" t="s">
        <v>58</v>
      </c>
      <c r="Q5" s="528" t="s">
        <v>14</v>
      </c>
      <c r="R5" s="530"/>
      <c r="S5" s="531"/>
    </row>
    <row r="6" spans="1:19" ht="14.45" customHeight="1" x14ac:dyDescent="0.2">
      <c r="A6" s="434"/>
      <c r="B6" s="435" t="s">
        <v>1688</v>
      </c>
      <c r="C6" s="435" t="s">
        <v>444</v>
      </c>
      <c r="D6" s="435" t="s">
        <v>1679</v>
      </c>
      <c r="E6" s="435" t="s">
        <v>1689</v>
      </c>
      <c r="F6" s="435" t="s">
        <v>1690</v>
      </c>
      <c r="G6" s="435"/>
      <c r="H6" s="439">
        <v>2</v>
      </c>
      <c r="I6" s="439">
        <v>226</v>
      </c>
      <c r="J6" s="435">
        <v>1</v>
      </c>
      <c r="K6" s="435">
        <v>113</v>
      </c>
      <c r="L6" s="439">
        <v>2</v>
      </c>
      <c r="M6" s="439">
        <v>226</v>
      </c>
      <c r="N6" s="435">
        <v>1</v>
      </c>
      <c r="O6" s="435">
        <v>113</v>
      </c>
      <c r="P6" s="439"/>
      <c r="Q6" s="439"/>
      <c r="R6" s="460"/>
      <c r="S6" s="440"/>
    </row>
    <row r="7" spans="1:19" ht="14.45" customHeight="1" x14ac:dyDescent="0.2">
      <c r="A7" s="441"/>
      <c r="B7" s="442" t="s">
        <v>1688</v>
      </c>
      <c r="C7" s="442" t="s">
        <v>444</v>
      </c>
      <c r="D7" s="442" t="s">
        <v>1679</v>
      </c>
      <c r="E7" s="442" t="s">
        <v>1689</v>
      </c>
      <c r="F7" s="442" t="s">
        <v>1691</v>
      </c>
      <c r="G7" s="442"/>
      <c r="H7" s="446">
        <v>3</v>
      </c>
      <c r="I7" s="446">
        <v>999</v>
      </c>
      <c r="J7" s="442"/>
      <c r="K7" s="442">
        <v>333</v>
      </c>
      <c r="L7" s="446"/>
      <c r="M7" s="446"/>
      <c r="N7" s="442"/>
      <c r="O7" s="442"/>
      <c r="P7" s="446"/>
      <c r="Q7" s="446"/>
      <c r="R7" s="469"/>
      <c r="S7" s="447"/>
    </row>
    <row r="8" spans="1:19" ht="14.45" customHeight="1" x14ac:dyDescent="0.2">
      <c r="A8" s="441"/>
      <c r="B8" s="442" t="s">
        <v>1688</v>
      </c>
      <c r="C8" s="442" t="s">
        <v>444</v>
      </c>
      <c r="D8" s="442" t="s">
        <v>1679</v>
      </c>
      <c r="E8" s="442" t="s">
        <v>1689</v>
      </c>
      <c r="F8" s="442" t="s">
        <v>1692</v>
      </c>
      <c r="G8" s="442"/>
      <c r="H8" s="446"/>
      <c r="I8" s="446"/>
      <c r="J8" s="442"/>
      <c r="K8" s="442"/>
      <c r="L8" s="446">
        <v>1</v>
      </c>
      <c r="M8" s="446">
        <v>1657</v>
      </c>
      <c r="N8" s="442">
        <v>1</v>
      </c>
      <c r="O8" s="442">
        <v>1657</v>
      </c>
      <c r="P8" s="446"/>
      <c r="Q8" s="446"/>
      <c r="R8" s="469"/>
      <c r="S8" s="447"/>
    </row>
    <row r="9" spans="1:19" ht="14.45" customHeight="1" x14ac:dyDescent="0.2">
      <c r="A9" s="441"/>
      <c r="B9" s="442" t="s">
        <v>1688</v>
      </c>
      <c r="C9" s="442" t="s">
        <v>444</v>
      </c>
      <c r="D9" s="442" t="s">
        <v>1679</v>
      </c>
      <c r="E9" s="442" t="s">
        <v>1689</v>
      </c>
      <c r="F9" s="442" t="s">
        <v>1693</v>
      </c>
      <c r="G9" s="442"/>
      <c r="H9" s="446">
        <v>81</v>
      </c>
      <c r="I9" s="446">
        <v>9153</v>
      </c>
      <c r="J9" s="442">
        <v>1</v>
      </c>
      <c r="K9" s="442">
        <v>113</v>
      </c>
      <c r="L9" s="446">
        <v>81</v>
      </c>
      <c r="M9" s="446">
        <v>9153</v>
      </c>
      <c r="N9" s="442">
        <v>1</v>
      </c>
      <c r="O9" s="442">
        <v>113</v>
      </c>
      <c r="P9" s="446">
        <v>88</v>
      </c>
      <c r="Q9" s="446">
        <v>9944</v>
      </c>
      <c r="R9" s="469">
        <v>1.0864197530864197</v>
      </c>
      <c r="S9" s="447">
        <v>113</v>
      </c>
    </row>
    <row r="10" spans="1:19" ht="14.45" customHeight="1" x14ac:dyDescent="0.2">
      <c r="A10" s="441"/>
      <c r="B10" s="442" t="s">
        <v>1688</v>
      </c>
      <c r="C10" s="442" t="s">
        <v>444</v>
      </c>
      <c r="D10" s="442" t="s">
        <v>1679</v>
      </c>
      <c r="E10" s="442" t="s">
        <v>1689</v>
      </c>
      <c r="F10" s="442" t="s">
        <v>1694</v>
      </c>
      <c r="G10" s="442"/>
      <c r="H10" s="446">
        <v>1</v>
      </c>
      <c r="I10" s="446">
        <v>132</v>
      </c>
      <c r="J10" s="442"/>
      <c r="K10" s="442">
        <v>132</v>
      </c>
      <c r="L10" s="446"/>
      <c r="M10" s="446"/>
      <c r="N10" s="442"/>
      <c r="O10" s="442"/>
      <c r="P10" s="446">
        <v>1</v>
      </c>
      <c r="Q10" s="446">
        <v>132</v>
      </c>
      <c r="R10" s="469"/>
      <c r="S10" s="447">
        <v>132</v>
      </c>
    </row>
    <row r="11" spans="1:19" ht="14.45" customHeight="1" x14ac:dyDescent="0.2">
      <c r="A11" s="441"/>
      <c r="B11" s="442" t="s">
        <v>1688</v>
      </c>
      <c r="C11" s="442" t="s">
        <v>444</v>
      </c>
      <c r="D11" s="442" t="s">
        <v>1679</v>
      </c>
      <c r="E11" s="442" t="s">
        <v>1689</v>
      </c>
      <c r="F11" s="442" t="s">
        <v>1695</v>
      </c>
      <c r="G11" s="442"/>
      <c r="H11" s="446">
        <v>4</v>
      </c>
      <c r="I11" s="446">
        <v>624</v>
      </c>
      <c r="J11" s="442"/>
      <c r="K11" s="442">
        <v>156</v>
      </c>
      <c r="L11" s="446"/>
      <c r="M11" s="446"/>
      <c r="N11" s="442"/>
      <c r="O11" s="442"/>
      <c r="P11" s="446"/>
      <c r="Q11" s="446"/>
      <c r="R11" s="469"/>
      <c r="S11" s="447"/>
    </row>
    <row r="12" spans="1:19" ht="14.45" customHeight="1" x14ac:dyDescent="0.2">
      <c r="A12" s="441"/>
      <c r="B12" s="442" t="s">
        <v>1688</v>
      </c>
      <c r="C12" s="442" t="s">
        <v>444</v>
      </c>
      <c r="D12" s="442" t="s">
        <v>1679</v>
      </c>
      <c r="E12" s="442" t="s">
        <v>1689</v>
      </c>
      <c r="F12" s="442" t="s">
        <v>1696</v>
      </c>
      <c r="G12" s="442"/>
      <c r="H12" s="446">
        <v>2</v>
      </c>
      <c r="I12" s="446">
        <v>438</v>
      </c>
      <c r="J12" s="442">
        <v>2</v>
      </c>
      <c r="K12" s="442">
        <v>219</v>
      </c>
      <c r="L12" s="446">
        <v>1</v>
      </c>
      <c r="M12" s="446">
        <v>219</v>
      </c>
      <c r="N12" s="442">
        <v>1</v>
      </c>
      <c r="O12" s="442">
        <v>219</v>
      </c>
      <c r="P12" s="446">
        <v>5</v>
      </c>
      <c r="Q12" s="446">
        <v>1095</v>
      </c>
      <c r="R12" s="469">
        <v>5</v>
      </c>
      <c r="S12" s="447">
        <v>219</v>
      </c>
    </row>
    <row r="13" spans="1:19" ht="14.45" customHeight="1" x14ac:dyDescent="0.2">
      <c r="A13" s="441"/>
      <c r="B13" s="442" t="s">
        <v>1688</v>
      </c>
      <c r="C13" s="442" t="s">
        <v>444</v>
      </c>
      <c r="D13" s="442" t="s">
        <v>1679</v>
      </c>
      <c r="E13" s="442" t="s">
        <v>1689</v>
      </c>
      <c r="F13" s="442" t="s">
        <v>1697</v>
      </c>
      <c r="G13" s="442"/>
      <c r="H13" s="446">
        <v>2</v>
      </c>
      <c r="I13" s="446">
        <v>472</v>
      </c>
      <c r="J13" s="442">
        <v>1</v>
      </c>
      <c r="K13" s="442">
        <v>236</v>
      </c>
      <c r="L13" s="446">
        <v>2</v>
      </c>
      <c r="M13" s="446">
        <v>472</v>
      </c>
      <c r="N13" s="442">
        <v>1</v>
      </c>
      <c r="O13" s="442">
        <v>236</v>
      </c>
      <c r="P13" s="446">
        <v>4</v>
      </c>
      <c r="Q13" s="446">
        <v>944</v>
      </c>
      <c r="R13" s="469">
        <v>2</v>
      </c>
      <c r="S13" s="447">
        <v>236</v>
      </c>
    </row>
    <row r="14" spans="1:19" ht="14.45" customHeight="1" x14ac:dyDescent="0.2">
      <c r="A14" s="441"/>
      <c r="B14" s="442" t="s">
        <v>1688</v>
      </c>
      <c r="C14" s="442" t="s">
        <v>444</v>
      </c>
      <c r="D14" s="442" t="s">
        <v>1679</v>
      </c>
      <c r="E14" s="442" t="s">
        <v>1689</v>
      </c>
      <c r="F14" s="442" t="s">
        <v>1698</v>
      </c>
      <c r="G14" s="442"/>
      <c r="H14" s="446">
        <v>19</v>
      </c>
      <c r="I14" s="446">
        <v>2964</v>
      </c>
      <c r="J14" s="442">
        <v>2.1111111111111112</v>
      </c>
      <c r="K14" s="442">
        <v>156</v>
      </c>
      <c r="L14" s="446">
        <v>9</v>
      </c>
      <c r="M14" s="446">
        <v>1404</v>
      </c>
      <c r="N14" s="442">
        <v>1</v>
      </c>
      <c r="O14" s="442">
        <v>156</v>
      </c>
      <c r="P14" s="446">
        <v>9</v>
      </c>
      <c r="Q14" s="446">
        <v>1404</v>
      </c>
      <c r="R14" s="469">
        <v>1</v>
      </c>
      <c r="S14" s="447">
        <v>156</v>
      </c>
    </row>
    <row r="15" spans="1:19" ht="14.45" customHeight="1" x14ac:dyDescent="0.2">
      <c r="A15" s="441"/>
      <c r="B15" s="442" t="s">
        <v>1688</v>
      </c>
      <c r="C15" s="442" t="s">
        <v>444</v>
      </c>
      <c r="D15" s="442" t="s">
        <v>1679</v>
      </c>
      <c r="E15" s="442" t="s">
        <v>1689</v>
      </c>
      <c r="F15" s="442" t="s">
        <v>1699</v>
      </c>
      <c r="G15" s="442"/>
      <c r="H15" s="446">
        <v>13</v>
      </c>
      <c r="I15" s="446">
        <v>2470</v>
      </c>
      <c r="J15" s="442">
        <v>0.9285714285714286</v>
      </c>
      <c r="K15" s="442">
        <v>190</v>
      </c>
      <c r="L15" s="446">
        <v>14</v>
      </c>
      <c r="M15" s="446">
        <v>2660</v>
      </c>
      <c r="N15" s="442">
        <v>1</v>
      </c>
      <c r="O15" s="442">
        <v>190</v>
      </c>
      <c r="P15" s="446">
        <v>9</v>
      </c>
      <c r="Q15" s="446">
        <v>1710</v>
      </c>
      <c r="R15" s="469">
        <v>0.6428571428571429</v>
      </c>
      <c r="S15" s="447">
        <v>190</v>
      </c>
    </row>
    <row r="16" spans="1:19" ht="14.45" customHeight="1" x14ac:dyDescent="0.2">
      <c r="A16" s="441"/>
      <c r="B16" s="442" t="s">
        <v>1688</v>
      </c>
      <c r="C16" s="442" t="s">
        <v>444</v>
      </c>
      <c r="D16" s="442" t="s">
        <v>1679</v>
      </c>
      <c r="E16" s="442" t="s">
        <v>1689</v>
      </c>
      <c r="F16" s="442" t="s">
        <v>1700</v>
      </c>
      <c r="G16" s="442"/>
      <c r="H16" s="446">
        <v>7</v>
      </c>
      <c r="I16" s="446">
        <v>588</v>
      </c>
      <c r="J16" s="442">
        <v>2.3333333333333335</v>
      </c>
      <c r="K16" s="442">
        <v>84</v>
      </c>
      <c r="L16" s="446">
        <v>3</v>
      </c>
      <c r="M16" s="446">
        <v>252</v>
      </c>
      <c r="N16" s="442">
        <v>1</v>
      </c>
      <c r="O16" s="442">
        <v>84</v>
      </c>
      <c r="P16" s="446">
        <v>5</v>
      </c>
      <c r="Q16" s="446">
        <v>420</v>
      </c>
      <c r="R16" s="469">
        <v>1.6666666666666667</v>
      </c>
      <c r="S16" s="447">
        <v>84</v>
      </c>
    </row>
    <row r="17" spans="1:19" ht="14.45" customHeight="1" x14ac:dyDescent="0.2">
      <c r="A17" s="441"/>
      <c r="B17" s="442" t="s">
        <v>1688</v>
      </c>
      <c r="C17" s="442" t="s">
        <v>444</v>
      </c>
      <c r="D17" s="442" t="s">
        <v>1679</v>
      </c>
      <c r="E17" s="442" t="s">
        <v>1689</v>
      </c>
      <c r="F17" s="442" t="s">
        <v>1701</v>
      </c>
      <c r="G17" s="442"/>
      <c r="H17" s="446">
        <v>1</v>
      </c>
      <c r="I17" s="446">
        <v>105</v>
      </c>
      <c r="J17" s="442">
        <v>9.0909090909090912E-2</v>
      </c>
      <c r="K17" s="442">
        <v>105</v>
      </c>
      <c r="L17" s="446">
        <v>11</v>
      </c>
      <c r="M17" s="446">
        <v>1155</v>
      </c>
      <c r="N17" s="442">
        <v>1</v>
      </c>
      <c r="O17" s="442">
        <v>105</v>
      </c>
      <c r="P17" s="446">
        <v>6</v>
      </c>
      <c r="Q17" s="446">
        <v>630</v>
      </c>
      <c r="R17" s="469">
        <v>0.54545454545454541</v>
      </c>
      <c r="S17" s="447">
        <v>105</v>
      </c>
    </row>
    <row r="18" spans="1:19" ht="14.45" customHeight="1" x14ac:dyDescent="0.2">
      <c r="A18" s="441"/>
      <c r="B18" s="442" t="s">
        <v>1688</v>
      </c>
      <c r="C18" s="442" t="s">
        <v>444</v>
      </c>
      <c r="D18" s="442" t="s">
        <v>1679</v>
      </c>
      <c r="E18" s="442" t="s">
        <v>1689</v>
      </c>
      <c r="F18" s="442" t="s">
        <v>1702</v>
      </c>
      <c r="G18" s="442"/>
      <c r="H18" s="446">
        <v>13</v>
      </c>
      <c r="I18" s="446">
        <v>7748</v>
      </c>
      <c r="J18" s="442">
        <v>2.1666666666666665</v>
      </c>
      <c r="K18" s="442">
        <v>596</v>
      </c>
      <c r="L18" s="446">
        <v>6</v>
      </c>
      <c r="M18" s="446">
        <v>3576</v>
      </c>
      <c r="N18" s="442">
        <v>1</v>
      </c>
      <c r="O18" s="442">
        <v>596</v>
      </c>
      <c r="P18" s="446">
        <v>6</v>
      </c>
      <c r="Q18" s="446">
        <v>3576</v>
      </c>
      <c r="R18" s="469">
        <v>1</v>
      </c>
      <c r="S18" s="447">
        <v>596</v>
      </c>
    </row>
    <row r="19" spans="1:19" ht="14.45" customHeight="1" x14ac:dyDescent="0.2">
      <c r="A19" s="441"/>
      <c r="B19" s="442" t="s">
        <v>1688</v>
      </c>
      <c r="C19" s="442" t="s">
        <v>444</v>
      </c>
      <c r="D19" s="442" t="s">
        <v>1679</v>
      </c>
      <c r="E19" s="442" t="s">
        <v>1689</v>
      </c>
      <c r="F19" s="442" t="s">
        <v>1703</v>
      </c>
      <c r="G19" s="442"/>
      <c r="H19" s="446">
        <v>1</v>
      </c>
      <c r="I19" s="446">
        <v>666</v>
      </c>
      <c r="J19" s="442">
        <v>1</v>
      </c>
      <c r="K19" s="442">
        <v>666</v>
      </c>
      <c r="L19" s="446">
        <v>1</v>
      </c>
      <c r="M19" s="446">
        <v>666</v>
      </c>
      <c r="N19" s="442">
        <v>1</v>
      </c>
      <c r="O19" s="442">
        <v>666</v>
      </c>
      <c r="P19" s="446"/>
      <c r="Q19" s="446"/>
      <c r="R19" s="469"/>
      <c r="S19" s="447"/>
    </row>
    <row r="20" spans="1:19" ht="14.45" customHeight="1" x14ac:dyDescent="0.2">
      <c r="A20" s="441"/>
      <c r="B20" s="442" t="s">
        <v>1688</v>
      </c>
      <c r="C20" s="442" t="s">
        <v>444</v>
      </c>
      <c r="D20" s="442" t="s">
        <v>1679</v>
      </c>
      <c r="E20" s="442" t="s">
        <v>1689</v>
      </c>
      <c r="F20" s="442" t="s">
        <v>1704</v>
      </c>
      <c r="G20" s="442"/>
      <c r="H20" s="446">
        <v>8</v>
      </c>
      <c r="I20" s="446">
        <v>9376</v>
      </c>
      <c r="J20" s="442">
        <v>0.66666666666666663</v>
      </c>
      <c r="K20" s="442">
        <v>1172</v>
      </c>
      <c r="L20" s="446">
        <v>12</v>
      </c>
      <c r="M20" s="446">
        <v>14064</v>
      </c>
      <c r="N20" s="442">
        <v>1</v>
      </c>
      <c r="O20" s="442">
        <v>1172</v>
      </c>
      <c r="P20" s="446">
        <v>5</v>
      </c>
      <c r="Q20" s="446">
        <v>7280</v>
      </c>
      <c r="R20" s="469">
        <v>0.51763367463026166</v>
      </c>
      <c r="S20" s="447">
        <v>1456</v>
      </c>
    </row>
    <row r="21" spans="1:19" ht="14.45" customHeight="1" x14ac:dyDescent="0.2">
      <c r="A21" s="441"/>
      <c r="B21" s="442" t="s">
        <v>1688</v>
      </c>
      <c r="C21" s="442" t="s">
        <v>444</v>
      </c>
      <c r="D21" s="442" t="s">
        <v>1679</v>
      </c>
      <c r="E21" s="442" t="s">
        <v>1689</v>
      </c>
      <c r="F21" s="442" t="s">
        <v>1705</v>
      </c>
      <c r="G21" s="442"/>
      <c r="H21" s="446">
        <v>17</v>
      </c>
      <c r="I21" s="446">
        <v>13600</v>
      </c>
      <c r="J21" s="442">
        <v>1</v>
      </c>
      <c r="K21" s="442">
        <v>800</v>
      </c>
      <c r="L21" s="446">
        <v>17</v>
      </c>
      <c r="M21" s="446">
        <v>13600</v>
      </c>
      <c r="N21" s="442">
        <v>1</v>
      </c>
      <c r="O21" s="442">
        <v>800</v>
      </c>
      <c r="P21" s="446">
        <v>12</v>
      </c>
      <c r="Q21" s="446">
        <v>10800</v>
      </c>
      <c r="R21" s="469">
        <v>0.79411764705882348</v>
      </c>
      <c r="S21" s="447">
        <v>900</v>
      </c>
    </row>
    <row r="22" spans="1:19" ht="14.45" customHeight="1" x14ac:dyDescent="0.2">
      <c r="A22" s="441"/>
      <c r="B22" s="442" t="s">
        <v>1688</v>
      </c>
      <c r="C22" s="442" t="s">
        <v>444</v>
      </c>
      <c r="D22" s="442" t="s">
        <v>1679</v>
      </c>
      <c r="E22" s="442" t="s">
        <v>1689</v>
      </c>
      <c r="F22" s="442" t="s">
        <v>1706</v>
      </c>
      <c r="G22" s="442"/>
      <c r="H22" s="446">
        <v>1</v>
      </c>
      <c r="I22" s="446">
        <v>745</v>
      </c>
      <c r="J22" s="442">
        <v>0.1</v>
      </c>
      <c r="K22" s="442">
        <v>745</v>
      </c>
      <c r="L22" s="446">
        <v>10</v>
      </c>
      <c r="M22" s="446">
        <v>7450</v>
      </c>
      <c r="N22" s="442">
        <v>1</v>
      </c>
      <c r="O22" s="442">
        <v>745</v>
      </c>
      <c r="P22" s="446">
        <v>2</v>
      </c>
      <c r="Q22" s="446">
        <v>1490</v>
      </c>
      <c r="R22" s="469">
        <v>0.2</v>
      </c>
      <c r="S22" s="447">
        <v>745</v>
      </c>
    </row>
    <row r="23" spans="1:19" ht="14.45" customHeight="1" x14ac:dyDescent="0.2">
      <c r="A23" s="441"/>
      <c r="B23" s="442" t="s">
        <v>1688</v>
      </c>
      <c r="C23" s="442" t="s">
        <v>444</v>
      </c>
      <c r="D23" s="442" t="s">
        <v>1679</v>
      </c>
      <c r="E23" s="442" t="s">
        <v>1689</v>
      </c>
      <c r="F23" s="442" t="s">
        <v>1707</v>
      </c>
      <c r="G23" s="442"/>
      <c r="H23" s="446">
        <v>71</v>
      </c>
      <c r="I23" s="446">
        <v>52895</v>
      </c>
      <c r="J23" s="442">
        <v>1.5777777777777777</v>
      </c>
      <c r="K23" s="442">
        <v>745</v>
      </c>
      <c r="L23" s="446">
        <v>45</v>
      </c>
      <c r="M23" s="446">
        <v>33525</v>
      </c>
      <c r="N23" s="442">
        <v>1</v>
      </c>
      <c r="O23" s="442">
        <v>745</v>
      </c>
      <c r="P23" s="446">
        <v>53</v>
      </c>
      <c r="Q23" s="446">
        <v>39485</v>
      </c>
      <c r="R23" s="469">
        <v>1.1777777777777778</v>
      </c>
      <c r="S23" s="447">
        <v>745</v>
      </c>
    </row>
    <row r="24" spans="1:19" ht="14.45" customHeight="1" x14ac:dyDescent="0.2">
      <c r="A24" s="441"/>
      <c r="B24" s="442" t="s">
        <v>1688</v>
      </c>
      <c r="C24" s="442" t="s">
        <v>444</v>
      </c>
      <c r="D24" s="442" t="s">
        <v>1679</v>
      </c>
      <c r="E24" s="442" t="s">
        <v>1689</v>
      </c>
      <c r="F24" s="442" t="s">
        <v>1708</v>
      </c>
      <c r="G24" s="442"/>
      <c r="H24" s="446">
        <v>1</v>
      </c>
      <c r="I24" s="446">
        <v>592</v>
      </c>
      <c r="J24" s="442"/>
      <c r="K24" s="442">
        <v>592</v>
      </c>
      <c r="L24" s="446"/>
      <c r="M24" s="446"/>
      <c r="N24" s="442"/>
      <c r="O24" s="442"/>
      <c r="P24" s="446">
        <v>4</v>
      </c>
      <c r="Q24" s="446">
        <v>2368</v>
      </c>
      <c r="R24" s="469"/>
      <c r="S24" s="447">
        <v>592</v>
      </c>
    </row>
    <row r="25" spans="1:19" ht="14.45" customHeight="1" x14ac:dyDescent="0.2">
      <c r="A25" s="441"/>
      <c r="B25" s="442" t="s">
        <v>1688</v>
      </c>
      <c r="C25" s="442" t="s">
        <v>444</v>
      </c>
      <c r="D25" s="442" t="s">
        <v>1679</v>
      </c>
      <c r="E25" s="442" t="s">
        <v>1689</v>
      </c>
      <c r="F25" s="442" t="s">
        <v>1709</v>
      </c>
      <c r="G25" s="442"/>
      <c r="H25" s="446">
        <v>53</v>
      </c>
      <c r="I25" s="446">
        <v>29733</v>
      </c>
      <c r="J25" s="442">
        <v>0.81538461538461537</v>
      </c>
      <c r="K25" s="442">
        <v>561</v>
      </c>
      <c r="L25" s="446">
        <v>65</v>
      </c>
      <c r="M25" s="446">
        <v>36465</v>
      </c>
      <c r="N25" s="442">
        <v>1</v>
      </c>
      <c r="O25" s="442">
        <v>561</v>
      </c>
      <c r="P25" s="446">
        <v>26</v>
      </c>
      <c r="Q25" s="446">
        <v>14586</v>
      </c>
      <c r="R25" s="469">
        <v>0.4</v>
      </c>
      <c r="S25" s="447">
        <v>561</v>
      </c>
    </row>
    <row r="26" spans="1:19" ht="14.45" customHeight="1" x14ac:dyDescent="0.2">
      <c r="A26" s="441"/>
      <c r="B26" s="442" t="s">
        <v>1688</v>
      </c>
      <c r="C26" s="442" t="s">
        <v>444</v>
      </c>
      <c r="D26" s="442" t="s">
        <v>1679</v>
      </c>
      <c r="E26" s="442" t="s">
        <v>1689</v>
      </c>
      <c r="F26" s="442" t="s">
        <v>1710</v>
      </c>
      <c r="G26" s="442"/>
      <c r="H26" s="446">
        <v>63</v>
      </c>
      <c r="I26" s="446">
        <v>32697</v>
      </c>
      <c r="J26" s="442">
        <v>1.3695652173913044</v>
      </c>
      <c r="K26" s="442">
        <v>519</v>
      </c>
      <c r="L26" s="446">
        <v>46</v>
      </c>
      <c r="M26" s="446">
        <v>23874</v>
      </c>
      <c r="N26" s="442">
        <v>1</v>
      </c>
      <c r="O26" s="442">
        <v>519</v>
      </c>
      <c r="P26" s="446">
        <v>27</v>
      </c>
      <c r="Q26" s="446">
        <v>14013</v>
      </c>
      <c r="R26" s="469">
        <v>0.58695652173913049</v>
      </c>
      <c r="S26" s="447">
        <v>519</v>
      </c>
    </row>
    <row r="27" spans="1:19" ht="14.45" customHeight="1" x14ac:dyDescent="0.2">
      <c r="A27" s="441"/>
      <c r="B27" s="442" t="s">
        <v>1688</v>
      </c>
      <c r="C27" s="442" t="s">
        <v>444</v>
      </c>
      <c r="D27" s="442" t="s">
        <v>1679</v>
      </c>
      <c r="E27" s="442" t="s">
        <v>1689</v>
      </c>
      <c r="F27" s="442" t="s">
        <v>1711</v>
      </c>
      <c r="G27" s="442"/>
      <c r="H27" s="446">
        <v>4</v>
      </c>
      <c r="I27" s="446">
        <v>1284</v>
      </c>
      <c r="J27" s="442">
        <v>2</v>
      </c>
      <c r="K27" s="442">
        <v>321</v>
      </c>
      <c r="L27" s="446">
        <v>2</v>
      </c>
      <c r="M27" s="446">
        <v>642</v>
      </c>
      <c r="N27" s="442">
        <v>1</v>
      </c>
      <c r="O27" s="442">
        <v>321</v>
      </c>
      <c r="P27" s="446">
        <v>1</v>
      </c>
      <c r="Q27" s="446">
        <v>321</v>
      </c>
      <c r="R27" s="469">
        <v>0.5</v>
      </c>
      <c r="S27" s="447">
        <v>321</v>
      </c>
    </row>
    <row r="28" spans="1:19" ht="14.45" customHeight="1" x14ac:dyDescent="0.2">
      <c r="A28" s="441"/>
      <c r="B28" s="442" t="s">
        <v>1688</v>
      </c>
      <c r="C28" s="442" t="s">
        <v>444</v>
      </c>
      <c r="D28" s="442" t="s">
        <v>1679</v>
      </c>
      <c r="E28" s="442" t="s">
        <v>1689</v>
      </c>
      <c r="F28" s="442" t="s">
        <v>1712</v>
      </c>
      <c r="G28" s="442"/>
      <c r="H28" s="446">
        <v>14</v>
      </c>
      <c r="I28" s="446">
        <v>4494</v>
      </c>
      <c r="J28" s="442">
        <v>7</v>
      </c>
      <c r="K28" s="442">
        <v>321</v>
      </c>
      <c r="L28" s="446">
        <v>2</v>
      </c>
      <c r="M28" s="446">
        <v>642</v>
      </c>
      <c r="N28" s="442">
        <v>1</v>
      </c>
      <c r="O28" s="442">
        <v>321</v>
      </c>
      <c r="P28" s="446">
        <v>1</v>
      </c>
      <c r="Q28" s="446">
        <v>321</v>
      </c>
      <c r="R28" s="469">
        <v>0.5</v>
      </c>
      <c r="S28" s="447">
        <v>321</v>
      </c>
    </row>
    <row r="29" spans="1:19" ht="14.45" customHeight="1" x14ac:dyDescent="0.2">
      <c r="A29" s="441"/>
      <c r="B29" s="442" t="s">
        <v>1688</v>
      </c>
      <c r="C29" s="442" t="s">
        <v>444</v>
      </c>
      <c r="D29" s="442" t="s">
        <v>1679</v>
      </c>
      <c r="E29" s="442" t="s">
        <v>1689</v>
      </c>
      <c r="F29" s="442" t="s">
        <v>1713</v>
      </c>
      <c r="G29" s="442"/>
      <c r="H29" s="446">
        <v>40</v>
      </c>
      <c r="I29" s="446">
        <v>12840</v>
      </c>
      <c r="J29" s="442">
        <v>1.5384615384615385</v>
      </c>
      <c r="K29" s="442">
        <v>321</v>
      </c>
      <c r="L29" s="446">
        <v>26</v>
      </c>
      <c r="M29" s="446">
        <v>8346</v>
      </c>
      <c r="N29" s="442">
        <v>1</v>
      </c>
      <c r="O29" s="442">
        <v>321</v>
      </c>
      <c r="P29" s="446">
        <v>21</v>
      </c>
      <c r="Q29" s="446">
        <v>6741</v>
      </c>
      <c r="R29" s="469">
        <v>0.80769230769230771</v>
      </c>
      <c r="S29" s="447">
        <v>321</v>
      </c>
    </row>
    <row r="30" spans="1:19" ht="14.45" customHeight="1" x14ac:dyDescent="0.2">
      <c r="A30" s="441"/>
      <c r="B30" s="442" t="s">
        <v>1688</v>
      </c>
      <c r="C30" s="442" t="s">
        <v>444</v>
      </c>
      <c r="D30" s="442" t="s">
        <v>1679</v>
      </c>
      <c r="E30" s="442" t="s">
        <v>1689</v>
      </c>
      <c r="F30" s="442" t="s">
        <v>1714</v>
      </c>
      <c r="G30" s="442"/>
      <c r="H30" s="446">
        <v>1</v>
      </c>
      <c r="I30" s="446">
        <v>1230</v>
      </c>
      <c r="J30" s="442"/>
      <c r="K30" s="442">
        <v>1230</v>
      </c>
      <c r="L30" s="446"/>
      <c r="M30" s="446"/>
      <c r="N30" s="442"/>
      <c r="O30" s="442"/>
      <c r="P30" s="446"/>
      <c r="Q30" s="446"/>
      <c r="R30" s="469"/>
      <c r="S30" s="447"/>
    </row>
    <row r="31" spans="1:19" ht="14.45" customHeight="1" x14ac:dyDescent="0.2">
      <c r="A31" s="441"/>
      <c r="B31" s="442" t="s">
        <v>1688</v>
      </c>
      <c r="C31" s="442" t="s">
        <v>444</v>
      </c>
      <c r="D31" s="442" t="s">
        <v>1679</v>
      </c>
      <c r="E31" s="442" t="s">
        <v>1689</v>
      </c>
      <c r="F31" s="442" t="s">
        <v>1715</v>
      </c>
      <c r="G31" s="442"/>
      <c r="H31" s="446">
        <v>83</v>
      </c>
      <c r="I31" s="446">
        <v>23406</v>
      </c>
      <c r="J31" s="442">
        <v>2.024390243902439</v>
      </c>
      <c r="K31" s="442">
        <v>282</v>
      </c>
      <c r="L31" s="446">
        <v>41</v>
      </c>
      <c r="M31" s="446">
        <v>11562</v>
      </c>
      <c r="N31" s="442">
        <v>1</v>
      </c>
      <c r="O31" s="442">
        <v>282</v>
      </c>
      <c r="P31" s="446">
        <v>46</v>
      </c>
      <c r="Q31" s="446">
        <v>12972</v>
      </c>
      <c r="R31" s="469">
        <v>1.1219512195121952</v>
      </c>
      <c r="S31" s="447">
        <v>282</v>
      </c>
    </row>
    <row r="32" spans="1:19" ht="14.45" customHeight="1" x14ac:dyDescent="0.2">
      <c r="A32" s="441"/>
      <c r="B32" s="442" t="s">
        <v>1688</v>
      </c>
      <c r="C32" s="442" t="s">
        <v>444</v>
      </c>
      <c r="D32" s="442" t="s">
        <v>1679</v>
      </c>
      <c r="E32" s="442" t="s">
        <v>1689</v>
      </c>
      <c r="F32" s="442" t="s">
        <v>1716</v>
      </c>
      <c r="G32" s="442"/>
      <c r="H32" s="446">
        <v>31</v>
      </c>
      <c r="I32" s="446">
        <v>21049</v>
      </c>
      <c r="J32" s="442">
        <v>1.1923076923076923</v>
      </c>
      <c r="K32" s="442">
        <v>679</v>
      </c>
      <c r="L32" s="446">
        <v>26</v>
      </c>
      <c r="M32" s="446">
        <v>17654</v>
      </c>
      <c r="N32" s="442">
        <v>1</v>
      </c>
      <c r="O32" s="442">
        <v>679</v>
      </c>
      <c r="P32" s="446">
        <v>16</v>
      </c>
      <c r="Q32" s="446">
        <v>10864</v>
      </c>
      <c r="R32" s="469">
        <v>0.61538461538461542</v>
      </c>
      <c r="S32" s="447">
        <v>679</v>
      </c>
    </row>
    <row r="33" spans="1:19" ht="14.45" customHeight="1" x14ac:dyDescent="0.2">
      <c r="A33" s="441"/>
      <c r="B33" s="442" t="s">
        <v>1688</v>
      </c>
      <c r="C33" s="442" t="s">
        <v>444</v>
      </c>
      <c r="D33" s="442" t="s">
        <v>1679</v>
      </c>
      <c r="E33" s="442" t="s">
        <v>1689</v>
      </c>
      <c r="F33" s="442" t="s">
        <v>1717</v>
      </c>
      <c r="G33" s="442"/>
      <c r="H33" s="446">
        <v>13</v>
      </c>
      <c r="I33" s="446">
        <v>12077</v>
      </c>
      <c r="J33" s="442">
        <v>2.1666666666666665</v>
      </c>
      <c r="K33" s="442">
        <v>929</v>
      </c>
      <c r="L33" s="446">
        <v>6</v>
      </c>
      <c r="M33" s="446">
        <v>5574</v>
      </c>
      <c r="N33" s="442">
        <v>1</v>
      </c>
      <c r="O33" s="442">
        <v>929</v>
      </c>
      <c r="P33" s="446">
        <v>4</v>
      </c>
      <c r="Q33" s="446">
        <v>3716</v>
      </c>
      <c r="R33" s="469">
        <v>0.66666666666666663</v>
      </c>
      <c r="S33" s="447">
        <v>929</v>
      </c>
    </row>
    <row r="34" spans="1:19" ht="14.45" customHeight="1" x14ac:dyDescent="0.2">
      <c r="A34" s="441"/>
      <c r="B34" s="442" t="s">
        <v>1688</v>
      </c>
      <c r="C34" s="442" t="s">
        <v>444</v>
      </c>
      <c r="D34" s="442" t="s">
        <v>1679</v>
      </c>
      <c r="E34" s="442" t="s">
        <v>1689</v>
      </c>
      <c r="F34" s="442" t="s">
        <v>1718</v>
      </c>
      <c r="G34" s="442"/>
      <c r="H34" s="446">
        <v>1</v>
      </c>
      <c r="I34" s="446">
        <v>208</v>
      </c>
      <c r="J34" s="442"/>
      <c r="K34" s="442">
        <v>208</v>
      </c>
      <c r="L34" s="446"/>
      <c r="M34" s="446"/>
      <c r="N34" s="442"/>
      <c r="O34" s="442"/>
      <c r="P34" s="446"/>
      <c r="Q34" s="446"/>
      <c r="R34" s="469"/>
      <c r="S34" s="447"/>
    </row>
    <row r="35" spans="1:19" ht="14.45" customHeight="1" x14ac:dyDescent="0.2">
      <c r="A35" s="441"/>
      <c r="B35" s="442" t="s">
        <v>1688</v>
      </c>
      <c r="C35" s="442" t="s">
        <v>444</v>
      </c>
      <c r="D35" s="442" t="s">
        <v>1679</v>
      </c>
      <c r="E35" s="442" t="s">
        <v>1689</v>
      </c>
      <c r="F35" s="442" t="s">
        <v>1719</v>
      </c>
      <c r="G35" s="442"/>
      <c r="H35" s="446">
        <v>40</v>
      </c>
      <c r="I35" s="446">
        <v>80000</v>
      </c>
      <c r="J35" s="442">
        <v>0.68965517241379315</v>
      </c>
      <c r="K35" s="442">
        <v>2000</v>
      </c>
      <c r="L35" s="446">
        <v>58</v>
      </c>
      <c r="M35" s="446">
        <v>116000</v>
      </c>
      <c r="N35" s="442">
        <v>1</v>
      </c>
      <c r="O35" s="442">
        <v>2000</v>
      </c>
      <c r="P35" s="446">
        <v>32</v>
      </c>
      <c r="Q35" s="446">
        <v>64000</v>
      </c>
      <c r="R35" s="469">
        <v>0.55172413793103448</v>
      </c>
      <c r="S35" s="447">
        <v>2000</v>
      </c>
    </row>
    <row r="36" spans="1:19" ht="14.45" customHeight="1" x14ac:dyDescent="0.2">
      <c r="A36" s="441"/>
      <c r="B36" s="442" t="s">
        <v>1688</v>
      </c>
      <c r="C36" s="442" t="s">
        <v>444</v>
      </c>
      <c r="D36" s="442" t="s">
        <v>1679</v>
      </c>
      <c r="E36" s="442" t="s">
        <v>1689</v>
      </c>
      <c r="F36" s="442" t="s">
        <v>1720</v>
      </c>
      <c r="G36" s="442"/>
      <c r="H36" s="446">
        <v>7</v>
      </c>
      <c r="I36" s="446">
        <v>14168</v>
      </c>
      <c r="J36" s="442">
        <v>0.53846153846153844</v>
      </c>
      <c r="K36" s="442">
        <v>2024</v>
      </c>
      <c r="L36" s="446">
        <v>13</v>
      </c>
      <c r="M36" s="446">
        <v>26312</v>
      </c>
      <c r="N36" s="442">
        <v>1</v>
      </c>
      <c r="O36" s="442">
        <v>2024</v>
      </c>
      <c r="P36" s="446">
        <v>14</v>
      </c>
      <c r="Q36" s="446">
        <v>28336</v>
      </c>
      <c r="R36" s="469">
        <v>1.0769230769230769</v>
      </c>
      <c r="S36" s="447">
        <v>2024</v>
      </c>
    </row>
    <row r="37" spans="1:19" ht="14.45" customHeight="1" x14ac:dyDescent="0.2">
      <c r="A37" s="441"/>
      <c r="B37" s="442" t="s">
        <v>1688</v>
      </c>
      <c r="C37" s="442" t="s">
        <v>444</v>
      </c>
      <c r="D37" s="442" t="s">
        <v>1679</v>
      </c>
      <c r="E37" s="442" t="s">
        <v>1689</v>
      </c>
      <c r="F37" s="442" t="s">
        <v>1721</v>
      </c>
      <c r="G37" s="442"/>
      <c r="H37" s="446">
        <v>6</v>
      </c>
      <c r="I37" s="446">
        <v>12060</v>
      </c>
      <c r="J37" s="442">
        <v>3</v>
      </c>
      <c r="K37" s="442">
        <v>2010</v>
      </c>
      <c r="L37" s="446">
        <v>2</v>
      </c>
      <c r="M37" s="446">
        <v>4020</v>
      </c>
      <c r="N37" s="442">
        <v>1</v>
      </c>
      <c r="O37" s="442">
        <v>2010</v>
      </c>
      <c r="P37" s="446">
        <v>3</v>
      </c>
      <c r="Q37" s="446">
        <v>6030</v>
      </c>
      <c r="R37" s="469">
        <v>1.5</v>
      </c>
      <c r="S37" s="447">
        <v>2010</v>
      </c>
    </row>
    <row r="38" spans="1:19" ht="14.45" customHeight="1" x14ac:dyDescent="0.2">
      <c r="A38" s="441"/>
      <c r="B38" s="442" t="s">
        <v>1688</v>
      </c>
      <c r="C38" s="442" t="s">
        <v>444</v>
      </c>
      <c r="D38" s="442" t="s">
        <v>1679</v>
      </c>
      <c r="E38" s="442" t="s">
        <v>1689</v>
      </c>
      <c r="F38" s="442" t="s">
        <v>1722</v>
      </c>
      <c r="G38" s="442"/>
      <c r="H38" s="446">
        <v>1</v>
      </c>
      <c r="I38" s="446">
        <v>2146</v>
      </c>
      <c r="J38" s="442">
        <v>0.33333333333333331</v>
      </c>
      <c r="K38" s="442">
        <v>2146</v>
      </c>
      <c r="L38" s="446">
        <v>3</v>
      </c>
      <c r="M38" s="446">
        <v>6438</v>
      </c>
      <c r="N38" s="442">
        <v>1</v>
      </c>
      <c r="O38" s="442">
        <v>2146</v>
      </c>
      <c r="P38" s="446">
        <v>2</v>
      </c>
      <c r="Q38" s="446">
        <v>4292</v>
      </c>
      <c r="R38" s="469">
        <v>0.66666666666666663</v>
      </c>
      <c r="S38" s="447">
        <v>2146</v>
      </c>
    </row>
    <row r="39" spans="1:19" ht="14.45" customHeight="1" x14ac:dyDescent="0.2">
      <c r="A39" s="441"/>
      <c r="B39" s="442" t="s">
        <v>1688</v>
      </c>
      <c r="C39" s="442" t="s">
        <v>444</v>
      </c>
      <c r="D39" s="442" t="s">
        <v>1679</v>
      </c>
      <c r="E39" s="442" t="s">
        <v>1689</v>
      </c>
      <c r="F39" s="442" t="s">
        <v>1723</v>
      </c>
      <c r="G39" s="442"/>
      <c r="H39" s="446">
        <v>2</v>
      </c>
      <c r="I39" s="446">
        <v>2492</v>
      </c>
      <c r="J39" s="442">
        <v>1</v>
      </c>
      <c r="K39" s="442">
        <v>1246</v>
      </c>
      <c r="L39" s="446">
        <v>2</v>
      </c>
      <c r="M39" s="446">
        <v>2492</v>
      </c>
      <c r="N39" s="442">
        <v>1</v>
      </c>
      <c r="O39" s="442">
        <v>1246</v>
      </c>
      <c r="P39" s="446">
        <v>2</v>
      </c>
      <c r="Q39" s="446">
        <v>2492</v>
      </c>
      <c r="R39" s="469">
        <v>1</v>
      </c>
      <c r="S39" s="447">
        <v>1246</v>
      </c>
    </row>
    <row r="40" spans="1:19" ht="14.45" customHeight="1" x14ac:dyDescent="0.2">
      <c r="A40" s="441"/>
      <c r="B40" s="442" t="s">
        <v>1688</v>
      </c>
      <c r="C40" s="442" t="s">
        <v>444</v>
      </c>
      <c r="D40" s="442" t="s">
        <v>1679</v>
      </c>
      <c r="E40" s="442" t="s">
        <v>1689</v>
      </c>
      <c r="F40" s="442" t="s">
        <v>1724</v>
      </c>
      <c r="G40" s="442"/>
      <c r="H40" s="446">
        <v>2</v>
      </c>
      <c r="I40" s="446">
        <v>2690</v>
      </c>
      <c r="J40" s="442">
        <v>2</v>
      </c>
      <c r="K40" s="442">
        <v>1345</v>
      </c>
      <c r="L40" s="446">
        <v>1</v>
      </c>
      <c r="M40" s="446">
        <v>1345</v>
      </c>
      <c r="N40" s="442">
        <v>1</v>
      </c>
      <c r="O40" s="442">
        <v>1345</v>
      </c>
      <c r="P40" s="446">
        <v>2</v>
      </c>
      <c r="Q40" s="446">
        <v>2690</v>
      </c>
      <c r="R40" s="469">
        <v>2</v>
      </c>
      <c r="S40" s="447">
        <v>1345</v>
      </c>
    </row>
    <row r="41" spans="1:19" ht="14.45" customHeight="1" x14ac:dyDescent="0.2">
      <c r="A41" s="441"/>
      <c r="B41" s="442" t="s">
        <v>1688</v>
      </c>
      <c r="C41" s="442" t="s">
        <v>444</v>
      </c>
      <c r="D41" s="442" t="s">
        <v>1679</v>
      </c>
      <c r="E41" s="442" t="s">
        <v>1689</v>
      </c>
      <c r="F41" s="442" t="s">
        <v>1725</v>
      </c>
      <c r="G41" s="442"/>
      <c r="H41" s="446">
        <v>57</v>
      </c>
      <c r="I41" s="446">
        <v>222300</v>
      </c>
      <c r="J41" s="442">
        <v>1.2666666666666666</v>
      </c>
      <c r="K41" s="442">
        <v>3900</v>
      </c>
      <c r="L41" s="446">
        <v>45</v>
      </c>
      <c r="M41" s="446">
        <v>175500</v>
      </c>
      <c r="N41" s="442">
        <v>1</v>
      </c>
      <c r="O41" s="442">
        <v>3900</v>
      </c>
      <c r="P41" s="446">
        <v>36</v>
      </c>
      <c r="Q41" s="446">
        <v>175750</v>
      </c>
      <c r="R41" s="469">
        <v>1.0014245014245013</v>
      </c>
      <c r="S41" s="447">
        <v>4881.9444444444443</v>
      </c>
    </row>
    <row r="42" spans="1:19" ht="14.45" customHeight="1" x14ac:dyDescent="0.2">
      <c r="A42" s="441"/>
      <c r="B42" s="442" t="s">
        <v>1688</v>
      </c>
      <c r="C42" s="442" t="s">
        <v>444</v>
      </c>
      <c r="D42" s="442" t="s">
        <v>1679</v>
      </c>
      <c r="E42" s="442" t="s">
        <v>1689</v>
      </c>
      <c r="F42" s="442" t="s">
        <v>1726</v>
      </c>
      <c r="G42" s="442"/>
      <c r="H42" s="446">
        <v>35</v>
      </c>
      <c r="I42" s="446">
        <v>136500</v>
      </c>
      <c r="J42" s="442">
        <v>2.0588235294117645</v>
      </c>
      <c r="K42" s="442">
        <v>3900</v>
      </c>
      <c r="L42" s="446">
        <v>17</v>
      </c>
      <c r="M42" s="446">
        <v>66300</v>
      </c>
      <c r="N42" s="442">
        <v>1</v>
      </c>
      <c r="O42" s="442">
        <v>3900</v>
      </c>
      <c r="P42" s="446">
        <v>28</v>
      </c>
      <c r="Q42" s="446">
        <v>136600</v>
      </c>
      <c r="R42" s="469">
        <v>2.0603318250377072</v>
      </c>
      <c r="S42" s="447">
        <v>4878.5714285714284</v>
      </c>
    </row>
    <row r="43" spans="1:19" ht="14.45" customHeight="1" x14ac:dyDescent="0.2">
      <c r="A43" s="441"/>
      <c r="B43" s="442" t="s">
        <v>1688</v>
      </c>
      <c r="C43" s="442" t="s">
        <v>444</v>
      </c>
      <c r="D43" s="442" t="s">
        <v>1679</v>
      </c>
      <c r="E43" s="442" t="s">
        <v>1689</v>
      </c>
      <c r="F43" s="442" t="s">
        <v>1727</v>
      </c>
      <c r="G43" s="442"/>
      <c r="H43" s="446">
        <v>4</v>
      </c>
      <c r="I43" s="446">
        <v>5404</v>
      </c>
      <c r="J43" s="442">
        <v>1.3333333333333333</v>
      </c>
      <c r="K43" s="442">
        <v>1351</v>
      </c>
      <c r="L43" s="446">
        <v>3</v>
      </c>
      <c r="M43" s="446">
        <v>4053</v>
      </c>
      <c r="N43" s="442">
        <v>1</v>
      </c>
      <c r="O43" s="442">
        <v>1351</v>
      </c>
      <c r="P43" s="446"/>
      <c r="Q43" s="446"/>
      <c r="R43" s="469"/>
      <c r="S43" s="447"/>
    </row>
    <row r="44" spans="1:19" ht="14.45" customHeight="1" x14ac:dyDescent="0.2">
      <c r="A44" s="441"/>
      <c r="B44" s="442" t="s">
        <v>1688</v>
      </c>
      <c r="C44" s="442" t="s">
        <v>444</v>
      </c>
      <c r="D44" s="442" t="s">
        <v>1679</v>
      </c>
      <c r="E44" s="442" t="s">
        <v>1689</v>
      </c>
      <c r="F44" s="442" t="s">
        <v>1728</v>
      </c>
      <c r="G44" s="442"/>
      <c r="H44" s="446">
        <v>10</v>
      </c>
      <c r="I44" s="446">
        <v>1640</v>
      </c>
      <c r="J44" s="442">
        <v>0.5</v>
      </c>
      <c r="K44" s="442">
        <v>164</v>
      </c>
      <c r="L44" s="446">
        <v>20</v>
      </c>
      <c r="M44" s="446">
        <v>3280</v>
      </c>
      <c r="N44" s="442">
        <v>1</v>
      </c>
      <c r="O44" s="442">
        <v>164</v>
      </c>
      <c r="P44" s="446">
        <v>16</v>
      </c>
      <c r="Q44" s="446">
        <v>2624</v>
      </c>
      <c r="R44" s="469">
        <v>0.8</v>
      </c>
      <c r="S44" s="447">
        <v>164</v>
      </c>
    </row>
    <row r="45" spans="1:19" ht="14.45" customHeight="1" x14ac:dyDescent="0.2">
      <c r="A45" s="441"/>
      <c r="B45" s="442" t="s">
        <v>1688</v>
      </c>
      <c r="C45" s="442" t="s">
        <v>444</v>
      </c>
      <c r="D45" s="442" t="s">
        <v>1679</v>
      </c>
      <c r="E45" s="442" t="s">
        <v>1689</v>
      </c>
      <c r="F45" s="442" t="s">
        <v>1729</v>
      </c>
      <c r="G45" s="442"/>
      <c r="H45" s="446">
        <v>41</v>
      </c>
      <c r="I45" s="446">
        <v>9225</v>
      </c>
      <c r="J45" s="442">
        <v>0.95348837209302328</v>
      </c>
      <c r="K45" s="442">
        <v>225</v>
      </c>
      <c r="L45" s="446">
        <v>43</v>
      </c>
      <c r="M45" s="446">
        <v>9675</v>
      </c>
      <c r="N45" s="442">
        <v>1</v>
      </c>
      <c r="O45" s="442">
        <v>225</v>
      </c>
      <c r="P45" s="446">
        <v>67</v>
      </c>
      <c r="Q45" s="446">
        <v>15075</v>
      </c>
      <c r="R45" s="469">
        <v>1.558139534883721</v>
      </c>
      <c r="S45" s="447">
        <v>225</v>
      </c>
    </row>
    <row r="46" spans="1:19" ht="14.45" customHeight="1" x14ac:dyDescent="0.2">
      <c r="A46" s="441"/>
      <c r="B46" s="442" t="s">
        <v>1688</v>
      </c>
      <c r="C46" s="442" t="s">
        <v>444</v>
      </c>
      <c r="D46" s="442" t="s">
        <v>1679</v>
      </c>
      <c r="E46" s="442" t="s">
        <v>1689</v>
      </c>
      <c r="F46" s="442" t="s">
        <v>1730</v>
      </c>
      <c r="G46" s="442"/>
      <c r="H46" s="446">
        <v>23</v>
      </c>
      <c r="I46" s="446">
        <v>8349</v>
      </c>
      <c r="J46" s="442">
        <v>2.5555555555555554</v>
      </c>
      <c r="K46" s="442">
        <v>363</v>
      </c>
      <c r="L46" s="446">
        <v>9</v>
      </c>
      <c r="M46" s="446">
        <v>3267</v>
      </c>
      <c r="N46" s="442">
        <v>1</v>
      </c>
      <c r="O46" s="442">
        <v>363</v>
      </c>
      <c r="P46" s="446">
        <v>15</v>
      </c>
      <c r="Q46" s="446">
        <v>5445</v>
      </c>
      <c r="R46" s="469">
        <v>1.6666666666666667</v>
      </c>
      <c r="S46" s="447">
        <v>363</v>
      </c>
    </row>
    <row r="47" spans="1:19" ht="14.45" customHeight="1" x14ac:dyDescent="0.2">
      <c r="A47" s="441"/>
      <c r="B47" s="442" t="s">
        <v>1688</v>
      </c>
      <c r="C47" s="442" t="s">
        <v>444</v>
      </c>
      <c r="D47" s="442" t="s">
        <v>1679</v>
      </c>
      <c r="E47" s="442" t="s">
        <v>1689</v>
      </c>
      <c r="F47" s="442" t="s">
        <v>1731</v>
      </c>
      <c r="G47" s="442"/>
      <c r="H47" s="446">
        <v>26</v>
      </c>
      <c r="I47" s="446">
        <v>15262</v>
      </c>
      <c r="J47" s="442">
        <v>1.7333333333333334</v>
      </c>
      <c r="K47" s="442">
        <v>587</v>
      </c>
      <c r="L47" s="446">
        <v>15</v>
      </c>
      <c r="M47" s="446">
        <v>8805</v>
      </c>
      <c r="N47" s="442">
        <v>1</v>
      </c>
      <c r="O47" s="442">
        <v>587</v>
      </c>
      <c r="P47" s="446">
        <v>15</v>
      </c>
      <c r="Q47" s="446">
        <v>8805</v>
      </c>
      <c r="R47" s="469">
        <v>1</v>
      </c>
      <c r="S47" s="447">
        <v>587</v>
      </c>
    </row>
    <row r="48" spans="1:19" ht="14.45" customHeight="1" x14ac:dyDescent="0.2">
      <c r="A48" s="441"/>
      <c r="B48" s="442" t="s">
        <v>1688</v>
      </c>
      <c r="C48" s="442" t="s">
        <v>444</v>
      </c>
      <c r="D48" s="442" t="s">
        <v>1679</v>
      </c>
      <c r="E48" s="442" t="s">
        <v>1689</v>
      </c>
      <c r="F48" s="442" t="s">
        <v>1732</v>
      </c>
      <c r="G48" s="442"/>
      <c r="H48" s="446">
        <v>7</v>
      </c>
      <c r="I48" s="446">
        <v>4200</v>
      </c>
      <c r="J48" s="442">
        <v>7</v>
      </c>
      <c r="K48" s="442">
        <v>600</v>
      </c>
      <c r="L48" s="446">
        <v>1</v>
      </c>
      <c r="M48" s="446">
        <v>600</v>
      </c>
      <c r="N48" s="442">
        <v>1</v>
      </c>
      <c r="O48" s="442">
        <v>600</v>
      </c>
      <c r="P48" s="446">
        <v>7</v>
      </c>
      <c r="Q48" s="446">
        <v>4200</v>
      </c>
      <c r="R48" s="469">
        <v>7</v>
      </c>
      <c r="S48" s="447">
        <v>600</v>
      </c>
    </row>
    <row r="49" spans="1:19" ht="14.45" customHeight="1" x14ac:dyDescent="0.2">
      <c r="A49" s="441"/>
      <c r="B49" s="442" t="s">
        <v>1688</v>
      </c>
      <c r="C49" s="442" t="s">
        <v>444</v>
      </c>
      <c r="D49" s="442" t="s">
        <v>1679</v>
      </c>
      <c r="E49" s="442" t="s">
        <v>1689</v>
      </c>
      <c r="F49" s="442" t="s">
        <v>1733</v>
      </c>
      <c r="G49" s="442"/>
      <c r="H49" s="446"/>
      <c r="I49" s="446"/>
      <c r="J49" s="442"/>
      <c r="K49" s="442"/>
      <c r="L49" s="446">
        <v>1</v>
      </c>
      <c r="M49" s="446">
        <v>4231</v>
      </c>
      <c r="N49" s="442">
        <v>1</v>
      </c>
      <c r="O49" s="442">
        <v>4231</v>
      </c>
      <c r="P49" s="446">
        <v>2</v>
      </c>
      <c r="Q49" s="446">
        <v>8462</v>
      </c>
      <c r="R49" s="469">
        <v>2</v>
      </c>
      <c r="S49" s="447">
        <v>4231</v>
      </c>
    </row>
    <row r="50" spans="1:19" ht="14.45" customHeight="1" x14ac:dyDescent="0.2">
      <c r="A50" s="441"/>
      <c r="B50" s="442" t="s">
        <v>1688</v>
      </c>
      <c r="C50" s="442" t="s">
        <v>444</v>
      </c>
      <c r="D50" s="442" t="s">
        <v>1679</v>
      </c>
      <c r="E50" s="442" t="s">
        <v>1689</v>
      </c>
      <c r="F50" s="442" t="s">
        <v>1734</v>
      </c>
      <c r="G50" s="442"/>
      <c r="H50" s="446"/>
      <c r="I50" s="446"/>
      <c r="J50" s="442"/>
      <c r="K50" s="442"/>
      <c r="L50" s="446">
        <v>7</v>
      </c>
      <c r="M50" s="446">
        <v>7056</v>
      </c>
      <c r="N50" s="442">
        <v>1</v>
      </c>
      <c r="O50" s="442">
        <v>1008</v>
      </c>
      <c r="P50" s="446">
        <v>1</v>
      </c>
      <c r="Q50" s="446">
        <v>1008</v>
      </c>
      <c r="R50" s="469">
        <v>0.14285714285714285</v>
      </c>
      <c r="S50" s="447">
        <v>1008</v>
      </c>
    </row>
    <row r="51" spans="1:19" ht="14.45" customHeight="1" x14ac:dyDescent="0.2">
      <c r="A51" s="441"/>
      <c r="B51" s="442" t="s">
        <v>1688</v>
      </c>
      <c r="C51" s="442" t="s">
        <v>444</v>
      </c>
      <c r="D51" s="442" t="s">
        <v>1679</v>
      </c>
      <c r="E51" s="442" t="s">
        <v>1689</v>
      </c>
      <c r="F51" s="442" t="s">
        <v>1735</v>
      </c>
      <c r="G51" s="442"/>
      <c r="H51" s="446">
        <v>3</v>
      </c>
      <c r="I51" s="446">
        <v>2235</v>
      </c>
      <c r="J51" s="442">
        <v>0.42857142857142855</v>
      </c>
      <c r="K51" s="442">
        <v>745</v>
      </c>
      <c r="L51" s="446">
        <v>7</v>
      </c>
      <c r="M51" s="446">
        <v>5215</v>
      </c>
      <c r="N51" s="442">
        <v>1</v>
      </c>
      <c r="O51" s="442">
        <v>745</v>
      </c>
      <c r="P51" s="446">
        <v>3</v>
      </c>
      <c r="Q51" s="446">
        <v>2235</v>
      </c>
      <c r="R51" s="469">
        <v>0.42857142857142855</v>
      </c>
      <c r="S51" s="447">
        <v>745</v>
      </c>
    </row>
    <row r="52" spans="1:19" ht="14.45" customHeight="1" x14ac:dyDescent="0.2">
      <c r="A52" s="441"/>
      <c r="B52" s="442" t="s">
        <v>1688</v>
      </c>
      <c r="C52" s="442" t="s">
        <v>444</v>
      </c>
      <c r="D52" s="442" t="s">
        <v>1679</v>
      </c>
      <c r="E52" s="442" t="s">
        <v>1689</v>
      </c>
      <c r="F52" s="442" t="s">
        <v>1736</v>
      </c>
      <c r="G52" s="442"/>
      <c r="H52" s="446">
        <v>10</v>
      </c>
      <c r="I52" s="446">
        <v>5610</v>
      </c>
      <c r="J52" s="442">
        <v>0.7142857142857143</v>
      </c>
      <c r="K52" s="442">
        <v>561</v>
      </c>
      <c r="L52" s="446">
        <v>14</v>
      </c>
      <c r="M52" s="446">
        <v>7854</v>
      </c>
      <c r="N52" s="442">
        <v>1</v>
      </c>
      <c r="O52" s="442">
        <v>561</v>
      </c>
      <c r="P52" s="446"/>
      <c r="Q52" s="446"/>
      <c r="R52" s="469"/>
      <c r="S52" s="447"/>
    </row>
    <row r="53" spans="1:19" ht="14.45" customHeight="1" x14ac:dyDescent="0.2">
      <c r="A53" s="441"/>
      <c r="B53" s="442" t="s">
        <v>1688</v>
      </c>
      <c r="C53" s="442" t="s">
        <v>444</v>
      </c>
      <c r="D53" s="442" t="s">
        <v>1679</v>
      </c>
      <c r="E53" s="442" t="s">
        <v>1689</v>
      </c>
      <c r="F53" s="442" t="s">
        <v>1737</v>
      </c>
      <c r="G53" s="442"/>
      <c r="H53" s="446">
        <v>3</v>
      </c>
      <c r="I53" s="446">
        <v>3366</v>
      </c>
      <c r="J53" s="442"/>
      <c r="K53" s="442">
        <v>1122</v>
      </c>
      <c r="L53" s="446"/>
      <c r="M53" s="446"/>
      <c r="N53" s="442"/>
      <c r="O53" s="442"/>
      <c r="P53" s="446"/>
      <c r="Q53" s="446"/>
      <c r="R53" s="469"/>
      <c r="S53" s="447"/>
    </row>
    <row r="54" spans="1:19" ht="14.45" customHeight="1" x14ac:dyDescent="0.2">
      <c r="A54" s="441"/>
      <c r="B54" s="442" t="s">
        <v>1688</v>
      </c>
      <c r="C54" s="442" t="s">
        <v>444</v>
      </c>
      <c r="D54" s="442" t="s">
        <v>1679</v>
      </c>
      <c r="E54" s="442" t="s">
        <v>1689</v>
      </c>
      <c r="F54" s="442" t="s">
        <v>1738</v>
      </c>
      <c r="G54" s="442"/>
      <c r="H54" s="446">
        <v>3</v>
      </c>
      <c r="I54" s="446">
        <v>2601</v>
      </c>
      <c r="J54" s="442">
        <v>3</v>
      </c>
      <c r="K54" s="442">
        <v>867</v>
      </c>
      <c r="L54" s="446">
        <v>1</v>
      </c>
      <c r="M54" s="446">
        <v>867</v>
      </c>
      <c r="N54" s="442">
        <v>1</v>
      </c>
      <c r="O54" s="442">
        <v>867</v>
      </c>
      <c r="P54" s="446"/>
      <c r="Q54" s="446"/>
      <c r="R54" s="469"/>
      <c r="S54" s="447"/>
    </row>
    <row r="55" spans="1:19" ht="14.45" customHeight="1" x14ac:dyDescent="0.2">
      <c r="A55" s="441"/>
      <c r="B55" s="442" t="s">
        <v>1688</v>
      </c>
      <c r="C55" s="442" t="s">
        <v>444</v>
      </c>
      <c r="D55" s="442" t="s">
        <v>1679</v>
      </c>
      <c r="E55" s="442" t="s">
        <v>1689</v>
      </c>
      <c r="F55" s="442" t="s">
        <v>1739</v>
      </c>
      <c r="G55" s="442"/>
      <c r="H55" s="446">
        <v>4</v>
      </c>
      <c r="I55" s="446">
        <v>2200</v>
      </c>
      <c r="J55" s="442">
        <v>4</v>
      </c>
      <c r="K55" s="442">
        <v>550</v>
      </c>
      <c r="L55" s="446">
        <v>1</v>
      </c>
      <c r="M55" s="446">
        <v>550</v>
      </c>
      <c r="N55" s="442">
        <v>1</v>
      </c>
      <c r="O55" s="442">
        <v>550</v>
      </c>
      <c r="P55" s="446">
        <v>1</v>
      </c>
      <c r="Q55" s="446">
        <v>550</v>
      </c>
      <c r="R55" s="469">
        <v>1</v>
      </c>
      <c r="S55" s="447">
        <v>550</v>
      </c>
    </row>
    <row r="56" spans="1:19" ht="14.45" customHeight="1" x14ac:dyDescent="0.2">
      <c r="A56" s="441"/>
      <c r="B56" s="442" t="s">
        <v>1688</v>
      </c>
      <c r="C56" s="442" t="s">
        <v>444</v>
      </c>
      <c r="D56" s="442" t="s">
        <v>1679</v>
      </c>
      <c r="E56" s="442" t="s">
        <v>1689</v>
      </c>
      <c r="F56" s="442" t="s">
        <v>1740</v>
      </c>
      <c r="G56" s="442"/>
      <c r="H56" s="446">
        <v>1</v>
      </c>
      <c r="I56" s="446">
        <v>1395</v>
      </c>
      <c r="J56" s="442"/>
      <c r="K56" s="442">
        <v>1395</v>
      </c>
      <c r="L56" s="446"/>
      <c r="M56" s="446"/>
      <c r="N56" s="442"/>
      <c r="O56" s="442"/>
      <c r="P56" s="446">
        <v>4</v>
      </c>
      <c r="Q56" s="446">
        <v>5580</v>
      </c>
      <c r="R56" s="469"/>
      <c r="S56" s="447">
        <v>1395</v>
      </c>
    </row>
    <row r="57" spans="1:19" ht="14.45" customHeight="1" x14ac:dyDescent="0.2">
      <c r="A57" s="441"/>
      <c r="B57" s="442" t="s">
        <v>1688</v>
      </c>
      <c r="C57" s="442" t="s">
        <v>444</v>
      </c>
      <c r="D57" s="442" t="s">
        <v>1679</v>
      </c>
      <c r="E57" s="442" t="s">
        <v>1689</v>
      </c>
      <c r="F57" s="442" t="s">
        <v>1741</v>
      </c>
      <c r="G57" s="442"/>
      <c r="H57" s="446">
        <v>3</v>
      </c>
      <c r="I57" s="446">
        <v>1557</v>
      </c>
      <c r="J57" s="442">
        <v>0.5</v>
      </c>
      <c r="K57" s="442">
        <v>519</v>
      </c>
      <c r="L57" s="446">
        <v>6</v>
      </c>
      <c r="M57" s="446">
        <v>3114</v>
      </c>
      <c r="N57" s="442">
        <v>1</v>
      </c>
      <c r="O57" s="442">
        <v>519</v>
      </c>
      <c r="P57" s="446">
        <v>1</v>
      </c>
      <c r="Q57" s="446">
        <v>519</v>
      </c>
      <c r="R57" s="469">
        <v>0.16666666666666666</v>
      </c>
      <c r="S57" s="447">
        <v>519</v>
      </c>
    </row>
    <row r="58" spans="1:19" ht="14.45" customHeight="1" x14ac:dyDescent="0.2">
      <c r="A58" s="441"/>
      <c r="B58" s="442" t="s">
        <v>1688</v>
      </c>
      <c r="C58" s="442" t="s">
        <v>444</v>
      </c>
      <c r="D58" s="442" t="s">
        <v>1679</v>
      </c>
      <c r="E58" s="442" t="s">
        <v>1689</v>
      </c>
      <c r="F58" s="442" t="s">
        <v>1742</v>
      </c>
      <c r="G58" s="442"/>
      <c r="H58" s="446"/>
      <c r="I58" s="446"/>
      <c r="J58" s="442"/>
      <c r="K58" s="442"/>
      <c r="L58" s="446">
        <v>1</v>
      </c>
      <c r="M58" s="446">
        <v>1326</v>
      </c>
      <c r="N58" s="442">
        <v>1</v>
      </c>
      <c r="O58" s="442">
        <v>1326</v>
      </c>
      <c r="P58" s="446">
        <v>3</v>
      </c>
      <c r="Q58" s="446">
        <v>3978</v>
      </c>
      <c r="R58" s="469">
        <v>3</v>
      </c>
      <c r="S58" s="447">
        <v>1326</v>
      </c>
    </row>
    <row r="59" spans="1:19" ht="14.45" customHeight="1" x14ac:dyDescent="0.2">
      <c r="A59" s="441"/>
      <c r="B59" s="442" t="s">
        <v>1688</v>
      </c>
      <c r="C59" s="442" t="s">
        <v>444</v>
      </c>
      <c r="D59" s="442" t="s">
        <v>1679</v>
      </c>
      <c r="E59" s="442" t="s">
        <v>1689</v>
      </c>
      <c r="F59" s="442" t="s">
        <v>1743</v>
      </c>
      <c r="G59" s="442"/>
      <c r="H59" s="446">
        <v>7</v>
      </c>
      <c r="I59" s="446">
        <v>2835</v>
      </c>
      <c r="J59" s="442">
        <v>2.3333333333333335</v>
      </c>
      <c r="K59" s="442">
        <v>405</v>
      </c>
      <c r="L59" s="446">
        <v>3</v>
      </c>
      <c r="M59" s="446">
        <v>1215</v>
      </c>
      <c r="N59" s="442">
        <v>1</v>
      </c>
      <c r="O59" s="442">
        <v>405</v>
      </c>
      <c r="P59" s="446">
        <v>3</v>
      </c>
      <c r="Q59" s="446">
        <v>1215</v>
      </c>
      <c r="R59" s="469">
        <v>1</v>
      </c>
      <c r="S59" s="447">
        <v>405</v>
      </c>
    </row>
    <row r="60" spans="1:19" ht="14.45" customHeight="1" x14ac:dyDescent="0.2">
      <c r="A60" s="441"/>
      <c r="B60" s="442" t="s">
        <v>1688</v>
      </c>
      <c r="C60" s="442" t="s">
        <v>444</v>
      </c>
      <c r="D60" s="442" t="s">
        <v>1679</v>
      </c>
      <c r="E60" s="442" t="s">
        <v>1689</v>
      </c>
      <c r="F60" s="442" t="s">
        <v>1744</v>
      </c>
      <c r="G60" s="442"/>
      <c r="H60" s="446">
        <v>13</v>
      </c>
      <c r="I60" s="446">
        <v>7150</v>
      </c>
      <c r="J60" s="442">
        <v>6.5</v>
      </c>
      <c r="K60" s="442">
        <v>550</v>
      </c>
      <c r="L60" s="446">
        <v>2</v>
      </c>
      <c r="M60" s="446">
        <v>1100</v>
      </c>
      <c r="N60" s="442">
        <v>1</v>
      </c>
      <c r="O60" s="442">
        <v>550</v>
      </c>
      <c r="P60" s="446">
        <v>2</v>
      </c>
      <c r="Q60" s="446">
        <v>1490</v>
      </c>
      <c r="R60" s="469">
        <v>1.3545454545454545</v>
      </c>
      <c r="S60" s="447">
        <v>745</v>
      </c>
    </row>
    <row r="61" spans="1:19" ht="14.45" customHeight="1" x14ac:dyDescent="0.2">
      <c r="A61" s="441"/>
      <c r="B61" s="442" t="s">
        <v>1688</v>
      </c>
      <c r="C61" s="442" t="s">
        <v>444</v>
      </c>
      <c r="D61" s="442" t="s">
        <v>1679</v>
      </c>
      <c r="E61" s="442" t="s">
        <v>1689</v>
      </c>
      <c r="F61" s="442" t="s">
        <v>1745</v>
      </c>
      <c r="G61" s="442"/>
      <c r="H61" s="446">
        <v>2</v>
      </c>
      <c r="I61" s="446">
        <v>0</v>
      </c>
      <c r="J61" s="442"/>
      <c r="K61" s="442">
        <v>0</v>
      </c>
      <c r="L61" s="446">
        <v>5</v>
      </c>
      <c r="M61" s="446">
        <v>0</v>
      </c>
      <c r="N61" s="442"/>
      <c r="O61" s="442">
        <v>0</v>
      </c>
      <c r="P61" s="446">
        <v>4</v>
      </c>
      <c r="Q61" s="446">
        <v>0</v>
      </c>
      <c r="R61" s="469"/>
      <c r="S61" s="447">
        <v>0</v>
      </c>
    </row>
    <row r="62" spans="1:19" ht="14.45" customHeight="1" x14ac:dyDescent="0.2">
      <c r="A62" s="441"/>
      <c r="B62" s="442" t="s">
        <v>1688</v>
      </c>
      <c r="C62" s="442" t="s">
        <v>444</v>
      </c>
      <c r="D62" s="442" t="s">
        <v>1679</v>
      </c>
      <c r="E62" s="442" t="s">
        <v>1689</v>
      </c>
      <c r="F62" s="442" t="s">
        <v>1746</v>
      </c>
      <c r="G62" s="442"/>
      <c r="H62" s="446">
        <v>0</v>
      </c>
      <c r="I62" s="446">
        <v>0</v>
      </c>
      <c r="J62" s="442"/>
      <c r="K62" s="442"/>
      <c r="L62" s="446">
        <v>1</v>
      </c>
      <c r="M62" s="446">
        <v>0</v>
      </c>
      <c r="N62" s="442"/>
      <c r="O62" s="442">
        <v>0</v>
      </c>
      <c r="P62" s="446">
        <v>2</v>
      </c>
      <c r="Q62" s="446">
        <v>0</v>
      </c>
      <c r="R62" s="469"/>
      <c r="S62" s="447">
        <v>0</v>
      </c>
    </row>
    <row r="63" spans="1:19" ht="14.45" customHeight="1" x14ac:dyDescent="0.2">
      <c r="A63" s="441"/>
      <c r="B63" s="442" t="s">
        <v>1688</v>
      </c>
      <c r="C63" s="442" t="s">
        <v>444</v>
      </c>
      <c r="D63" s="442" t="s">
        <v>1679</v>
      </c>
      <c r="E63" s="442" t="s">
        <v>1689</v>
      </c>
      <c r="F63" s="442" t="s">
        <v>1747</v>
      </c>
      <c r="G63" s="442"/>
      <c r="H63" s="446"/>
      <c r="I63" s="446"/>
      <c r="J63" s="442"/>
      <c r="K63" s="442"/>
      <c r="L63" s="446">
        <v>1</v>
      </c>
      <c r="M63" s="446">
        <v>0</v>
      </c>
      <c r="N63" s="442"/>
      <c r="O63" s="442">
        <v>0</v>
      </c>
      <c r="P63" s="446"/>
      <c r="Q63" s="446"/>
      <c r="R63" s="469"/>
      <c r="S63" s="447"/>
    </row>
    <row r="64" spans="1:19" ht="14.45" customHeight="1" x14ac:dyDescent="0.2">
      <c r="A64" s="441"/>
      <c r="B64" s="442" t="s">
        <v>1688</v>
      </c>
      <c r="C64" s="442" t="s">
        <v>444</v>
      </c>
      <c r="D64" s="442" t="s">
        <v>1679</v>
      </c>
      <c r="E64" s="442" t="s">
        <v>1689</v>
      </c>
      <c r="F64" s="442" t="s">
        <v>1748</v>
      </c>
      <c r="G64" s="442"/>
      <c r="H64" s="446">
        <v>1</v>
      </c>
      <c r="I64" s="446">
        <v>1065</v>
      </c>
      <c r="J64" s="442"/>
      <c r="K64" s="442">
        <v>1065</v>
      </c>
      <c r="L64" s="446"/>
      <c r="M64" s="446"/>
      <c r="N64" s="442"/>
      <c r="O64" s="442"/>
      <c r="P64" s="446"/>
      <c r="Q64" s="446"/>
      <c r="R64" s="469"/>
      <c r="S64" s="447"/>
    </row>
    <row r="65" spans="1:19" ht="14.45" customHeight="1" x14ac:dyDescent="0.2">
      <c r="A65" s="441"/>
      <c r="B65" s="442" t="s">
        <v>1688</v>
      </c>
      <c r="C65" s="442" t="s">
        <v>444</v>
      </c>
      <c r="D65" s="442" t="s">
        <v>1679</v>
      </c>
      <c r="E65" s="442" t="s">
        <v>1689</v>
      </c>
      <c r="F65" s="442" t="s">
        <v>1749</v>
      </c>
      <c r="G65" s="442"/>
      <c r="H65" s="446"/>
      <c r="I65" s="446"/>
      <c r="J65" s="442"/>
      <c r="K65" s="442"/>
      <c r="L65" s="446">
        <v>0</v>
      </c>
      <c r="M65" s="446">
        <v>0</v>
      </c>
      <c r="N65" s="442"/>
      <c r="O65" s="442"/>
      <c r="P65" s="446">
        <v>0</v>
      </c>
      <c r="Q65" s="446">
        <v>0</v>
      </c>
      <c r="R65" s="469"/>
      <c r="S65" s="447"/>
    </row>
    <row r="66" spans="1:19" ht="14.45" customHeight="1" x14ac:dyDescent="0.2">
      <c r="A66" s="441"/>
      <c r="B66" s="442" t="s">
        <v>1688</v>
      </c>
      <c r="C66" s="442" t="s">
        <v>444</v>
      </c>
      <c r="D66" s="442" t="s">
        <v>1679</v>
      </c>
      <c r="E66" s="442" t="s">
        <v>1689</v>
      </c>
      <c r="F66" s="442" t="s">
        <v>1750</v>
      </c>
      <c r="G66" s="442"/>
      <c r="H66" s="446">
        <v>1</v>
      </c>
      <c r="I66" s="446">
        <v>1014</v>
      </c>
      <c r="J66" s="442"/>
      <c r="K66" s="442">
        <v>1014</v>
      </c>
      <c r="L66" s="446"/>
      <c r="M66" s="446"/>
      <c r="N66" s="442"/>
      <c r="O66" s="442"/>
      <c r="P66" s="446"/>
      <c r="Q66" s="446"/>
      <c r="R66" s="469"/>
      <c r="S66" s="447"/>
    </row>
    <row r="67" spans="1:19" ht="14.45" customHeight="1" x14ac:dyDescent="0.2">
      <c r="A67" s="441"/>
      <c r="B67" s="442" t="s">
        <v>1688</v>
      </c>
      <c r="C67" s="442" t="s">
        <v>444</v>
      </c>
      <c r="D67" s="442" t="s">
        <v>1679</v>
      </c>
      <c r="E67" s="442" t="s">
        <v>1689</v>
      </c>
      <c r="F67" s="442" t="s">
        <v>1751</v>
      </c>
      <c r="G67" s="442"/>
      <c r="H67" s="446">
        <v>4</v>
      </c>
      <c r="I67" s="446">
        <v>0</v>
      </c>
      <c r="J67" s="442"/>
      <c r="K67" s="442">
        <v>0</v>
      </c>
      <c r="L67" s="446"/>
      <c r="M67" s="446"/>
      <c r="N67" s="442"/>
      <c r="O67" s="442"/>
      <c r="P67" s="446"/>
      <c r="Q67" s="446"/>
      <c r="R67" s="469"/>
      <c r="S67" s="447"/>
    </row>
    <row r="68" spans="1:19" ht="14.45" customHeight="1" x14ac:dyDescent="0.2">
      <c r="A68" s="441"/>
      <c r="B68" s="442" t="s">
        <v>1688</v>
      </c>
      <c r="C68" s="442" t="s">
        <v>444</v>
      </c>
      <c r="D68" s="442" t="s">
        <v>1679</v>
      </c>
      <c r="E68" s="442" t="s">
        <v>1689</v>
      </c>
      <c r="F68" s="442" t="s">
        <v>1752</v>
      </c>
      <c r="G68" s="442"/>
      <c r="H68" s="446"/>
      <c r="I68" s="446"/>
      <c r="J68" s="442"/>
      <c r="K68" s="442"/>
      <c r="L68" s="446">
        <v>1</v>
      </c>
      <c r="M68" s="446">
        <v>0</v>
      </c>
      <c r="N68" s="442"/>
      <c r="O68" s="442">
        <v>0</v>
      </c>
      <c r="P68" s="446"/>
      <c r="Q68" s="446"/>
      <c r="R68" s="469"/>
      <c r="S68" s="447"/>
    </row>
    <row r="69" spans="1:19" ht="14.45" customHeight="1" x14ac:dyDescent="0.2">
      <c r="A69" s="441"/>
      <c r="B69" s="442" t="s">
        <v>1688</v>
      </c>
      <c r="C69" s="442" t="s">
        <v>444</v>
      </c>
      <c r="D69" s="442" t="s">
        <v>1679</v>
      </c>
      <c r="E69" s="442" t="s">
        <v>1689</v>
      </c>
      <c r="F69" s="442" t="s">
        <v>1753</v>
      </c>
      <c r="G69" s="442"/>
      <c r="H69" s="446"/>
      <c r="I69" s="446"/>
      <c r="J69" s="442"/>
      <c r="K69" s="442"/>
      <c r="L69" s="446">
        <v>1</v>
      </c>
      <c r="M69" s="446">
        <v>0</v>
      </c>
      <c r="N69" s="442"/>
      <c r="O69" s="442">
        <v>0</v>
      </c>
      <c r="P69" s="446"/>
      <c r="Q69" s="446"/>
      <c r="R69" s="469"/>
      <c r="S69" s="447"/>
    </row>
    <row r="70" spans="1:19" ht="14.45" customHeight="1" x14ac:dyDescent="0.2">
      <c r="A70" s="441"/>
      <c r="B70" s="442" t="s">
        <v>1688</v>
      </c>
      <c r="C70" s="442" t="s">
        <v>444</v>
      </c>
      <c r="D70" s="442" t="s">
        <v>1679</v>
      </c>
      <c r="E70" s="442" t="s">
        <v>1689</v>
      </c>
      <c r="F70" s="442" t="s">
        <v>1754</v>
      </c>
      <c r="G70" s="442"/>
      <c r="H70" s="446"/>
      <c r="I70" s="446"/>
      <c r="J70" s="442"/>
      <c r="K70" s="442"/>
      <c r="L70" s="446">
        <v>1</v>
      </c>
      <c r="M70" s="446">
        <v>550</v>
      </c>
      <c r="N70" s="442">
        <v>1</v>
      </c>
      <c r="O70" s="442">
        <v>550</v>
      </c>
      <c r="P70" s="446"/>
      <c r="Q70" s="446"/>
      <c r="R70" s="469"/>
      <c r="S70" s="447"/>
    </row>
    <row r="71" spans="1:19" ht="14.45" customHeight="1" x14ac:dyDescent="0.2">
      <c r="A71" s="441"/>
      <c r="B71" s="442" t="s">
        <v>1688</v>
      </c>
      <c r="C71" s="442" t="s">
        <v>444</v>
      </c>
      <c r="D71" s="442" t="s">
        <v>1679</v>
      </c>
      <c r="E71" s="442" t="s">
        <v>1689</v>
      </c>
      <c r="F71" s="442" t="s">
        <v>1755</v>
      </c>
      <c r="G71" s="442"/>
      <c r="H71" s="446">
        <v>2</v>
      </c>
      <c r="I71" s="446">
        <v>1100</v>
      </c>
      <c r="J71" s="442"/>
      <c r="K71" s="442">
        <v>550</v>
      </c>
      <c r="L71" s="446"/>
      <c r="M71" s="446"/>
      <c r="N71" s="442"/>
      <c r="O71" s="442"/>
      <c r="P71" s="446"/>
      <c r="Q71" s="446"/>
      <c r="R71" s="469"/>
      <c r="S71" s="447"/>
    </row>
    <row r="72" spans="1:19" ht="14.45" customHeight="1" x14ac:dyDescent="0.2">
      <c r="A72" s="441"/>
      <c r="B72" s="442" t="s">
        <v>1688</v>
      </c>
      <c r="C72" s="442" t="s">
        <v>444</v>
      </c>
      <c r="D72" s="442" t="s">
        <v>1679</v>
      </c>
      <c r="E72" s="442" t="s">
        <v>1689</v>
      </c>
      <c r="F72" s="442" t="s">
        <v>1756</v>
      </c>
      <c r="G72" s="442"/>
      <c r="H72" s="446"/>
      <c r="I72" s="446"/>
      <c r="J72" s="442"/>
      <c r="K72" s="442"/>
      <c r="L72" s="446">
        <v>2</v>
      </c>
      <c r="M72" s="446">
        <v>1630</v>
      </c>
      <c r="N72" s="442">
        <v>1</v>
      </c>
      <c r="O72" s="442">
        <v>815</v>
      </c>
      <c r="P72" s="446"/>
      <c r="Q72" s="446"/>
      <c r="R72" s="469"/>
      <c r="S72" s="447"/>
    </row>
    <row r="73" spans="1:19" ht="14.45" customHeight="1" x14ac:dyDescent="0.2">
      <c r="A73" s="441"/>
      <c r="B73" s="442" t="s">
        <v>1688</v>
      </c>
      <c r="C73" s="442" t="s">
        <v>444</v>
      </c>
      <c r="D73" s="442" t="s">
        <v>1679</v>
      </c>
      <c r="E73" s="442" t="s">
        <v>1689</v>
      </c>
      <c r="F73" s="442" t="s">
        <v>1757</v>
      </c>
      <c r="G73" s="442"/>
      <c r="H73" s="446"/>
      <c r="I73" s="446"/>
      <c r="J73" s="442"/>
      <c r="K73" s="442"/>
      <c r="L73" s="446">
        <v>1</v>
      </c>
      <c r="M73" s="446">
        <v>2490</v>
      </c>
      <c r="N73" s="442">
        <v>1</v>
      </c>
      <c r="O73" s="442">
        <v>2490</v>
      </c>
      <c r="P73" s="446"/>
      <c r="Q73" s="446"/>
      <c r="R73" s="469"/>
      <c r="S73" s="447"/>
    </row>
    <row r="74" spans="1:19" ht="14.45" customHeight="1" x14ac:dyDescent="0.2">
      <c r="A74" s="441"/>
      <c r="B74" s="442" t="s">
        <v>1688</v>
      </c>
      <c r="C74" s="442" t="s">
        <v>444</v>
      </c>
      <c r="D74" s="442" t="s">
        <v>1679</v>
      </c>
      <c r="E74" s="442" t="s">
        <v>1689</v>
      </c>
      <c r="F74" s="442" t="s">
        <v>1758</v>
      </c>
      <c r="G74" s="442"/>
      <c r="H74" s="446"/>
      <c r="I74" s="446"/>
      <c r="J74" s="442"/>
      <c r="K74" s="442"/>
      <c r="L74" s="446">
        <v>2</v>
      </c>
      <c r="M74" s="446">
        <v>700</v>
      </c>
      <c r="N74" s="442">
        <v>1</v>
      </c>
      <c r="O74" s="442">
        <v>350</v>
      </c>
      <c r="P74" s="446"/>
      <c r="Q74" s="446"/>
      <c r="R74" s="469"/>
      <c r="S74" s="447"/>
    </row>
    <row r="75" spans="1:19" ht="14.45" customHeight="1" x14ac:dyDescent="0.2">
      <c r="A75" s="441"/>
      <c r="B75" s="442" t="s">
        <v>1688</v>
      </c>
      <c r="C75" s="442" t="s">
        <v>444</v>
      </c>
      <c r="D75" s="442" t="s">
        <v>1679</v>
      </c>
      <c r="E75" s="442" t="s">
        <v>1689</v>
      </c>
      <c r="F75" s="442" t="s">
        <v>1759</v>
      </c>
      <c r="G75" s="442"/>
      <c r="H75" s="446">
        <v>1</v>
      </c>
      <c r="I75" s="446">
        <v>1260</v>
      </c>
      <c r="J75" s="442">
        <v>0.5</v>
      </c>
      <c r="K75" s="442">
        <v>1260</v>
      </c>
      <c r="L75" s="446">
        <v>2</v>
      </c>
      <c r="M75" s="446">
        <v>2520</v>
      </c>
      <c r="N75" s="442">
        <v>1</v>
      </c>
      <c r="O75" s="442">
        <v>1260</v>
      </c>
      <c r="P75" s="446">
        <v>2</v>
      </c>
      <c r="Q75" s="446">
        <v>2520</v>
      </c>
      <c r="R75" s="469">
        <v>1</v>
      </c>
      <c r="S75" s="447">
        <v>1260</v>
      </c>
    </row>
    <row r="76" spans="1:19" ht="14.45" customHeight="1" x14ac:dyDescent="0.2">
      <c r="A76" s="441"/>
      <c r="B76" s="442" t="s">
        <v>1688</v>
      </c>
      <c r="C76" s="442" t="s">
        <v>444</v>
      </c>
      <c r="D76" s="442" t="s">
        <v>1679</v>
      </c>
      <c r="E76" s="442" t="s">
        <v>1689</v>
      </c>
      <c r="F76" s="442" t="s">
        <v>1760</v>
      </c>
      <c r="G76" s="442"/>
      <c r="H76" s="446"/>
      <c r="I76" s="446"/>
      <c r="J76" s="442"/>
      <c r="K76" s="442"/>
      <c r="L76" s="446">
        <v>1</v>
      </c>
      <c r="M76" s="446">
        <v>0</v>
      </c>
      <c r="N76" s="442"/>
      <c r="O76" s="442">
        <v>0</v>
      </c>
      <c r="P76" s="446"/>
      <c r="Q76" s="446"/>
      <c r="R76" s="469"/>
      <c r="S76" s="447"/>
    </row>
    <row r="77" spans="1:19" ht="14.45" customHeight="1" x14ac:dyDescent="0.2">
      <c r="A77" s="441"/>
      <c r="B77" s="442" t="s">
        <v>1688</v>
      </c>
      <c r="C77" s="442" t="s">
        <v>444</v>
      </c>
      <c r="D77" s="442" t="s">
        <v>1679</v>
      </c>
      <c r="E77" s="442" t="s">
        <v>1689</v>
      </c>
      <c r="F77" s="442" t="s">
        <v>1761</v>
      </c>
      <c r="G77" s="442"/>
      <c r="H77" s="446">
        <v>1</v>
      </c>
      <c r="I77" s="446">
        <v>1008</v>
      </c>
      <c r="J77" s="442"/>
      <c r="K77" s="442">
        <v>1008</v>
      </c>
      <c r="L77" s="446"/>
      <c r="M77" s="446"/>
      <c r="N77" s="442"/>
      <c r="O77" s="442"/>
      <c r="P77" s="446"/>
      <c r="Q77" s="446"/>
      <c r="R77" s="469"/>
      <c r="S77" s="447"/>
    </row>
    <row r="78" spans="1:19" ht="14.45" customHeight="1" x14ac:dyDescent="0.2">
      <c r="A78" s="441"/>
      <c r="B78" s="442" t="s">
        <v>1688</v>
      </c>
      <c r="C78" s="442" t="s">
        <v>444</v>
      </c>
      <c r="D78" s="442" t="s">
        <v>1679</v>
      </c>
      <c r="E78" s="442" t="s">
        <v>1689</v>
      </c>
      <c r="F78" s="442" t="s">
        <v>1762</v>
      </c>
      <c r="G78" s="442"/>
      <c r="H78" s="446">
        <v>1</v>
      </c>
      <c r="I78" s="446">
        <v>0</v>
      </c>
      <c r="J78" s="442"/>
      <c r="K78" s="442">
        <v>0</v>
      </c>
      <c r="L78" s="446"/>
      <c r="M78" s="446"/>
      <c r="N78" s="442"/>
      <c r="O78" s="442"/>
      <c r="P78" s="446"/>
      <c r="Q78" s="446"/>
      <c r="R78" s="469"/>
      <c r="S78" s="447"/>
    </row>
    <row r="79" spans="1:19" ht="14.45" customHeight="1" x14ac:dyDescent="0.2">
      <c r="A79" s="441"/>
      <c r="B79" s="442" t="s">
        <v>1688</v>
      </c>
      <c r="C79" s="442" t="s">
        <v>444</v>
      </c>
      <c r="D79" s="442" t="s">
        <v>1679</v>
      </c>
      <c r="E79" s="442" t="s">
        <v>1689</v>
      </c>
      <c r="F79" s="442" t="s">
        <v>1763</v>
      </c>
      <c r="G79" s="442"/>
      <c r="H79" s="446"/>
      <c r="I79" s="446"/>
      <c r="J79" s="442"/>
      <c r="K79" s="442"/>
      <c r="L79" s="446">
        <v>0</v>
      </c>
      <c r="M79" s="446">
        <v>0</v>
      </c>
      <c r="N79" s="442"/>
      <c r="O79" s="442"/>
      <c r="P79" s="446"/>
      <c r="Q79" s="446"/>
      <c r="R79" s="469"/>
      <c r="S79" s="447"/>
    </row>
    <row r="80" spans="1:19" ht="14.45" customHeight="1" x14ac:dyDescent="0.2">
      <c r="A80" s="441"/>
      <c r="B80" s="442" t="s">
        <v>1688</v>
      </c>
      <c r="C80" s="442" t="s">
        <v>444</v>
      </c>
      <c r="D80" s="442" t="s">
        <v>1679</v>
      </c>
      <c r="E80" s="442" t="s">
        <v>1689</v>
      </c>
      <c r="F80" s="442" t="s">
        <v>1764</v>
      </c>
      <c r="G80" s="442"/>
      <c r="H80" s="446">
        <v>2</v>
      </c>
      <c r="I80" s="446">
        <v>706</v>
      </c>
      <c r="J80" s="442"/>
      <c r="K80" s="442">
        <v>353</v>
      </c>
      <c r="L80" s="446"/>
      <c r="M80" s="446"/>
      <c r="N80" s="442"/>
      <c r="O80" s="442"/>
      <c r="P80" s="446">
        <v>1</v>
      </c>
      <c r="Q80" s="446">
        <v>353</v>
      </c>
      <c r="R80" s="469"/>
      <c r="S80" s="447">
        <v>353</v>
      </c>
    </row>
    <row r="81" spans="1:19" ht="14.45" customHeight="1" x14ac:dyDescent="0.2">
      <c r="A81" s="441"/>
      <c r="B81" s="442" t="s">
        <v>1688</v>
      </c>
      <c r="C81" s="442" t="s">
        <v>444</v>
      </c>
      <c r="D81" s="442" t="s">
        <v>1679</v>
      </c>
      <c r="E81" s="442" t="s">
        <v>1689</v>
      </c>
      <c r="F81" s="442" t="s">
        <v>1765</v>
      </c>
      <c r="G81" s="442"/>
      <c r="H81" s="446">
        <v>1</v>
      </c>
      <c r="I81" s="446">
        <v>0</v>
      </c>
      <c r="J81" s="442"/>
      <c r="K81" s="442">
        <v>0</v>
      </c>
      <c r="L81" s="446"/>
      <c r="M81" s="446"/>
      <c r="N81" s="442"/>
      <c r="O81" s="442"/>
      <c r="P81" s="446"/>
      <c r="Q81" s="446"/>
      <c r="R81" s="469"/>
      <c r="S81" s="447"/>
    </row>
    <row r="82" spans="1:19" ht="14.45" customHeight="1" x14ac:dyDescent="0.2">
      <c r="A82" s="441"/>
      <c r="B82" s="442" t="s">
        <v>1688</v>
      </c>
      <c r="C82" s="442" t="s">
        <v>444</v>
      </c>
      <c r="D82" s="442" t="s">
        <v>1679</v>
      </c>
      <c r="E82" s="442" t="s">
        <v>1689</v>
      </c>
      <c r="F82" s="442" t="s">
        <v>1766</v>
      </c>
      <c r="G82" s="442"/>
      <c r="H82" s="446"/>
      <c r="I82" s="446"/>
      <c r="J82" s="442"/>
      <c r="K82" s="442"/>
      <c r="L82" s="446"/>
      <c r="M82" s="446"/>
      <c r="N82" s="442"/>
      <c r="O82" s="442"/>
      <c r="P82" s="446">
        <v>1</v>
      </c>
      <c r="Q82" s="446">
        <v>1531</v>
      </c>
      <c r="R82" s="469"/>
      <c r="S82" s="447">
        <v>1531</v>
      </c>
    </row>
    <row r="83" spans="1:19" ht="14.45" customHeight="1" x14ac:dyDescent="0.2">
      <c r="A83" s="441"/>
      <c r="B83" s="442" t="s">
        <v>1688</v>
      </c>
      <c r="C83" s="442" t="s">
        <v>444</v>
      </c>
      <c r="D83" s="442" t="s">
        <v>1679</v>
      </c>
      <c r="E83" s="442" t="s">
        <v>1689</v>
      </c>
      <c r="F83" s="442" t="s">
        <v>1767</v>
      </c>
      <c r="G83" s="442"/>
      <c r="H83" s="446">
        <v>1</v>
      </c>
      <c r="I83" s="446">
        <v>940</v>
      </c>
      <c r="J83" s="442"/>
      <c r="K83" s="442">
        <v>940</v>
      </c>
      <c r="L83" s="446"/>
      <c r="M83" s="446"/>
      <c r="N83" s="442"/>
      <c r="O83" s="442"/>
      <c r="P83" s="446"/>
      <c r="Q83" s="446"/>
      <c r="R83" s="469"/>
      <c r="S83" s="447"/>
    </row>
    <row r="84" spans="1:19" ht="14.45" customHeight="1" x14ac:dyDescent="0.2">
      <c r="A84" s="441"/>
      <c r="B84" s="442" t="s">
        <v>1688</v>
      </c>
      <c r="C84" s="442" t="s">
        <v>444</v>
      </c>
      <c r="D84" s="442" t="s">
        <v>1679</v>
      </c>
      <c r="E84" s="442" t="s">
        <v>1689</v>
      </c>
      <c r="F84" s="442" t="s">
        <v>1768</v>
      </c>
      <c r="G84" s="442"/>
      <c r="H84" s="446"/>
      <c r="I84" s="446"/>
      <c r="J84" s="442"/>
      <c r="K84" s="442"/>
      <c r="L84" s="446"/>
      <c r="M84" s="446"/>
      <c r="N84" s="442"/>
      <c r="O84" s="442"/>
      <c r="P84" s="446">
        <v>2</v>
      </c>
      <c r="Q84" s="446">
        <v>1506</v>
      </c>
      <c r="R84" s="469"/>
      <c r="S84" s="447">
        <v>753</v>
      </c>
    </row>
    <row r="85" spans="1:19" ht="14.45" customHeight="1" x14ac:dyDescent="0.2">
      <c r="A85" s="441"/>
      <c r="B85" s="442" t="s">
        <v>1688</v>
      </c>
      <c r="C85" s="442" t="s">
        <v>444</v>
      </c>
      <c r="D85" s="442" t="s">
        <v>1679</v>
      </c>
      <c r="E85" s="442" t="s">
        <v>1689</v>
      </c>
      <c r="F85" s="442" t="s">
        <v>1769</v>
      </c>
      <c r="G85" s="442"/>
      <c r="H85" s="446"/>
      <c r="I85" s="446"/>
      <c r="J85" s="442"/>
      <c r="K85" s="442"/>
      <c r="L85" s="446"/>
      <c r="M85" s="446"/>
      <c r="N85" s="442"/>
      <c r="O85" s="442"/>
      <c r="P85" s="446">
        <v>1</v>
      </c>
      <c r="Q85" s="446">
        <v>2502</v>
      </c>
      <c r="R85" s="469"/>
      <c r="S85" s="447">
        <v>2502</v>
      </c>
    </row>
    <row r="86" spans="1:19" ht="14.45" customHeight="1" x14ac:dyDescent="0.2">
      <c r="A86" s="441"/>
      <c r="B86" s="442" t="s">
        <v>1688</v>
      </c>
      <c r="C86" s="442" t="s">
        <v>444</v>
      </c>
      <c r="D86" s="442" t="s">
        <v>1679</v>
      </c>
      <c r="E86" s="442" t="s">
        <v>1689</v>
      </c>
      <c r="F86" s="442" t="s">
        <v>1770</v>
      </c>
      <c r="G86" s="442"/>
      <c r="H86" s="446"/>
      <c r="I86" s="446"/>
      <c r="J86" s="442"/>
      <c r="K86" s="442"/>
      <c r="L86" s="446"/>
      <c r="M86" s="446"/>
      <c r="N86" s="442"/>
      <c r="O86" s="442"/>
      <c r="P86" s="446">
        <v>2</v>
      </c>
      <c r="Q86" s="446">
        <v>0</v>
      </c>
      <c r="R86" s="469"/>
      <c r="S86" s="447">
        <v>0</v>
      </c>
    </row>
    <row r="87" spans="1:19" ht="14.45" customHeight="1" x14ac:dyDescent="0.2">
      <c r="A87" s="441"/>
      <c r="B87" s="442" t="s">
        <v>1688</v>
      </c>
      <c r="C87" s="442" t="s">
        <v>444</v>
      </c>
      <c r="D87" s="442" t="s">
        <v>1679</v>
      </c>
      <c r="E87" s="442" t="s">
        <v>1689</v>
      </c>
      <c r="F87" s="442" t="s">
        <v>1771</v>
      </c>
      <c r="G87" s="442"/>
      <c r="H87" s="446">
        <v>1</v>
      </c>
      <c r="I87" s="446">
        <v>745</v>
      </c>
      <c r="J87" s="442"/>
      <c r="K87" s="442">
        <v>745</v>
      </c>
      <c r="L87" s="446"/>
      <c r="M87" s="446"/>
      <c r="N87" s="442"/>
      <c r="O87" s="442"/>
      <c r="P87" s="446"/>
      <c r="Q87" s="446"/>
      <c r="R87" s="469"/>
      <c r="S87" s="447"/>
    </row>
    <row r="88" spans="1:19" ht="14.45" customHeight="1" x14ac:dyDescent="0.2">
      <c r="A88" s="441"/>
      <c r="B88" s="442" t="s">
        <v>1688</v>
      </c>
      <c r="C88" s="442" t="s">
        <v>444</v>
      </c>
      <c r="D88" s="442" t="s">
        <v>1679</v>
      </c>
      <c r="E88" s="442" t="s">
        <v>1689</v>
      </c>
      <c r="F88" s="442" t="s">
        <v>1772</v>
      </c>
      <c r="G88" s="442"/>
      <c r="H88" s="446"/>
      <c r="I88" s="446"/>
      <c r="J88" s="442"/>
      <c r="K88" s="442"/>
      <c r="L88" s="446"/>
      <c r="M88" s="446"/>
      <c r="N88" s="442"/>
      <c r="O88" s="442"/>
      <c r="P88" s="446">
        <v>1</v>
      </c>
      <c r="Q88" s="446">
        <v>0</v>
      </c>
      <c r="R88" s="469"/>
      <c r="S88" s="447">
        <v>0</v>
      </c>
    </row>
    <row r="89" spans="1:19" ht="14.45" customHeight="1" x14ac:dyDescent="0.2">
      <c r="A89" s="441"/>
      <c r="B89" s="442" t="s">
        <v>1688</v>
      </c>
      <c r="C89" s="442" t="s">
        <v>444</v>
      </c>
      <c r="D89" s="442" t="s">
        <v>1679</v>
      </c>
      <c r="E89" s="442" t="s">
        <v>1773</v>
      </c>
      <c r="F89" s="442" t="s">
        <v>1774</v>
      </c>
      <c r="G89" s="442" t="s">
        <v>1775</v>
      </c>
      <c r="H89" s="446">
        <v>1</v>
      </c>
      <c r="I89" s="446">
        <v>508.89</v>
      </c>
      <c r="J89" s="442">
        <v>0.33333333333333331</v>
      </c>
      <c r="K89" s="442">
        <v>508.89</v>
      </c>
      <c r="L89" s="446">
        <v>3</v>
      </c>
      <c r="M89" s="446">
        <v>1526.67</v>
      </c>
      <c r="N89" s="442">
        <v>1</v>
      </c>
      <c r="O89" s="442">
        <v>508.89000000000004</v>
      </c>
      <c r="P89" s="446">
        <v>5</v>
      </c>
      <c r="Q89" s="446">
        <v>2912.2200000000003</v>
      </c>
      <c r="R89" s="469">
        <v>1.907563520603667</v>
      </c>
      <c r="S89" s="447">
        <v>582.44400000000007</v>
      </c>
    </row>
    <row r="90" spans="1:19" ht="14.45" customHeight="1" x14ac:dyDescent="0.2">
      <c r="A90" s="441"/>
      <c r="B90" s="442" t="s">
        <v>1688</v>
      </c>
      <c r="C90" s="442" t="s">
        <v>444</v>
      </c>
      <c r="D90" s="442" t="s">
        <v>1679</v>
      </c>
      <c r="E90" s="442" t="s">
        <v>1773</v>
      </c>
      <c r="F90" s="442" t="s">
        <v>1776</v>
      </c>
      <c r="G90" s="442" t="s">
        <v>1777</v>
      </c>
      <c r="H90" s="446">
        <v>1</v>
      </c>
      <c r="I90" s="446">
        <v>500</v>
      </c>
      <c r="J90" s="442"/>
      <c r="K90" s="442">
        <v>500</v>
      </c>
      <c r="L90" s="446"/>
      <c r="M90" s="446"/>
      <c r="N90" s="442"/>
      <c r="O90" s="442"/>
      <c r="P90" s="446"/>
      <c r="Q90" s="446"/>
      <c r="R90" s="469"/>
      <c r="S90" s="447"/>
    </row>
    <row r="91" spans="1:19" ht="14.45" customHeight="1" x14ac:dyDescent="0.2">
      <c r="A91" s="441"/>
      <c r="B91" s="442" t="s">
        <v>1688</v>
      </c>
      <c r="C91" s="442" t="s">
        <v>444</v>
      </c>
      <c r="D91" s="442" t="s">
        <v>1679</v>
      </c>
      <c r="E91" s="442" t="s">
        <v>1773</v>
      </c>
      <c r="F91" s="442" t="s">
        <v>1778</v>
      </c>
      <c r="G91" s="442" t="s">
        <v>1779</v>
      </c>
      <c r="H91" s="446">
        <v>808</v>
      </c>
      <c r="I91" s="446">
        <v>62844.430000000008</v>
      </c>
      <c r="J91" s="442">
        <v>1.0412369699224016</v>
      </c>
      <c r="K91" s="442">
        <v>77.777759900990105</v>
      </c>
      <c r="L91" s="446">
        <v>776</v>
      </c>
      <c r="M91" s="446">
        <v>60355.55</v>
      </c>
      <c r="N91" s="442">
        <v>1</v>
      </c>
      <c r="O91" s="442">
        <v>77.777770618556701</v>
      </c>
      <c r="P91" s="446">
        <v>1051</v>
      </c>
      <c r="Q91" s="446">
        <v>90883.33</v>
      </c>
      <c r="R91" s="469">
        <v>1.5057990524483664</v>
      </c>
      <c r="S91" s="447">
        <v>86.473196955280685</v>
      </c>
    </row>
    <row r="92" spans="1:19" ht="14.45" customHeight="1" x14ac:dyDescent="0.2">
      <c r="A92" s="441"/>
      <c r="B92" s="442" t="s">
        <v>1688</v>
      </c>
      <c r="C92" s="442" t="s">
        <v>444</v>
      </c>
      <c r="D92" s="442" t="s">
        <v>1679</v>
      </c>
      <c r="E92" s="442" t="s">
        <v>1773</v>
      </c>
      <c r="F92" s="442" t="s">
        <v>1780</v>
      </c>
      <c r="G92" s="442" t="s">
        <v>1781</v>
      </c>
      <c r="H92" s="446">
        <v>13</v>
      </c>
      <c r="I92" s="446">
        <v>3250</v>
      </c>
      <c r="J92" s="442">
        <v>0.48148148148148145</v>
      </c>
      <c r="K92" s="442">
        <v>250</v>
      </c>
      <c r="L92" s="446">
        <v>27</v>
      </c>
      <c r="M92" s="446">
        <v>6750</v>
      </c>
      <c r="N92" s="442">
        <v>1</v>
      </c>
      <c r="O92" s="442">
        <v>250</v>
      </c>
      <c r="P92" s="446">
        <v>37</v>
      </c>
      <c r="Q92" s="446">
        <v>9644.4499999999989</v>
      </c>
      <c r="R92" s="469">
        <v>1.4288074074074073</v>
      </c>
      <c r="S92" s="447">
        <v>260.6608108108108</v>
      </c>
    </row>
    <row r="93" spans="1:19" ht="14.45" customHeight="1" x14ac:dyDescent="0.2">
      <c r="A93" s="441"/>
      <c r="B93" s="442" t="s">
        <v>1688</v>
      </c>
      <c r="C93" s="442" t="s">
        <v>444</v>
      </c>
      <c r="D93" s="442" t="s">
        <v>1679</v>
      </c>
      <c r="E93" s="442" t="s">
        <v>1773</v>
      </c>
      <c r="F93" s="442" t="s">
        <v>1782</v>
      </c>
      <c r="G93" s="442" t="s">
        <v>1783</v>
      </c>
      <c r="H93" s="446"/>
      <c r="I93" s="446"/>
      <c r="J93" s="442"/>
      <c r="K93" s="442"/>
      <c r="L93" s="446"/>
      <c r="M93" s="446"/>
      <c r="N93" s="442"/>
      <c r="O93" s="442"/>
      <c r="P93" s="446">
        <v>2</v>
      </c>
      <c r="Q93" s="446">
        <v>611.12</v>
      </c>
      <c r="R93" s="469"/>
      <c r="S93" s="447">
        <v>305.56</v>
      </c>
    </row>
    <row r="94" spans="1:19" ht="14.45" customHeight="1" x14ac:dyDescent="0.2">
      <c r="A94" s="441"/>
      <c r="B94" s="442" t="s">
        <v>1688</v>
      </c>
      <c r="C94" s="442" t="s">
        <v>444</v>
      </c>
      <c r="D94" s="442" t="s">
        <v>1679</v>
      </c>
      <c r="E94" s="442" t="s">
        <v>1773</v>
      </c>
      <c r="F94" s="442" t="s">
        <v>1784</v>
      </c>
      <c r="G94" s="442" t="s">
        <v>1785</v>
      </c>
      <c r="H94" s="446">
        <v>180</v>
      </c>
      <c r="I94" s="446">
        <v>21000</v>
      </c>
      <c r="J94" s="442">
        <v>0.99447545208380494</v>
      </c>
      <c r="K94" s="442">
        <v>116.66666666666667</v>
      </c>
      <c r="L94" s="446">
        <v>181</v>
      </c>
      <c r="M94" s="446">
        <v>21116.66</v>
      </c>
      <c r="N94" s="442">
        <v>1</v>
      </c>
      <c r="O94" s="442">
        <v>116.66662983425414</v>
      </c>
      <c r="P94" s="446">
        <v>160</v>
      </c>
      <c r="Q94" s="446">
        <v>22153.34</v>
      </c>
      <c r="R94" s="469">
        <v>1.0490929910317257</v>
      </c>
      <c r="S94" s="447">
        <v>138.45837499999999</v>
      </c>
    </row>
    <row r="95" spans="1:19" ht="14.45" customHeight="1" x14ac:dyDescent="0.2">
      <c r="A95" s="441"/>
      <c r="B95" s="442" t="s">
        <v>1688</v>
      </c>
      <c r="C95" s="442" t="s">
        <v>444</v>
      </c>
      <c r="D95" s="442" t="s">
        <v>1679</v>
      </c>
      <c r="E95" s="442" t="s">
        <v>1773</v>
      </c>
      <c r="F95" s="442" t="s">
        <v>1786</v>
      </c>
      <c r="G95" s="442" t="s">
        <v>1787</v>
      </c>
      <c r="H95" s="446">
        <v>378</v>
      </c>
      <c r="I95" s="446">
        <v>113400</v>
      </c>
      <c r="J95" s="442">
        <v>0.50658923386196109</v>
      </c>
      <c r="K95" s="442">
        <v>300</v>
      </c>
      <c r="L95" s="446">
        <v>407</v>
      </c>
      <c r="M95" s="446">
        <v>223850</v>
      </c>
      <c r="N95" s="442">
        <v>1</v>
      </c>
      <c r="O95" s="442">
        <v>550</v>
      </c>
      <c r="P95" s="446">
        <v>380</v>
      </c>
      <c r="Q95" s="446">
        <v>220402.21000000002</v>
      </c>
      <c r="R95" s="469">
        <v>0.98459776636140284</v>
      </c>
      <c r="S95" s="447">
        <v>580.00581578947379</v>
      </c>
    </row>
    <row r="96" spans="1:19" ht="14.45" customHeight="1" x14ac:dyDescent="0.2">
      <c r="A96" s="441"/>
      <c r="B96" s="442" t="s">
        <v>1688</v>
      </c>
      <c r="C96" s="442" t="s">
        <v>444</v>
      </c>
      <c r="D96" s="442" t="s">
        <v>1679</v>
      </c>
      <c r="E96" s="442" t="s">
        <v>1773</v>
      </c>
      <c r="F96" s="442" t="s">
        <v>1788</v>
      </c>
      <c r="G96" s="442" t="s">
        <v>1789</v>
      </c>
      <c r="H96" s="446">
        <v>19</v>
      </c>
      <c r="I96" s="446">
        <v>5594.45</v>
      </c>
      <c r="J96" s="442">
        <v>19.000305664991171</v>
      </c>
      <c r="K96" s="442">
        <v>294.44473684210527</v>
      </c>
      <c r="L96" s="446">
        <v>1</v>
      </c>
      <c r="M96" s="446">
        <v>294.44</v>
      </c>
      <c r="N96" s="442">
        <v>1</v>
      </c>
      <c r="O96" s="442">
        <v>294.44</v>
      </c>
      <c r="P96" s="446">
        <v>1</v>
      </c>
      <c r="Q96" s="446">
        <v>300</v>
      </c>
      <c r="R96" s="469">
        <v>1.0188833038989267</v>
      </c>
      <c r="S96" s="447">
        <v>300</v>
      </c>
    </row>
    <row r="97" spans="1:19" ht="14.45" customHeight="1" x14ac:dyDescent="0.2">
      <c r="A97" s="441"/>
      <c r="B97" s="442" t="s">
        <v>1688</v>
      </c>
      <c r="C97" s="442" t="s">
        <v>444</v>
      </c>
      <c r="D97" s="442" t="s">
        <v>1679</v>
      </c>
      <c r="E97" s="442" t="s">
        <v>1773</v>
      </c>
      <c r="F97" s="442" t="s">
        <v>1790</v>
      </c>
      <c r="G97" s="442" t="s">
        <v>1791</v>
      </c>
      <c r="H97" s="446">
        <v>12</v>
      </c>
      <c r="I97" s="446">
        <v>9333.34</v>
      </c>
      <c r="J97" s="442"/>
      <c r="K97" s="442">
        <v>777.77833333333331</v>
      </c>
      <c r="L97" s="446"/>
      <c r="M97" s="446"/>
      <c r="N97" s="442"/>
      <c r="O97" s="442"/>
      <c r="P97" s="446"/>
      <c r="Q97" s="446"/>
      <c r="R97" s="469"/>
      <c r="S97" s="447"/>
    </row>
    <row r="98" spans="1:19" ht="14.45" customHeight="1" x14ac:dyDescent="0.2">
      <c r="A98" s="441"/>
      <c r="B98" s="442" t="s">
        <v>1688</v>
      </c>
      <c r="C98" s="442" t="s">
        <v>444</v>
      </c>
      <c r="D98" s="442" t="s">
        <v>1679</v>
      </c>
      <c r="E98" s="442" t="s">
        <v>1773</v>
      </c>
      <c r="F98" s="442" t="s">
        <v>1792</v>
      </c>
      <c r="G98" s="442" t="s">
        <v>1793</v>
      </c>
      <c r="H98" s="446">
        <v>5</v>
      </c>
      <c r="I98" s="446">
        <v>466.65999999999997</v>
      </c>
      <c r="J98" s="442"/>
      <c r="K98" s="442">
        <v>93.331999999999994</v>
      </c>
      <c r="L98" s="446"/>
      <c r="M98" s="446"/>
      <c r="N98" s="442"/>
      <c r="O98" s="442"/>
      <c r="P98" s="446"/>
      <c r="Q98" s="446"/>
      <c r="R98" s="469"/>
      <c r="S98" s="447"/>
    </row>
    <row r="99" spans="1:19" ht="14.45" customHeight="1" x14ac:dyDescent="0.2">
      <c r="A99" s="441"/>
      <c r="B99" s="442" t="s">
        <v>1688</v>
      </c>
      <c r="C99" s="442" t="s">
        <v>444</v>
      </c>
      <c r="D99" s="442" t="s">
        <v>1679</v>
      </c>
      <c r="E99" s="442" t="s">
        <v>1773</v>
      </c>
      <c r="F99" s="442" t="s">
        <v>1794</v>
      </c>
      <c r="G99" s="442"/>
      <c r="H99" s="446">
        <v>2</v>
      </c>
      <c r="I99" s="446">
        <v>66.66</v>
      </c>
      <c r="J99" s="442">
        <v>2</v>
      </c>
      <c r="K99" s="442">
        <v>33.33</v>
      </c>
      <c r="L99" s="446">
        <v>1</v>
      </c>
      <c r="M99" s="446">
        <v>33.33</v>
      </c>
      <c r="N99" s="442">
        <v>1</v>
      </c>
      <c r="O99" s="442">
        <v>33.33</v>
      </c>
      <c r="P99" s="446"/>
      <c r="Q99" s="446"/>
      <c r="R99" s="469"/>
      <c r="S99" s="447"/>
    </row>
    <row r="100" spans="1:19" ht="14.45" customHeight="1" x14ac:dyDescent="0.2">
      <c r="A100" s="441"/>
      <c r="B100" s="442" t="s">
        <v>1688</v>
      </c>
      <c r="C100" s="442" t="s">
        <v>444</v>
      </c>
      <c r="D100" s="442" t="s">
        <v>1679</v>
      </c>
      <c r="E100" s="442" t="s">
        <v>1773</v>
      </c>
      <c r="F100" s="442" t="s">
        <v>1795</v>
      </c>
      <c r="G100" s="442" t="s">
        <v>1777</v>
      </c>
      <c r="H100" s="446">
        <v>183</v>
      </c>
      <c r="I100" s="446">
        <v>76453.320000000007</v>
      </c>
      <c r="J100" s="442">
        <v>1.3455881848231637</v>
      </c>
      <c r="K100" s="442">
        <v>417.77770491803284</v>
      </c>
      <c r="L100" s="446">
        <v>136</v>
      </c>
      <c r="M100" s="446">
        <v>56817.770000000004</v>
      </c>
      <c r="N100" s="442">
        <v>1</v>
      </c>
      <c r="O100" s="442">
        <v>417.7777205882353</v>
      </c>
      <c r="P100" s="446">
        <v>120</v>
      </c>
      <c r="Q100" s="446">
        <v>51608.88</v>
      </c>
      <c r="R100" s="469">
        <v>0.90832287152417268</v>
      </c>
      <c r="S100" s="447">
        <v>430.07399999999996</v>
      </c>
    </row>
    <row r="101" spans="1:19" ht="14.45" customHeight="1" x14ac:dyDescent="0.2">
      <c r="A101" s="441"/>
      <c r="B101" s="442" t="s">
        <v>1688</v>
      </c>
      <c r="C101" s="442" t="s">
        <v>444</v>
      </c>
      <c r="D101" s="442" t="s">
        <v>1679</v>
      </c>
      <c r="E101" s="442" t="s">
        <v>1773</v>
      </c>
      <c r="F101" s="442" t="s">
        <v>1796</v>
      </c>
      <c r="G101" s="442" t="s">
        <v>1797</v>
      </c>
      <c r="H101" s="446">
        <v>165</v>
      </c>
      <c r="I101" s="446">
        <v>34833.340000000004</v>
      </c>
      <c r="J101" s="442">
        <v>1.536765451989839</v>
      </c>
      <c r="K101" s="442">
        <v>211.11115151515153</v>
      </c>
      <c r="L101" s="446">
        <v>102</v>
      </c>
      <c r="M101" s="446">
        <v>22666.66</v>
      </c>
      <c r="N101" s="442">
        <v>1</v>
      </c>
      <c r="O101" s="442">
        <v>222.22215686274509</v>
      </c>
      <c r="P101" s="446">
        <v>119</v>
      </c>
      <c r="Q101" s="446">
        <v>42570</v>
      </c>
      <c r="R101" s="469">
        <v>1.8780887876731729</v>
      </c>
      <c r="S101" s="447">
        <v>357.73109243697479</v>
      </c>
    </row>
    <row r="102" spans="1:19" ht="14.45" customHeight="1" x14ac:dyDescent="0.2">
      <c r="A102" s="441"/>
      <c r="B102" s="442" t="s">
        <v>1688</v>
      </c>
      <c r="C102" s="442" t="s">
        <v>444</v>
      </c>
      <c r="D102" s="442" t="s">
        <v>1679</v>
      </c>
      <c r="E102" s="442" t="s">
        <v>1773</v>
      </c>
      <c r="F102" s="442" t="s">
        <v>1798</v>
      </c>
      <c r="G102" s="442" t="s">
        <v>1799</v>
      </c>
      <c r="H102" s="446">
        <v>16</v>
      </c>
      <c r="I102" s="446">
        <v>9333.32</v>
      </c>
      <c r="J102" s="442">
        <v>1.6000013714317061</v>
      </c>
      <c r="K102" s="442">
        <v>583.33249999999998</v>
      </c>
      <c r="L102" s="446">
        <v>10</v>
      </c>
      <c r="M102" s="446">
        <v>5833.32</v>
      </c>
      <c r="N102" s="442">
        <v>1</v>
      </c>
      <c r="O102" s="442">
        <v>583.33199999999999</v>
      </c>
      <c r="P102" s="446">
        <v>29</v>
      </c>
      <c r="Q102" s="446">
        <v>19827.78</v>
      </c>
      <c r="R102" s="469">
        <v>3.3990557692703298</v>
      </c>
      <c r="S102" s="447">
        <v>683.71655172413784</v>
      </c>
    </row>
    <row r="103" spans="1:19" ht="14.45" customHeight="1" x14ac:dyDescent="0.2">
      <c r="A103" s="441"/>
      <c r="B103" s="442" t="s">
        <v>1688</v>
      </c>
      <c r="C103" s="442" t="s">
        <v>444</v>
      </c>
      <c r="D103" s="442" t="s">
        <v>1679</v>
      </c>
      <c r="E103" s="442" t="s">
        <v>1773</v>
      </c>
      <c r="F103" s="442" t="s">
        <v>1800</v>
      </c>
      <c r="G103" s="442" t="s">
        <v>1801</v>
      </c>
      <c r="H103" s="446">
        <v>161</v>
      </c>
      <c r="I103" s="446">
        <v>75133.320000000007</v>
      </c>
      <c r="J103" s="442">
        <v>1.2105262309910023</v>
      </c>
      <c r="K103" s="442">
        <v>466.66658385093172</v>
      </c>
      <c r="L103" s="446">
        <v>133</v>
      </c>
      <c r="M103" s="446">
        <v>62066.66</v>
      </c>
      <c r="N103" s="442">
        <v>1</v>
      </c>
      <c r="O103" s="442">
        <v>466.66661654135339</v>
      </c>
      <c r="P103" s="446">
        <v>114</v>
      </c>
      <c r="Q103" s="446">
        <v>59643.34</v>
      </c>
      <c r="R103" s="469">
        <v>0.96095617196092065</v>
      </c>
      <c r="S103" s="447">
        <v>523.18719298245605</v>
      </c>
    </row>
    <row r="104" spans="1:19" ht="14.45" customHeight="1" x14ac:dyDescent="0.2">
      <c r="A104" s="441"/>
      <c r="B104" s="442" t="s">
        <v>1688</v>
      </c>
      <c r="C104" s="442" t="s">
        <v>444</v>
      </c>
      <c r="D104" s="442" t="s">
        <v>1679</v>
      </c>
      <c r="E104" s="442" t="s">
        <v>1773</v>
      </c>
      <c r="F104" s="442" t="s">
        <v>1802</v>
      </c>
      <c r="G104" s="442" t="s">
        <v>1803</v>
      </c>
      <c r="H104" s="446">
        <v>104</v>
      </c>
      <c r="I104" s="446">
        <v>5200</v>
      </c>
      <c r="J104" s="442">
        <v>0.69179570208616326</v>
      </c>
      <c r="K104" s="442">
        <v>50</v>
      </c>
      <c r="L104" s="446">
        <v>123</v>
      </c>
      <c r="M104" s="446">
        <v>7516.6699999999992</v>
      </c>
      <c r="N104" s="442">
        <v>1</v>
      </c>
      <c r="O104" s="442">
        <v>61.111138211382105</v>
      </c>
      <c r="P104" s="446">
        <v>166</v>
      </c>
      <c r="Q104" s="446">
        <v>11516.67</v>
      </c>
      <c r="R104" s="469">
        <v>1.5321505400662796</v>
      </c>
      <c r="S104" s="447">
        <v>69.377530120481921</v>
      </c>
    </row>
    <row r="105" spans="1:19" ht="14.45" customHeight="1" x14ac:dyDescent="0.2">
      <c r="A105" s="441"/>
      <c r="B105" s="442" t="s">
        <v>1688</v>
      </c>
      <c r="C105" s="442" t="s">
        <v>444</v>
      </c>
      <c r="D105" s="442" t="s">
        <v>1679</v>
      </c>
      <c r="E105" s="442" t="s">
        <v>1773</v>
      </c>
      <c r="F105" s="442" t="s">
        <v>1804</v>
      </c>
      <c r="G105" s="442" t="s">
        <v>1805</v>
      </c>
      <c r="H105" s="446">
        <v>147</v>
      </c>
      <c r="I105" s="446">
        <v>14863.33</v>
      </c>
      <c r="J105" s="442">
        <v>0.67238001316411478</v>
      </c>
      <c r="K105" s="442">
        <v>101.11108843537414</v>
      </c>
      <c r="L105" s="446">
        <v>173</v>
      </c>
      <c r="M105" s="446">
        <v>22105.550000000003</v>
      </c>
      <c r="N105" s="442">
        <v>1</v>
      </c>
      <c r="O105" s="442">
        <v>127.7777456647399</v>
      </c>
      <c r="P105" s="446">
        <v>120</v>
      </c>
      <c r="Q105" s="446">
        <v>19986.66</v>
      </c>
      <c r="R105" s="469">
        <v>0.9041466961916802</v>
      </c>
      <c r="S105" s="447">
        <v>166.55549999999999</v>
      </c>
    </row>
    <row r="106" spans="1:19" ht="14.45" customHeight="1" x14ac:dyDescent="0.2">
      <c r="A106" s="441"/>
      <c r="B106" s="442" t="s">
        <v>1688</v>
      </c>
      <c r="C106" s="442" t="s">
        <v>444</v>
      </c>
      <c r="D106" s="442" t="s">
        <v>1679</v>
      </c>
      <c r="E106" s="442" t="s">
        <v>1773</v>
      </c>
      <c r="F106" s="442" t="s">
        <v>1806</v>
      </c>
      <c r="G106" s="442" t="s">
        <v>1807</v>
      </c>
      <c r="H106" s="446">
        <v>40</v>
      </c>
      <c r="I106" s="446">
        <v>3066.6800000000003</v>
      </c>
      <c r="J106" s="442">
        <v>0.97561503246557002</v>
      </c>
      <c r="K106" s="442">
        <v>76.667000000000002</v>
      </c>
      <c r="L106" s="446">
        <v>41</v>
      </c>
      <c r="M106" s="446">
        <v>3143.33</v>
      </c>
      <c r="N106" s="442">
        <v>1</v>
      </c>
      <c r="O106" s="442">
        <v>76.666585365853663</v>
      </c>
      <c r="P106" s="446">
        <v>22</v>
      </c>
      <c r="Q106" s="446">
        <v>4612.2300000000014</v>
      </c>
      <c r="R106" s="469">
        <v>1.4673069642703762</v>
      </c>
      <c r="S106" s="447">
        <v>209.64681818181825</v>
      </c>
    </row>
    <row r="107" spans="1:19" ht="14.45" customHeight="1" x14ac:dyDescent="0.2">
      <c r="A107" s="441"/>
      <c r="B107" s="442" t="s">
        <v>1688</v>
      </c>
      <c r="C107" s="442" t="s">
        <v>444</v>
      </c>
      <c r="D107" s="442" t="s">
        <v>1679</v>
      </c>
      <c r="E107" s="442" t="s">
        <v>1773</v>
      </c>
      <c r="F107" s="442" t="s">
        <v>1808</v>
      </c>
      <c r="G107" s="442" t="s">
        <v>1809</v>
      </c>
      <c r="H107" s="446">
        <v>746</v>
      </c>
      <c r="I107" s="446">
        <v>0</v>
      </c>
      <c r="J107" s="442"/>
      <c r="K107" s="442">
        <v>0</v>
      </c>
      <c r="L107" s="446">
        <v>662</v>
      </c>
      <c r="M107" s="446">
        <v>0</v>
      </c>
      <c r="N107" s="442"/>
      <c r="O107" s="442">
        <v>0</v>
      </c>
      <c r="P107" s="446">
        <v>517</v>
      </c>
      <c r="Q107" s="446">
        <v>0</v>
      </c>
      <c r="R107" s="469"/>
      <c r="S107" s="447">
        <v>0</v>
      </c>
    </row>
    <row r="108" spans="1:19" ht="14.45" customHeight="1" x14ac:dyDescent="0.2">
      <c r="A108" s="441"/>
      <c r="B108" s="442" t="s">
        <v>1688</v>
      </c>
      <c r="C108" s="442" t="s">
        <v>444</v>
      </c>
      <c r="D108" s="442" t="s">
        <v>1679</v>
      </c>
      <c r="E108" s="442" t="s">
        <v>1773</v>
      </c>
      <c r="F108" s="442" t="s">
        <v>1810</v>
      </c>
      <c r="G108" s="442" t="s">
        <v>1811</v>
      </c>
      <c r="H108" s="446">
        <v>187</v>
      </c>
      <c r="I108" s="446">
        <v>57138.89</v>
      </c>
      <c r="J108" s="442">
        <v>1.0564970654549073</v>
      </c>
      <c r="K108" s="442">
        <v>305.55556149732621</v>
      </c>
      <c r="L108" s="446">
        <v>177</v>
      </c>
      <c r="M108" s="446">
        <v>54083.34</v>
      </c>
      <c r="N108" s="442">
        <v>1</v>
      </c>
      <c r="O108" s="442">
        <v>305.55559322033895</v>
      </c>
      <c r="P108" s="446">
        <v>188</v>
      </c>
      <c r="Q108" s="446">
        <v>60265.55</v>
      </c>
      <c r="R108" s="469">
        <v>1.1143089535520552</v>
      </c>
      <c r="S108" s="447">
        <v>320.5614361702128</v>
      </c>
    </row>
    <row r="109" spans="1:19" ht="14.45" customHeight="1" x14ac:dyDescent="0.2">
      <c r="A109" s="441"/>
      <c r="B109" s="442" t="s">
        <v>1688</v>
      </c>
      <c r="C109" s="442" t="s">
        <v>444</v>
      </c>
      <c r="D109" s="442" t="s">
        <v>1679</v>
      </c>
      <c r="E109" s="442" t="s">
        <v>1773</v>
      </c>
      <c r="F109" s="442" t="s">
        <v>1812</v>
      </c>
      <c r="G109" s="442" t="s">
        <v>1813</v>
      </c>
      <c r="H109" s="446">
        <v>208</v>
      </c>
      <c r="I109" s="446">
        <v>6933.34</v>
      </c>
      <c r="J109" s="442">
        <v>4.837225202849309</v>
      </c>
      <c r="K109" s="442">
        <v>33.333365384615384</v>
      </c>
      <c r="L109" s="446">
        <v>43</v>
      </c>
      <c r="M109" s="446">
        <v>1433.33</v>
      </c>
      <c r="N109" s="442">
        <v>1</v>
      </c>
      <c r="O109" s="442">
        <v>33.333255813953485</v>
      </c>
      <c r="P109" s="446"/>
      <c r="Q109" s="446"/>
      <c r="R109" s="469"/>
      <c r="S109" s="447"/>
    </row>
    <row r="110" spans="1:19" ht="14.45" customHeight="1" x14ac:dyDescent="0.2">
      <c r="A110" s="441"/>
      <c r="B110" s="442" t="s">
        <v>1688</v>
      </c>
      <c r="C110" s="442" t="s">
        <v>444</v>
      </c>
      <c r="D110" s="442" t="s">
        <v>1679</v>
      </c>
      <c r="E110" s="442" t="s">
        <v>1773</v>
      </c>
      <c r="F110" s="442" t="s">
        <v>1814</v>
      </c>
      <c r="G110" s="442" t="s">
        <v>1815</v>
      </c>
      <c r="H110" s="446">
        <v>329</v>
      </c>
      <c r="I110" s="446">
        <v>149877.78</v>
      </c>
      <c r="J110" s="442">
        <v>0.84575842032468618</v>
      </c>
      <c r="K110" s="442">
        <v>455.55556231003038</v>
      </c>
      <c r="L110" s="446">
        <v>389</v>
      </c>
      <c r="M110" s="446">
        <v>177211.1</v>
      </c>
      <c r="N110" s="442">
        <v>1</v>
      </c>
      <c r="O110" s="442">
        <v>455.55552699228792</v>
      </c>
      <c r="P110" s="446">
        <v>510</v>
      </c>
      <c r="Q110" s="446">
        <v>246417.78</v>
      </c>
      <c r="R110" s="469">
        <v>1.3905324215018133</v>
      </c>
      <c r="S110" s="447">
        <v>483.17211764705883</v>
      </c>
    </row>
    <row r="111" spans="1:19" ht="14.45" customHeight="1" x14ac:dyDescent="0.2">
      <c r="A111" s="441"/>
      <c r="B111" s="442" t="s">
        <v>1688</v>
      </c>
      <c r="C111" s="442" t="s">
        <v>444</v>
      </c>
      <c r="D111" s="442" t="s">
        <v>1679</v>
      </c>
      <c r="E111" s="442" t="s">
        <v>1773</v>
      </c>
      <c r="F111" s="442" t="s">
        <v>1816</v>
      </c>
      <c r="G111" s="442" t="s">
        <v>1817</v>
      </c>
      <c r="H111" s="446"/>
      <c r="I111" s="446"/>
      <c r="J111" s="442"/>
      <c r="K111" s="442"/>
      <c r="L111" s="446">
        <v>1</v>
      </c>
      <c r="M111" s="446">
        <v>58.89</v>
      </c>
      <c r="N111" s="442">
        <v>1</v>
      </c>
      <c r="O111" s="442">
        <v>58.89</v>
      </c>
      <c r="P111" s="446"/>
      <c r="Q111" s="446"/>
      <c r="R111" s="469"/>
      <c r="S111" s="447"/>
    </row>
    <row r="112" spans="1:19" ht="14.45" customHeight="1" x14ac:dyDescent="0.2">
      <c r="A112" s="441"/>
      <c r="B112" s="442" t="s">
        <v>1688</v>
      </c>
      <c r="C112" s="442" t="s">
        <v>444</v>
      </c>
      <c r="D112" s="442" t="s">
        <v>1679</v>
      </c>
      <c r="E112" s="442" t="s">
        <v>1773</v>
      </c>
      <c r="F112" s="442" t="s">
        <v>1818</v>
      </c>
      <c r="G112" s="442" t="s">
        <v>1819</v>
      </c>
      <c r="H112" s="446">
        <v>197</v>
      </c>
      <c r="I112" s="446">
        <v>15322.220000000001</v>
      </c>
      <c r="J112" s="442">
        <v>1.0591401194194099</v>
      </c>
      <c r="K112" s="442">
        <v>77.77776649746194</v>
      </c>
      <c r="L112" s="446">
        <v>186</v>
      </c>
      <c r="M112" s="446">
        <v>14466.66</v>
      </c>
      <c r="N112" s="442">
        <v>1</v>
      </c>
      <c r="O112" s="442">
        <v>77.777741935483874</v>
      </c>
      <c r="P112" s="446">
        <v>197</v>
      </c>
      <c r="Q112" s="446">
        <v>19212.23</v>
      </c>
      <c r="R112" s="469">
        <v>1.3280349437949051</v>
      </c>
      <c r="S112" s="447">
        <v>97.524010152284262</v>
      </c>
    </row>
    <row r="113" spans="1:19" ht="14.45" customHeight="1" x14ac:dyDescent="0.2">
      <c r="A113" s="441"/>
      <c r="B113" s="442" t="s">
        <v>1688</v>
      </c>
      <c r="C113" s="442" t="s">
        <v>444</v>
      </c>
      <c r="D113" s="442" t="s">
        <v>1679</v>
      </c>
      <c r="E113" s="442" t="s">
        <v>1773</v>
      </c>
      <c r="F113" s="442" t="s">
        <v>1820</v>
      </c>
      <c r="G113" s="442" t="s">
        <v>1821</v>
      </c>
      <c r="H113" s="446">
        <v>0</v>
      </c>
      <c r="I113" s="446">
        <v>0</v>
      </c>
      <c r="J113" s="442"/>
      <c r="K113" s="442"/>
      <c r="L113" s="446">
        <v>0</v>
      </c>
      <c r="M113" s="446">
        <v>0</v>
      </c>
      <c r="N113" s="442"/>
      <c r="O113" s="442"/>
      <c r="P113" s="446">
        <v>0</v>
      </c>
      <c r="Q113" s="446">
        <v>0</v>
      </c>
      <c r="R113" s="469"/>
      <c r="S113" s="447"/>
    </row>
    <row r="114" spans="1:19" ht="14.45" customHeight="1" x14ac:dyDescent="0.2">
      <c r="A114" s="441"/>
      <c r="B114" s="442" t="s">
        <v>1688</v>
      </c>
      <c r="C114" s="442" t="s">
        <v>444</v>
      </c>
      <c r="D114" s="442" t="s">
        <v>1679</v>
      </c>
      <c r="E114" s="442" t="s">
        <v>1773</v>
      </c>
      <c r="F114" s="442" t="s">
        <v>1822</v>
      </c>
      <c r="G114" s="442" t="s">
        <v>1823</v>
      </c>
      <c r="H114" s="446">
        <v>105</v>
      </c>
      <c r="I114" s="446">
        <v>28350</v>
      </c>
      <c r="J114" s="442">
        <v>26.25</v>
      </c>
      <c r="K114" s="442">
        <v>270</v>
      </c>
      <c r="L114" s="446">
        <v>4</v>
      </c>
      <c r="M114" s="446">
        <v>1080</v>
      </c>
      <c r="N114" s="442">
        <v>1</v>
      </c>
      <c r="O114" s="442">
        <v>270</v>
      </c>
      <c r="P114" s="446"/>
      <c r="Q114" s="446"/>
      <c r="R114" s="469"/>
      <c r="S114" s="447"/>
    </row>
    <row r="115" spans="1:19" ht="14.45" customHeight="1" x14ac:dyDescent="0.2">
      <c r="A115" s="441"/>
      <c r="B115" s="442" t="s">
        <v>1688</v>
      </c>
      <c r="C115" s="442" t="s">
        <v>444</v>
      </c>
      <c r="D115" s="442" t="s">
        <v>1679</v>
      </c>
      <c r="E115" s="442" t="s">
        <v>1773</v>
      </c>
      <c r="F115" s="442" t="s">
        <v>1824</v>
      </c>
      <c r="G115" s="442" t="s">
        <v>1825</v>
      </c>
      <c r="H115" s="446">
        <v>477</v>
      </c>
      <c r="I115" s="446">
        <v>45049.99</v>
      </c>
      <c r="J115" s="442">
        <v>1.2754008666499443</v>
      </c>
      <c r="K115" s="442">
        <v>94.444423480083856</v>
      </c>
      <c r="L115" s="446">
        <v>374</v>
      </c>
      <c r="M115" s="446">
        <v>35322.22</v>
      </c>
      <c r="N115" s="442">
        <v>1</v>
      </c>
      <c r="O115" s="442">
        <v>94.444438502673805</v>
      </c>
      <c r="P115" s="446">
        <v>381</v>
      </c>
      <c r="Q115" s="446">
        <v>43700</v>
      </c>
      <c r="R115" s="469">
        <v>1.2371815814521283</v>
      </c>
      <c r="S115" s="447">
        <v>114.69816272965879</v>
      </c>
    </row>
    <row r="116" spans="1:19" ht="14.45" customHeight="1" x14ac:dyDescent="0.2">
      <c r="A116" s="441"/>
      <c r="B116" s="442" t="s">
        <v>1688</v>
      </c>
      <c r="C116" s="442" t="s">
        <v>444</v>
      </c>
      <c r="D116" s="442" t="s">
        <v>1679</v>
      </c>
      <c r="E116" s="442" t="s">
        <v>1773</v>
      </c>
      <c r="F116" s="442" t="s">
        <v>1826</v>
      </c>
      <c r="G116" s="442" t="s">
        <v>1827</v>
      </c>
      <c r="H116" s="446">
        <v>167</v>
      </c>
      <c r="I116" s="446">
        <v>7236.66</v>
      </c>
      <c r="J116" s="442">
        <v>0.92777692307692305</v>
      </c>
      <c r="K116" s="442">
        <v>43.333293413173649</v>
      </c>
      <c r="L116" s="446">
        <v>180</v>
      </c>
      <c r="M116" s="446">
        <v>7800</v>
      </c>
      <c r="N116" s="442">
        <v>1</v>
      </c>
      <c r="O116" s="442">
        <v>43.333333333333336</v>
      </c>
      <c r="P116" s="446">
        <v>131</v>
      </c>
      <c r="Q116" s="446">
        <v>9113.33</v>
      </c>
      <c r="R116" s="469">
        <v>1.168375641025641</v>
      </c>
      <c r="S116" s="447">
        <v>69.567404580152669</v>
      </c>
    </row>
    <row r="117" spans="1:19" ht="14.45" customHeight="1" x14ac:dyDescent="0.2">
      <c r="A117" s="441"/>
      <c r="B117" s="442" t="s">
        <v>1688</v>
      </c>
      <c r="C117" s="442" t="s">
        <v>444</v>
      </c>
      <c r="D117" s="442" t="s">
        <v>1679</v>
      </c>
      <c r="E117" s="442" t="s">
        <v>1773</v>
      </c>
      <c r="F117" s="442" t="s">
        <v>1828</v>
      </c>
      <c r="G117" s="442" t="s">
        <v>1829</v>
      </c>
      <c r="H117" s="446">
        <v>2</v>
      </c>
      <c r="I117" s="446">
        <v>193.33</v>
      </c>
      <c r="J117" s="442"/>
      <c r="K117" s="442">
        <v>96.665000000000006</v>
      </c>
      <c r="L117" s="446"/>
      <c r="M117" s="446"/>
      <c r="N117" s="442"/>
      <c r="O117" s="442"/>
      <c r="P117" s="446">
        <v>1</v>
      </c>
      <c r="Q117" s="446">
        <v>172.22</v>
      </c>
      <c r="R117" s="469"/>
      <c r="S117" s="447">
        <v>172.22</v>
      </c>
    </row>
    <row r="118" spans="1:19" ht="14.45" customHeight="1" x14ac:dyDescent="0.2">
      <c r="A118" s="441"/>
      <c r="B118" s="442" t="s">
        <v>1688</v>
      </c>
      <c r="C118" s="442" t="s">
        <v>444</v>
      </c>
      <c r="D118" s="442" t="s">
        <v>1679</v>
      </c>
      <c r="E118" s="442" t="s">
        <v>1773</v>
      </c>
      <c r="F118" s="442" t="s">
        <v>1830</v>
      </c>
      <c r="G118" s="442"/>
      <c r="H118" s="446">
        <v>5</v>
      </c>
      <c r="I118" s="446">
        <v>1005.5500000000001</v>
      </c>
      <c r="J118" s="442"/>
      <c r="K118" s="442">
        <v>201.11</v>
      </c>
      <c r="L118" s="446"/>
      <c r="M118" s="446"/>
      <c r="N118" s="442"/>
      <c r="O118" s="442"/>
      <c r="P118" s="446"/>
      <c r="Q118" s="446"/>
      <c r="R118" s="469"/>
      <c r="S118" s="447"/>
    </row>
    <row r="119" spans="1:19" ht="14.45" customHeight="1" x14ac:dyDescent="0.2">
      <c r="A119" s="441"/>
      <c r="B119" s="442" t="s">
        <v>1688</v>
      </c>
      <c r="C119" s="442" t="s">
        <v>444</v>
      </c>
      <c r="D119" s="442" t="s">
        <v>1679</v>
      </c>
      <c r="E119" s="442" t="s">
        <v>1773</v>
      </c>
      <c r="F119" s="442" t="s">
        <v>1831</v>
      </c>
      <c r="G119" s="442" t="s">
        <v>1832</v>
      </c>
      <c r="H119" s="446">
        <v>3</v>
      </c>
      <c r="I119" s="446">
        <v>1300</v>
      </c>
      <c r="J119" s="442">
        <v>0.74999711539571001</v>
      </c>
      <c r="K119" s="442">
        <v>433.33333333333331</v>
      </c>
      <c r="L119" s="446">
        <v>4</v>
      </c>
      <c r="M119" s="446">
        <v>1733.34</v>
      </c>
      <c r="N119" s="442">
        <v>1</v>
      </c>
      <c r="O119" s="442">
        <v>433.33499999999998</v>
      </c>
      <c r="P119" s="446">
        <v>7</v>
      </c>
      <c r="Q119" s="446">
        <v>3330</v>
      </c>
      <c r="R119" s="469">
        <v>1.9211464571290111</v>
      </c>
      <c r="S119" s="447">
        <v>475.71428571428572</v>
      </c>
    </row>
    <row r="120" spans="1:19" ht="14.45" customHeight="1" x14ac:dyDescent="0.2">
      <c r="A120" s="441"/>
      <c r="B120" s="442" t="s">
        <v>1688</v>
      </c>
      <c r="C120" s="442" t="s">
        <v>444</v>
      </c>
      <c r="D120" s="442" t="s">
        <v>1679</v>
      </c>
      <c r="E120" s="442" t="s">
        <v>1773</v>
      </c>
      <c r="F120" s="442" t="s">
        <v>1833</v>
      </c>
      <c r="G120" s="442" t="s">
        <v>1834</v>
      </c>
      <c r="H120" s="446"/>
      <c r="I120" s="446"/>
      <c r="J120" s="442"/>
      <c r="K120" s="442"/>
      <c r="L120" s="446"/>
      <c r="M120" s="446"/>
      <c r="N120" s="442"/>
      <c r="O120" s="442"/>
      <c r="P120" s="446">
        <v>0</v>
      </c>
      <c r="Q120" s="446">
        <v>0</v>
      </c>
      <c r="R120" s="469"/>
      <c r="S120" s="447"/>
    </row>
    <row r="121" spans="1:19" ht="14.45" customHeight="1" x14ac:dyDescent="0.2">
      <c r="A121" s="441"/>
      <c r="B121" s="442" t="s">
        <v>1688</v>
      </c>
      <c r="C121" s="442" t="s">
        <v>444</v>
      </c>
      <c r="D121" s="442" t="s">
        <v>1679</v>
      </c>
      <c r="E121" s="442" t="s">
        <v>1773</v>
      </c>
      <c r="F121" s="442" t="s">
        <v>1835</v>
      </c>
      <c r="G121" s="442" t="s">
        <v>1836</v>
      </c>
      <c r="H121" s="446">
        <v>2</v>
      </c>
      <c r="I121" s="446">
        <v>233.34</v>
      </c>
      <c r="J121" s="442">
        <v>1.7500937523438085</v>
      </c>
      <c r="K121" s="442">
        <v>116.67</v>
      </c>
      <c r="L121" s="446">
        <v>1</v>
      </c>
      <c r="M121" s="446">
        <v>133.33000000000001</v>
      </c>
      <c r="N121" s="442">
        <v>1</v>
      </c>
      <c r="O121" s="442">
        <v>133.33000000000001</v>
      </c>
      <c r="P121" s="446">
        <v>4</v>
      </c>
      <c r="Q121" s="446">
        <v>714.44</v>
      </c>
      <c r="R121" s="469">
        <v>5.3584339608490215</v>
      </c>
      <c r="S121" s="447">
        <v>178.61</v>
      </c>
    </row>
    <row r="122" spans="1:19" ht="14.45" customHeight="1" x14ac:dyDescent="0.2">
      <c r="A122" s="441"/>
      <c r="B122" s="442" t="s">
        <v>1688</v>
      </c>
      <c r="C122" s="442" t="s">
        <v>444</v>
      </c>
      <c r="D122" s="442" t="s">
        <v>1679</v>
      </c>
      <c r="E122" s="442" t="s">
        <v>1773</v>
      </c>
      <c r="F122" s="442" t="s">
        <v>1837</v>
      </c>
      <c r="G122" s="442" t="s">
        <v>1838</v>
      </c>
      <c r="H122" s="446">
        <v>27</v>
      </c>
      <c r="I122" s="446">
        <v>1320</v>
      </c>
      <c r="J122" s="442">
        <v>1.1739176834691045</v>
      </c>
      <c r="K122" s="442">
        <v>48.888888888888886</v>
      </c>
      <c r="L122" s="446">
        <v>23</v>
      </c>
      <c r="M122" s="446">
        <v>1124.44</v>
      </c>
      <c r="N122" s="442">
        <v>1</v>
      </c>
      <c r="O122" s="442">
        <v>48.888695652173915</v>
      </c>
      <c r="P122" s="446">
        <v>10</v>
      </c>
      <c r="Q122" s="446">
        <v>722.22</v>
      </c>
      <c r="R122" s="469">
        <v>0.64229305254170965</v>
      </c>
      <c r="S122" s="447">
        <v>72.222000000000008</v>
      </c>
    </row>
    <row r="123" spans="1:19" ht="14.45" customHeight="1" x14ac:dyDescent="0.2">
      <c r="A123" s="441"/>
      <c r="B123" s="442" t="s">
        <v>1688</v>
      </c>
      <c r="C123" s="442" t="s">
        <v>444</v>
      </c>
      <c r="D123" s="442" t="s">
        <v>1679</v>
      </c>
      <c r="E123" s="442" t="s">
        <v>1773</v>
      </c>
      <c r="F123" s="442" t="s">
        <v>1839</v>
      </c>
      <c r="G123" s="442" t="s">
        <v>1840</v>
      </c>
      <c r="H123" s="446">
        <v>1</v>
      </c>
      <c r="I123" s="446">
        <v>344.44</v>
      </c>
      <c r="J123" s="442">
        <v>0.16666505375823795</v>
      </c>
      <c r="K123" s="442">
        <v>344.44</v>
      </c>
      <c r="L123" s="446">
        <v>6</v>
      </c>
      <c r="M123" s="446">
        <v>2066.66</v>
      </c>
      <c r="N123" s="442">
        <v>1</v>
      </c>
      <c r="O123" s="442">
        <v>344.44333333333333</v>
      </c>
      <c r="P123" s="446">
        <v>32</v>
      </c>
      <c r="Q123" s="446">
        <v>12737.77</v>
      </c>
      <c r="R123" s="469">
        <v>6.163456978893481</v>
      </c>
      <c r="S123" s="447">
        <v>398.05531250000001</v>
      </c>
    </row>
    <row r="124" spans="1:19" ht="14.45" customHeight="1" x14ac:dyDescent="0.2">
      <c r="A124" s="441"/>
      <c r="B124" s="442" t="s">
        <v>1688</v>
      </c>
      <c r="C124" s="442" t="s">
        <v>444</v>
      </c>
      <c r="D124" s="442" t="s">
        <v>1679</v>
      </c>
      <c r="E124" s="442" t="s">
        <v>1773</v>
      </c>
      <c r="F124" s="442" t="s">
        <v>1841</v>
      </c>
      <c r="G124" s="442" t="s">
        <v>1842</v>
      </c>
      <c r="H124" s="446">
        <v>7</v>
      </c>
      <c r="I124" s="446">
        <v>2045.5400000000002</v>
      </c>
      <c r="J124" s="442">
        <v>0.77777482043657953</v>
      </c>
      <c r="K124" s="442">
        <v>292.22000000000003</v>
      </c>
      <c r="L124" s="446">
        <v>9</v>
      </c>
      <c r="M124" s="446">
        <v>2629.9900000000007</v>
      </c>
      <c r="N124" s="442">
        <v>1</v>
      </c>
      <c r="O124" s="442">
        <v>292.22111111111121</v>
      </c>
      <c r="P124" s="446">
        <v>4</v>
      </c>
      <c r="Q124" s="446">
        <v>1324.44</v>
      </c>
      <c r="R124" s="469">
        <v>0.50359126840786461</v>
      </c>
      <c r="S124" s="447">
        <v>331.11</v>
      </c>
    </row>
    <row r="125" spans="1:19" ht="14.45" customHeight="1" x14ac:dyDescent="0.2">
      <c r="A125" s="441"/>
      <c r="B125" s="442" t="s">
        <v>1688</v>
      </c>
      <c r="C125" s="442" t="s">
        <v>444</v>
      </c>
      <c r="D125" s="442" t="s">
        <v>1679</v>
      </c>
      <c r="E125" s="442" t="s">
        <v>1773</v>
      </c>
      <c r="F125" s="442" t="s">
        <v>1843</v>
      </c>
      <c r="G125" s="442" t="s">
        <v>1844</v>
      </c>
      <c r="H125" s="446">
        <v>7</v>
      </c>
      <c r="I125" s="446">
        <v>1555.55</v>
      </c>
      <c r="J125" s="442">
        <v>0.36842080332337801</v>
      </c>
      <c r="K125" s="442">
        <v>222.22142857142856</v>
      </c>
      <c r="L125" s="446">
        <v>19</v>
      </c>
      <c r="M125" s="446">
        <v>4222.21</v>
      </c>
      <c r="N125" s="442">
        <v>1</v>
      </c>
      <c r="O125" s="442">
        <v>222.22157894736841</v>
      </c>
      <c r="P125" s="446">
        <v>15</v>
      </c>
      <c r="Q125" s="446">
        <v>5916.66</v>
      </c>
      <c r="R125" s="469">
        <v>1.4013182669739306</v>
      </c>
      <c r="S125" s="447">
        <v>394.44400000000002</v>
      </c>
    </row>
    <row r="126" spans="1:19" ht="14.45" customHeight="1" x14ac:dyDescent="0.2">
      <c r="A126" s="441"/>
      <c r="B126" s="442" t="s">
        <v>1688</v>
      </c>
      <c r="C126" s="442" t="s">
        <v>444</v>
      </c>
      <c r="D126" s="442" t="s">
        <v>1679</v>
      </c>
      <c r="E126" s="442" t="s">
        <v>1773</v>
      </c>
      <c r="F126" s="442" t="s">
        <v>1845</v>
      </c>
      <c r="G126" s="442" t="s">
        <v>1846</v>
      </c>
      <c r="H126" s="446">
        <v>1</v>
      </c>
      <c r="I126" s="446">
        <v>116.67</v>
      </c>
      <c r="J126" s="442"/>
      <c r="K126" s="442">
        <v>116.67</v>
      </c>
      <c r="L126" s="446"/>
      <c r="M126" s="446"/>
      <c r="N126" s="442"/>
      <c r="O126" s="442"/>
      <c r="P126" s="446">
        <v>1</v>
      </c>
      <c r="Q126" s="446">
        <v>138.88999999999999</v>
      </c>
      <c r="R126" s="469"/>
      <c r="S126" s="447">
        <v>138.88999999999999</v>
      </c>
    </row>
    <row r="127" spans="1:19" ht="14.45" customHeight="1" x14ac:dyDescent="0.2">
      <c r="A127" s="441"/>
      <c r="B127" s="442" t="s">
        <v>1688</v>
      </c>
      <c r="C127" s="442" t="s">
        <v>444</v>
      </c>
      <c r="D127" s="442" t="s">
        <v>1679</v>
      </c>
      <c r="E127" s="442" t="s">
        <v>1773</v>
      </c>
      <c r="F127" s="442" t="s">
        <v>1847</v>
      </c>
      <c r="G127" s="442" t="s">
        <v>1848</v>
      </c>
      <c r="H127" s="446">
        <v>48</v>
      </c>
      <c r="I127" s="446">
        <v>5600.01</v>
      </c>
      <c r="J127" s="442">
        <v>3.0000160714859692</v>
      </c>
      <c r="K127" s="442">
        <v>116.666875</v>
      </c>
      <c r="L127" s="446">
        <v>16</v>
      </c>
      <c r="M127" s="446">
        <v>1866.6600000000003</v>
      </c>
      <c r="N127" s="442">
        <v>1</v>
      </c>
      <c r="O127" s="442">
        <v>116.66625000000002</v>
      </c>
      <c r="P127" s="446">
        <v>5</v>
      </c>
      <c r="Q127" s="446">
        <v>750</v>
      </c>
      <c r="R127" s="469">
        <v>0.40178714923981862</v>
      </c>
      <c r="S127" s="447">
        <v>150</v>
      </c>
    </row>
    <row r="128" spans="1:19" ht="14.45" customHeight="1" x14ac:dyDescent="0.2">
      <c r="A128" s="441"/>
      <c r="B128" s="442" t="s">
        <v>1688</v>
      </c>
      <c r="C128" s="442" t="s">
        <v>444</v>
      </c>
      <c r="D128" s="442" t="s">
        <v>1679</v>
      </c>
      <c r="E128" s="442" t="s">
        <v>1773</v>
      </c>
      <c r="F128" s="442" t="s">
        <v>1849</v>
      </c>
      <c r="G128" s="442" t="s">
        <v>1850</v>
      </c>
      <c r="H128" s="446"/>
      <c r="I128" s="446"/>
      <c r="J128" s="442"/>
      <c r="K128" s="442"/>
      <c r="L128" s="446"/>
      <c r="M128" s="446"/>
      <c r="N128" s="442"/>
      <c r="O128" s="442"/>
      <c r="P128" s="446">
        <v>116</v>
      </c>
      <c r="Q128" s="446">
        <v>7128.8899999999985</v>
      </c>
      <c r="R128" s="469"/>
      <c r="S128" s="447">
        <v>61.455948275862056</v>
      </c>
    </row>
    <row r="129" spans="1:19" ht="14.45" customHeight="1" x14ac:dyDescent="0.2">
      <c r="A129" s="441"/>
      <c r="B129" s="442" t="s">
        <v>1688</v>
      </c>
      <c r="C129" s="442" t="s">
        <v>1681</v>
      </c>
      <c r="D129" s="442" t="s">
        <v>1679</v>
      </c>
      <c r="E129" s="442" t="s">
        <v>1689</v>
      </c>
      <c r="F129" s="442" t="s">
        <v>1709</v>
      </c>
      <c r="G129" s="442"/>
      <c r="H129" s="446"/>
      <c r="I129" s="446"/>
      <c r="J129" s="442"/>
      <c r="K129" s="442"/>
      <c r="L129" s="446"/>
      <c r="M129" s="446"/>
      <c r="N129" s="442"/>
      <c r="O129" s="442"/>
      <c r="P129" s="446">
        <v>1</v>
      </c>
      <c r="Q129" s="446">
        <v>561</v>
      </c>
      <c r="R129" s="469"/>
      <c r="S129" s="447">
        <v>561</v>
      </c>
    </row>
    <row r="130" spans="1:19" ht="14.45" customHeight="1" x14ac:dyDescent="0.2">
      <c r="A130" s="441"/>
      <c r="B130" s="442" t="s">
        <v>1688</v>
      </c>
      <c r="C130" s="442" t="s">
        <v>1681</v>
      </c>
      <c r="D130" s="442" t="s">
        <v>1679</v>
      </c>
      <c r="E130" s="442" t="s">
        <v>1773</v>
      </c>
      <c r="F130" s="442" t="s">
        <v>1774</v>
      </c>
      <c r="G130" s="442" t="s">
        <v>1775</v>
      </c>
      <c r="H130" s="446">
        <v>44</v>
      </c>
      <c r="I130" s="446">
        <v>22391.11</v>
      </c>
      <c r="J130" s="442">
        <v>0.70967718420138493</v>
      </c>
      <c r="K130" s="442">
        <v>508.88886363636362</v>
      </c>
      <c r="L130" s="446">
        <v>62</v>
      </c>
      <c r="M130" s="446">
        <v>31551.119999999999</v>
      </c>
      <c r="N130" s="442">
        <v>1</v>
      </c>
      <c r="O130" s="442">
        <v>508.8890322580645</v>
      </c>
      <c r="P130" s="446">
        <v>60</v>
      </c>
      <c r="Q130" s="446">
        <v>34784.44</v>
      </c>
      <c r="R130" s="469">
        <v>1.1024787709596364</v>
      </c>
      <c r="S130" s="447">
        <v>579.7406666666667</v>
      </c>
    </row>
    <row r="131" spans="1:19" ht="14.45" customHeight="1" x14ac:dyDescent="0.2">
      <c r="A131" s="441"/>
      <c r="B131" s="442" t="s">
        <v>1688</v>
      </c>
      <c r="C131" s="442" t="s">
        <v>1681</v>
      </c>
      <c r="D131" s="442" t="s">
        <v>1679</v>
      </c>
      <c r="E131" s="442" t="s">
        <v>1773</v>
      </c>
      <c r="F131" s="442" t="s">
        <v>1776</v>
      </c>
      <c r="G131" s="442" t="s">
        <v>1777</v>
      </c>
      <c r="H131" s="446">
        <v>472</v>
      </c>
      <c r="I131" s="446">
        <v>236000</v>
      </c>
      <c r="J131" s="442">
        <v>0.92549019607843142</v>
      </c>
      <c r="K131" s="442">
        <v>500</v>
      </c>
      <c r="L131" s="446">
        <v>510</v>
      </c>
      <c r="M131" s="446">
        <v>255000</v>
      </c>
      <c r="N131" s="442">
        <v>1</v>
      </c>
      <c r="O131" s="442">
        <v>500</v>
      </c>
      <c r="P131" s="446">
        <v>410</v>
      </c>
      <c r="Q131" s="446">
        <v>217774.44</v>
      </c>
      <c r="R131" s="469">
        <v>0.85401741176470591</v>
      </c>
      <c r="S131" s="447">
        <v>531.15717073170731</v>
      </c>
    </row>
    <row r="132" spans="1:19" ht="14.45" customHeight="1" x14ac:dyDescent="0.2">
      <c r="A132" s="441"/>
      <c r="B132" s="442" t="s">
        <v>1688</v>
      </c>
      <c r="C132" s="442" t="s">
        <v>1681</v>
      </c>
      <c r="D132" s="442" t="s">
        <v>1679</v>
      </c>
      <c r="E132" s="442" t="s">
        <v>1773</v>
      </c>
      <c r="F132" s="442" t="s">
        <v>1851</v>
      </c>
      <c r="G132" s="442" t="s">
        <v>1852</v>
      </c>
      <c r="H132" s="446">
        <v>150</v>
      </c>
      <c r="I132" s="446">
        <v>15833.340000000002</v>
      </c>
      <c r="J132" s="442">
        <v>1.4423093214742158</v>
      </c>
      <c r="K132" s="442">
        <v>105.55560000000001</v>
      </c>
      <c r="L132" s="446">
        <v>104</v>
      </c>
      <c r="M132" s="446">
        <v>10977.77</v>
      </c>
      <c r="N132" s="442">
        <v>1</v>
      </c>
      <c r="O132" s="442">
        <v>105.55548076923077</v>
      </c>
      <c r="P132" s="446">
        <v>4</v>
      </c>
      <c r="Q132" s="446">
        <v>530</v>
      </c>
      <c r="R132" s="469">
        <v>4.8279386432763666E-2</v>
      </c>
      <c r="S132" s="447">
        <v>132.5</v>
      </c>
    </row>
    <row r="133" spans="1:19" ht="14.45" customHeight="1" x14ac:dyDescent="0.2">
      <c r="A133" s="441"/>
      <c r="B133" s="442" t="s">
        <v>1688</v>
      </c>
      <c r="C133" s="442" t="s">
        <v>1681</v>
      </c>
      <c r="D133" s="442" t="s">
        <v>1679</v>
      </c>
      <c r="E133" s="442" t="s">
        <v>1773</v>
      </c>
      <c r="F133" s="442" t="s">
        <v>1778</v>
      </c>
      <c r="G133" s="442" t="s">
        <v>1779</v>
      </c>
      <c r="H133" s="446">
        <v>4045</v>
      </c>
      <c r="I133" s="446">
        <v>314611.11</v>
      </c>
      <c r="J133" s="442">
        <v>1.1134048824654372</v>
      </c>
      <c r="K133" s="442">
        <v>77.777777503090235</v>
      </c>
      <c r="L133" s="446">
        <v>3633</v>
      </c>
      <c r="M133" s="446">
        <v>282566.67</v>
      </c>
      <c r="N133" s="442">
        <v>1</v>
      </c>
      <c r="O133" s="442">
        <v>77.777778695293136</v>
      </c>
      <c r="P133" s="446">
        <v>3603</v>
      </c>
      <c r="Q133" s="446">
        <v>315002.21000000002</v>
      </c>
      <c r="R133" s="469">
        <v>1.1147889805970395</v>
      </c>
      <c r="S133" s="447">
        <v>87.427757424368593</v>
      </c>
    </row>
    <row r="134" spans="1:19" ht="14.45" customHeight="1" x14ac:dyDescent="0.2">
      <c r="A134" s="441"/>
      <c r="B134" s="442" t="s">
        <v>1688</v>
      </c>
      <c r="C134" s="442" t="s">
        <v>1681</v>
      </c>
      <c r="D134" s="442" t="s">
        <v>1679</v>
      </c>
      <c r="E134" s="442" t="s">
        <v>1773</v>
      </c>
      <c r="F134" s="442" t="s">
        <v>1780</v>
      </c>
      <c r="G134" s="442" t="s">
        <v>1781</v>
      </c>
      <c r="H134" s="446">
        <v>19</v>
      </c>
      <c r="I134" s="446">
        <v>4750</v>
      </c>
      <c r="J134" s="442">
        <v>0.82608695652173914</v>
      </c>
      <c r="K134" s="442">
        <v>250</v>
      </c>
      <c r="L134" s="446">
        <v>23</v>
      </c>
      <c r="M134" s="446">
        <v>5750</v>
      </c>
      <c r="N134" s="442">
        <v>1</v>
      </c>
      <c r="O134" s="442">
        <v>250</v>
      </c>
      <c r="P134" s="446">
        <v>50</v>
      </c>
      <c r="Q134" s="446">
        <v>13420</v>
      </c>
      <c r="R134" s="469">
        <v>2.3339130434782609</v>
      </c>
      <c r="S134" s="447">
        <v>268.39999999999998</v>
      </c>
    </row>
    <row r="135" spans="1:19" ht="14.45" customHeight="1" x14ac:dyDescent="0.2">
      <c r="A135" s="441"/>
      <c r="B135" s="442" t="s">
        <v>1688</v>
      </c>
      <c r="C135" s="442" t="s">
        <v>1681</v>
      </c>
      <c r="D135" s="442" t="s">
        <v>1679</v>
      </c>
      <c r="E135" s="442" t="s">
        <v>1773</v>
      </c>
      <c r="F135" s="442" t="s">
        <v>1782</v>
      </c>
      <c r="G135" s="442" t="s">
        <v>1783</v>
      </c>
      <c r="H135" s="446">
        <v>2</v>
      </c>
      <c r="I135" s="446">
        <v>600</v>
      </c>
      <c r="J135" s="442"/>
      <c r="K135" s="442">
        <v>300</v>
      </c>
      <c r="L135" s="446"/>
      <c r="M135" s="446"/>
      <c r="N135" s="442"/>
      <c r="O135" s="442"/>
      <c r="P135" s="446"/>
      <c r="Q135" s="446"/>
      <c r="R135" s="469"/>
      <c r="S135" s="447"/>
    </row>
    <row r="136" spans="1:19" ht="14.45" customHeight="1" x14ac:dyDescent="0.2">
      <c r="A136" s="441"/>
      <c r="B136" s="442" t="s">
        <v>1688</v>
      </c>
      <c r="C136" s="442" t="s">
        <v>1681</v>
      </c>
      <c r="D136" s="442" t="s">
        <v>1679</v>
      </c>
      <c r="E136" s="442" t="s">
        <v>1773</v>
      </c>
      <c r="F136" s="442" t="s">
        <v>1784</v>
      </c>
      <c r="G136" s="442" t="s">
        <v>1785</v>
      </c>
      <c r="H136" s="446">
        <v>1007</v>
      </c>
      <c r="I136" s="446">
        <v>117483.33</v>
      </c>
      <c r="J136" s="442">
        <v>1.2976801366568234</v>
      </c>
      <c r="K136" s="442">
        <v>116.66666335650447</v>
      </c>
      <c r="L136" s="446">
        <v>776</v>
      </c>
      <c r="M136" s="446">
        <v>90533.349999999991</v>
      </c>
      <c r="N136" s="442">
        <v>1</v>
      </c>
      <c r="O136" s="442">
        <v>116.66668814432988</v>
      </c>
      <c r="P136" s="446">
        <v>855</v>
      </c>
      <c r="Q136" s="446">
        <v>117740.01</v>
      </c>
      <c r="R136" s="469">
        <v>1.3005153349566763</v>
      </c>
      <c r="S136" s="447">
        <v>137.70761403508772</v>
      </c>
    </row>
    <row r="137" spans="1:19" ht="14.45" customHeight="1" x14ac:dyDescent="0.2">
      <c r="A137" s="441"/>
      <c r="B137" s="442" t="s">
        <v>1688</v>
      </c>
      <c r="C137" s="442" t="s">
        <v>1681</v>
      </c>
      <c r="D137" s="442" t="s">
        <v>1679</v>
      </c>
      <c r="E137" s="442" t="s">
        <v>1773</v>
      </c>
      <c r="F137" s="442" t="s">
        <v>1853</v>
      </c>
      <c r="G137" s="442" t="s">
        <v>1854</v>
      </c>
      <c r="H137" s="446">
        <v>1</v>
      </c>
      <c r="I137" s="446">
        <v>388.89</v>
      </c>
      <c r="J137" s="442">
        <v>0.69999640002879981</v>
      </c>
      <c r="K137" s="442">
        <v>388.89</v>
      </c>
      <c r="L137" s="446">
        <v>1</v>
      </c>
      <c r="M137" s="446">
        <v>555.55999999999995</v>
      </c>
      <c r="N137" s="442">
        <v>1</v>
      </c>
      <c r="O137" s="442">
        <v>555.55999999999995</v>
      </c>
      <c r="P137" s="446">
        <v>7</v>
      </c>
      <c r="Q137" s="446">
        <v>6183.33</v>
      </c>
      <c r="R137" s="469">
        <v>11.129904960760316</v>
      </c>
      <c r="S137" s="447">
        <v>883.33285714285716</v>
      </c>
    </row>
    <row r="138" spans="1:19" ht="14.45" customHeight="1" x14ac:dyDescent="0.2">
      <c r="A138" s="441"/>
      <c r="B138" s="442" t="s">
        <v>1688</v>
      </c>
      <c r="C138" s="442" t="s">
        <v>1681</v>
      </c>
      <c r="D138" s="442" t="s">
        <v>1679</v>
      </c>
      <c r="E138" s="442" t="s">
        <v>1773</v>
      </c>
      <c r="F138" s="442" t="s">
        <v>1786</v>
      </c>
      <c r="G138" s="442" t="s">
        <v>1787</v>
      </c>
      <c r="H138" s="446">
        <v>1309</v>
      </c>
      <c r="I138" s="446">
        <v>392700</v>
      </c>
      <c r="J138" s="442">
        <v>0.52116788321167884</v>
      </c>
      <c r="K138" s="442">
        <v>300</v>
      </c>
      <c r="L138" s="446">
        <v>1370</v>
      </c>
      <c r="M138" s="446">
        <v>753500</v>
      </c>
      <c r="N138" s="442">
        <v>1</v>
      </c>
      <c r="O138" s="442">
        <v>550</v>
      </c>
      <c r="P138" s="446">
        <v>1241</v>
      </c>
      <c r="Q138" s="446">
        <v>718222.22</v>
      </c>
      <c r="R138" s="469">
        <v>0.95318144658261439</v>
      </c>
      <c r="S138" s="447">
        <v>578.74473811442385</v>
      </c>
    </row>
    <row r="139" spans="1:19" ht="14.45" customHeight="1" x14ac:dyDescent="0.2">
      <c r="A139" s="441"/>
      <c r="B139" s="442" t="s">
        <v>1688</v>
      </c>
      <c r="C139" s="442" t="s">
        <v>1681</v>
      </c>
      <c r="D139" s="442" t="s">
        <v>1679</v>
      </c>
      <c r="E139" s="442" t="s">
        <v>1773</v>
      </c>
      <c r="F139" s="442" t="s">
        <v>1788</v>
      </c>
      <c r="G139" s="442" t="s">
        <v>1789</v>
      </c>
      <c r="H139" s="446">
        <v>241</v>
      </c>
      <c r="I139" s="446">
        <v>70961.11</v>
      </c>
      <c r="J139" s="442">
        <v>1.451806843149005</v>
      </c>
      <c r="K139" s="442">
        <v>294.44443983402488</v>
      </c>
      <c r="L139" s="446">
        <v>166</v>
      </c>
      <c r="M139" s="446">
        <v>48877.789999999994</v>
      </c>
      <c r="N139" s="442">
        <v>1</v>
      </c>
      <c r="O139" s="442">
        <v>294.4445180722891</v>
      </c>
      <c r="P139" s="446">
        <v>27</v>
      </c>
      <c r="Q139" s="446">
        <v>8677.7699999999986</v>
      </c>
      <c r="R139" s="469">
        <v>0.17754014655736275</v>
      </c>
      <c r="S139" s="447">
        <v>321.39888888888885</v>
      </c>
    </row>
    <row r="140" spans="1:19" ht="14.45" customHeight="1" x14ac:dyDescent="0.2">
      <c r="A140" s="441"/>
      <c r="B140" s="442" t="s">
        <v>1688</v>
      </c>
      <c r="C140" s="442" t="s">
        <v>1681</v>
      </c>
      <c r="D140" s="442" t="s">
        <v>1679</v>
      </c>
      <c r="E140" s="442" t="s">
        <v>1773</v>
      </c>
      <c r="F140" s="442" t="s">
        <v>1794</v>
      </c>
      <c r="G140" s="442"/>
      <c r="H140" s="446">
        <v>3</v>
      </c>
      <c r="I140" s="446">
        <v>100</v>
      </c>
      <c r="J140" s="442">
        <v>1</v>
      </c>
      <c r="K140" s="442">
        <v>33.333333333333336</v>
      </c>
      <c r="L140" s="446">
        <v>3</v>
      </c>
      <c r="M140" s="446">
        <v>100</v>
      </c>
      <c r="N140" s="442">
        <v>1</v>
      </c>
      <c r="O140" s="442">
        <v>33.333333333333336</v>
      </c>
      <c r="P140" s="446"/>
      <c r="Q140" s="446"/>
      <c r="R140" s="469"/>
      <c r="S140" s="447"/>
    </row>
    <row r="141" spans="1:19" ht="14.45" customHeight="1" x14ac:dyDescent="0.2">
      <c r="A141" s="441"/>
      <c r="B141" s="442" t="s">
        <v>1688</v>
      </c>
      <c r="C141" s="442" t="s">
        <v>1681</v>
      </c>
      <c r="D141" s="442" t="s">
        <v>1679</v>
      </c>
      <c r="E141" s="442" t="s">
        <v>1773</v>
      </c>
      <c r="F141" s="442" t="s">
        <v>1795</v>
      </c>
      <c r="G141" s="442" t="s">
        <v>1777</v>
      </c>
      <c r="H141" s="446">
        <v>724</v>
      </c>
      <c r="I141" s="446">
        <v>302471.11</v>
      </c>
      <c r="J141" s="442">
        <v>1.1510333480311816</v>
      </c>
      <c r="K141" s="442">
        <v>417.77777624309391</v>
      </c>
      <c r="L141" s="446">
        <v>629</v>
      </c>
      <c r="M141" s="446">
        <v>262782.23</v>
      </c>
      <c r="N141" s="442">
        <v>1</v>
      </c>
      <c r="O141" s="442">
        <v>417.77779014308425</v>
      </c>
      <c r="P141" s="446">
        <v>418</v>
      </c>
      <c r="Q141" s="446">
        <v>185726.66999999998</v>
      </c>
      <c r="R141" s="469">
        <v>0.70677027894922728</v>
      </c>
      <c r="S141" s="447">
        <v>444.32217703349278</v>
      </c>
    </row>
    <row r="142" spans="1:19" ht="14.45" customHeight="1" x14ac:dyDescent="0.2">
      <c r="A142" s="441"/>
      <c r="B142" s="442" t="s">
        <v>1688</v>
      </c>
      <c r="C142" s="442" t="s">
        <v>1681</v>
      </c>
      <c r="D142" s="442" t="s">
        <v>1679</v>
      </c>
      <c r="E142" s="442" t="s">
        <v>1773</v>
      </c>
      <c r="F142" s="442" t="s">
        <v>1796</v>
      </c>
      <c r="G142" s="442" t="s">
        <v>1797</v>
      </c>
      <c r="H142" s="446">
        <v>83</v>
      </c>
      <c r="I142" s="446">
        <v>17522.230000000003</v>
      </c>
      <c r="J142" s="442">
        <v>1.642710089193806</v>
      </c>
      <c r="K142" s="442">
        <v>211.11120481927713</v>
      </c>
      <c r="L142" s="446">
        <v>48</v>
      </c>
      <c r="M142" s="446">
        <v>10666.66</v>
      </c>
      <c r="N142" s="442">
        <v>1</v>
      </c>
      <c r="O142" s="442">
        <v>222.22208333333333</v>
      </c>
      <c r="P142" s="446">
        <v>161</v>
      </c>
      <c r="Q142" s="446">
        <v>57372.22</v>
      </c>
      <c r="R142" s="469">
        <v>5.3786489866556169</v>
      </c>
      <c r="S142" s="447">
        <v>356.34919254658388</v>
      </c>
    </row>
    <row r="143" spans="1:19" ht="14.45" customHeight="1" x14ac:dyDescent="0.2">
      <c r="A143" s="441"/>
      <c r="B143" s="442" t="s">
        <v>1688</v>
      </c>
      <c r="C143" s="442" t="s">
        <v>1681</v>
      </c>
      <c r="D143" s="442" t="s">
        <v>1679</v>
      </c>
      <c r="E143" s="442" t="s">
        <v>1773</v>
      </c>
      <c r="F143" s="442" t="s">
        <v>1798</v>
      </c>
      <c r="G143" s="442" t="s">
        <v>1799</v>
      </c>
      <c r="H143" s="446">
        <v>41</v>
      </c>
      <c r="I143" s="446">
        <v>23916.67</v>
      </c>
      <c r="J143" s="442">
        <v>1.3225803419058646</v>
      </c>
      <c r="K143" s="442">
        <v>583.33341463414627</v>
      </c>
      <c r="L143" s="446">
        <v>31</v>
      </c>
      <c r="M143" s="446">
        <v>18083.34</v>
      </c>
      <c r="N143" s="442">
        <v>1</v>
      </c>
      <c r="O143" s="442">
        <v>583.33354838709681</v>
      </c>
      <c r="P143" s="446">
        <v>61</v>
      </c>
      <c r="Q143" s="446">
        <v>41358.879999999997</v>
      </c>
      <c r="R143" s="469">
        <v>2.2871261614281431</v>
      </c>
      <c r="S143" s="447">
        <v>678.0144262295081</v>
      </c>
    </row>
    <row r="144" spans="1:19" ht="14.45" customHeight="1" x14ac:dyDescent="0.2">
      <c r="A144" s="441"/>
      <c r="B144" s="442" t="s">
        <v>1688</v>
      </c>
      <c r="C144" s="442" t="s">
        <v>1681</v>
      </c>
      <c r="D144" s="442" t="s">
        <v>1679</v>
      </c>
      <c r="E144" s="442" t="s">
        <v>1773</v>
      </c>
      <c r="F144" s="442" t="s">
        <v>1800</v>
      </c>
      <c r="G144" s="442" t="s">
        <v>1801</v>
      </c>
      <c r="H144" s="446">
        <v>158</v>
      </c>
      <c r="I144" s="446">
        <v>73733.34</v>
      </c>
      <c r="J144" s="442">
        <v>39.499933035833863</v>
      </c>
      <c r="K144" s="442">
        <v>466.66670886075946</v>
      </c>
      <c r="L144" s="446">
        <v>4</v>
      </c>
      <c r="M144" s="446">
        <v>1866.67</v>
      </c>
      <c r="N144" s="442">
        <v>1</v>
      </c>
      <c r="O144" s="442">
        <v>466.66750000000002</v>
      </c>
      <c r="P144" s="446">
        <v>10</v>
      </c>
      <c r="Q144" s="446">
        <v>5055.5700000000006</v>
      </c>
      <c r="R144" s="469">
        <v>2.7083362351138662</v>
      </c>
      <c r="S144" s="447">
        <v>505.55700000000007</v>
      </c>
    </row>
    <row r="145" spans="1:19" ht="14.45" customHeight="1" x14ac:dyDescent="0.2">
      <c r="A145" s="441"/>
      <c r="B145" s="442" t="s">
        <v>1688</v>
      </c>
      <c r="C145" s="442" t="s">
        <v>1681</v>
      </c>
      <c r="D145" s="442" t="s">
        <v>1679</v>
      </c>
      <c r="E145" s="442" t="s">
        <v>1773</v>
      </c>
      <c r="F145" s="442" t="s">
        <v>1802</v>
      </c>
      <c r="G145" s="442" t="s">
        <v>1803</v>
      </c>
      <c r="H145" s="446">
        <v>62</v>
      </c>
      <c r="I145" s="446">
        <v>3100</v>
      </c>
      <c r="J145" s="442">
        <v>0.80519480519480524</v>
      </c>
      <c r="K145" s="442">
        <v>50</v>
      </c>
      <c r="L145" s="446">
        <v>63</v>
      </c>
      <c r="M145" s="446">
        <v>3850</v>
      </c>
      <c r="N145" s="442">
        <v>1</v>
      </c>
      <c r="O145" s="442">
        <v>61.111111111111114</v>
      </c>
      <c r="P145" s="446">
        <v>90</v>
      </c>
      <c r="Q145" s="446">
        <v>6130</v>
      </c>
      <c r="R145" s="469">
        <v>1.5922077922077922</v>
      </c>
      <c r="S145" s="447">
        <v>68.111111111111114</v>
      </c>
    </row>
    <row r="146" spans="1:19" ht="14.45" customHeight="1" x14ac:dyDescent="0.2">
      <c r="A146" s="441"/>
      <c r="B146" s="442" t="s">
        <v>1688</v>
      </c>
      <c r="C146" s="442" t="s">
        <v>1681</v>
      </c>
      <c r="D146" s="442" t="s">
        <v>1679</v>
      </c>
      <c r="E146" s="442" t="s">
        <v>1773</v>
      </c>
      <c r="F146" s="442" t="s">
        <v>1804</v>
      </c>
      <c r="G146" s="442" t="s">
        <v>1805</v>
      </c>
      <c r="H146" s="446">
        <v>4</v>
      </c>
      <c r="I146" s="446">
        <v>404.44</v>
      </c>
      <c r="J146" s="442">
        <v>0.52753502204366998</v>
      </c>
      <c r="K146" s="442">
        <v>101.11</v>
      </c>
      <c r="L146" s="446">
        <v>6</v>
      </c>
      <c r="M146" s="446">
        <v>766.66</v>
      </c>
      <c r="N146" s="442">
        <v>1</v>
      </c>
      <c r="O146" s="442">
        <v>127.77666666666666</v>
      </c>
      <c r="P146" s="446">
        <v>14</v>
      </c>
      <c r="Q146" s="446">
        <v>2325.5500000000002</v>
      </c>
      <c r="R146" s="469">
        <v>3.0333524639344693</v>
      </c>
      <c r="S146" s="447">
        <v>166.11071428571429</v>
      </c>
    </row>
    <row r="147" spans="1:19" ht="14.45" customHeight="1" x14ac:dyDescent="0.2">
      <c r="A147" s="441"/>
      <c r="B147" s="442" t="s">
        <v>1688</v>
      </c>
      <c r="C147" s="442" t="s">
        <v>1681</v>
      </c>
      <c r="D147" s="442" t="s">
        <v>1679</v>
      </c>
      <c r="E147" s="442" t="s">
        <v>1773</v>
      </c>
      <c r="F147" s="442" t="s">
        <v>1806</v>
      </c>
      <c r="G147" s="442" t="s">
        <v>1807</v>
      </c>
      <c r="H147" s="446">
        <v>1</v>
      </c>
      <c r="I147" s="446">
        <v>76.67</v>
      </c>
      <c r="J147" s="442"/>
      <c r="K147" s="442">
        <v>76.67</v>
      </c>
      <c r="L147" s="446"/>
      <c r="M147" s="446"/>
      <c r="N147" s="442"/>
      <c r="O147" s="442"/>
      <c r="P147" s="446"/>
      <c r="Q147" s="446"/>
      <c r="R147" s="469"/>
      <c r="S147" s="447"/>
    </row>
    <row r="148" spans="1:19" ht="14.45" customHeight="1" x14ac:dyDescent="0.2">
      <c r="A148" s="441"/>
      <c r="B148" s="442" t="s">
        <v>1688</v>
      </c>
      <c r="C148" s="442" t="s">
        <v>1681</v>
      </c>
      <c r="D148" s="442" t="s">
        <v>1679</v>
      </c>
      <c r="E148" s="442" t="s">
        <v>1773</v>
      </c>
      <c r="F148" s="442" t="s">
        <v>1855</v>
      </c>
      <c r="G148" s="442" t="s">
        <v>1856</v>
      </c>
      <c r="H148" s="446">
        <v>1</v>
      </c>
      <c r="I148" s="446">
        <v>0</v>
      </c>
      <c r="J148" s="442"/>
      <c r="K148" s="442">
        <v>0</v>
      </c>
      <c r="L148" s="446"/>
      <c r="M148" s="446"/>
      <c r="N148" s="442"/>
      <c r="O148" s="442"/>
      <c r="P148" s="446"/>
      <c r="Q148" s="446"/>
      <c r="R148" s="469"/>
      <c r="S148" s="447"/>
    </row>
    <row r="149" spans="1:19" ht="14.45" customHeight="1" x14ac:dyDescent="0.2">
      <c r="A149" s="441"/>
      <c r="B149" s="442" t="s">
        <v>1688</v>
      </c>
      <c r="C149" s="442" t="s">
        <v>1681</v>
      </c>
      <c r="D149" s="442" t="s">
        <v>1679</v>
      </c>
      <c r="E149" s="442" t="s">
        <v>1773</v>
      </c>
      <c r="F149" s="442" t="s">
        <v>1808</v>
      </c>
      <c r="G149" s="442" t="s">
        <v>1809</v>
      </c>
      <c r="H149" s="446"/>
      <c r="I149" s="446"/>
      <c r="J149" s="442"/>
      <c r="K149" s="442"/>
      <c r="L149" s="446"/>
      <c r="M149" s="446"/>
      <c r="N149" s="442"/>
      <c r="O149" s="442"/>
      <c r="P149" s="446">
        <v>1</v>
      </c>
      <c r="Q149" s="446">
        <v>0</v>
      </c>
      <c r="R149" s="469"/>
      <c r="S149" s="447">
        <v>0</v>
      </c>
    </row>
    <row r="150" spans="1:19" ht="14.45" customHeight="1" x14ac:dyDescent="0.2">
      <c r="A150" s="441"/>
      <c r="B150" s="442" t="s">
        <v>1688</v>
      </c>
      <c r="C150" s="442" t="s">
        <v>1681</v>
      </c>
      <c r="D150" s="442" t="s">
        <v>1679</v>
      </c>
      <c r="E150" s="442" t="s">
        <v>1773</v>
      </c>
      <c r="F150" s="442" t="s">
        <v>1810</v>
      </c>
      <c r="G150" s="442" t="s">
        <v>1811</v>
      </c>
      <c r="H150" s="446">
        <v>480</v>
      </c>
      <c r="I150" s="446">
        <v>146666.68</v>
      </c>
      <c r="J150" s="442">
        <v>1.0278373125233671</v>
      </c>
      <c r="K150" s="442">
        <v>305.55558333333335</v>
      </c>
      <c r="L150" s="446">
        <v>467</v>
      </c>
      <c r="M150" s="446">
        <v>142694.45000000001</v>
      </c>
      <c r="N150" s="442">
        <v>1</v>
      </c>
      <c r="O150" s="442">
        <v>305.55556745182014</v>
      </c>
      <c r="P150" s="446">
        <v>437</v>
      </c>
      <c r="Q150" s="446">
        <v>140921.10999999999</v>
      </c>
      <c r="R150" s="469">
        <v>0.98757246690393341</v>
      </c>
      <c r="S150" s="447">
        <v>322.47393592677344</v>
      </c>
    </row>
    <row r="151" spans="1:19" ht="14.45" customHeight="1" x14ac:dyDescent="0.2">
      <c r="A151" s="441"/>
      <c r="B151" s="442" t="s">
        <v>1688</v>
      </c>
      <c r="C151" s="442" t="s">
        <v>1681</v>
      </c>
      <c r="D151" s="442" t="s">
        <v>1679</v>
      </c>
      <c r="E151" s="442" t="s">
        <v>1773</v>
      </c>
      <c r="F151" s="442" t="s">
        <v>1812</v>
      </c>
      <c r="G151" s="442" t="s">
        <v>1813</v>
      </c>
      <c r="H151" s="446">
        <v>528</v>
      </c>
      <c r="I151" s="446">
        <v>17599.990000000002</v>
      </c>
      <c r="J151" s="442">
        <v>2.7076907692307697</v>
      </c>
      <c r="K151" s="442">
        <v>33.333314393939396</v>
      </c>
      <c r="L151" s="446">
        <v>195</v>
      </c>
      <c r="M151" s="446">
        <v>6500</v>
      </c>
      <c r="N151" s="442">
        <v>1</v>
      </c>
      <c r="O151" s="442">
        <v>33.333333333333336</v>
      </c>
      <c r="P151" s="446"/>
      <c r="Q151" s="446"/>
      <c r="R151" s="469"/>
      <c r="S151" s="447"/>
    </row>
    <row r="152" spans="1:19" ht="14.45" customHeight="1" x14ac:dyDescent="0.2">
      <c r="A152" s="441"/>
      <c r="B152" s="442" t="s">
        <v>1688</v>
      </c>
      <c r="C152" s="442" t="s">
        <v>1681</v>
      </c>
      <c r="D152" s="442" t="s">
        <v>1679</v>
      </c>
      <c r="E152" s="442" t="s">
        <v>1773</v>
      </c>
      <c r="F152" s="442" t="s">
        <v>1814</v>
      </c>
      <c r="G152" s="442" t="s">
        <v>1815</v>
      </c>
      <c r="H152" s="446">
        <v>602</v>
      </c>
      <c r="I152" s="446">
        <v>274244.44</v>
      </c>
      <c r="J152" s="442">
        <v>1.0561403608765174</v>
      </c>
      <c r="K152" s="442">
        <v>455.55554817275748</v>
      </c>
      <c r="L152" s="446">
        <v>570</v>
      </c>
      <c r="M152" s="446">
        <v>259666.66000000003</v>
      </c>
      <c r="N152" s="442">
        <v>1</v>
      </c>
      <c r="O152" s="442">
        <v>455.55554385964916</v>
      </c>
      <c r="P152" s="446">
        <v>926</v>
      </c>
      <c r="Q152" s="446">
        <v>439866.66000000003</v>
      </c>
      <c r="R152" s="469">
        <v>1.6939666416936237</v>
      </c>
      <c r="S152" s="447">
        <v>475.01799136069116</v>
      </c>
    </row>
    <row r="153" spans="1:19" ht="14.45" customHeight="1" x14ac:dyDescent="0.2">
      <c r="A153" s="441"/>
      <c r="B153" s="442" t="s">
        <v>1688</v>
      </c>
      <c r="C153" s="442" t="s">
        <v>1681</v>
      </c>
      <c r="D153" s="442" t="s">
        <v>1679</v>
      </c>
      <c r="E153" s="442" t="s">
        <v>1773</v>
      </c>
      <c r="F153" s="442" t="s">
        <v>1818</v>
      </c>
      <c r="G153" s="442" t="s">
        <v>1819</v>
      </c>
      <c r="H153" s="446">
        <v>487</v>
      </c>
      <c r="I153" s="446">
        <v>37877.79</v>
      </c>
      <c r="J153" s="442">
        <v>1.0041240944992103</v>
      </c>
      <c r="K153" s="442">
        <v>77.77780287474333</v>
      </c>
      <c r="L153" s="446">
        <v>485</v>
      </c>
      <c r="M153" s="446">
        <v>37722.22</v>
      </c>
      <c r="N153" s="442">
        <v>1</v>
      </c>
      <c r="O153" s="442">
        <v>77.777773195876293</v>
      </c>
      <c r="P153" s="446">
        <v>446</v>
      </c>
      <c r="Q153" s="446">
        <v>43711.11</v>
      </c>
      <c r="R153" s="469">
        <v>1.1587629254057688</v>
      </c>
      <c r="S153" s="447">
        <v>98.006973094170405</v>
      </c>
    </row>
    <row r="154" spans="1:19" ht="14.45" customHeight="1" x14ac:dyDescent="0.2">
      <c r="A154" s="441"/>
      <c r="B154" s="442" t="s">
        <v>1688</v>
      </c>
      <c r="C154" s="442" t="s">
        <v>1681</v>
      </c>
      <c r="D154" s="442" t="s">
        <v>1679</v>
      </c>
      <c r="E154" s="442" t="s">
        <v>1773</v>
      </c>
      <c r="F154" s="442" t="s">
        <v>1822</v>
      </c>
      <c r="G154" s="442" t="s">
        <v>1823</v>
      </c>
      <c r="H154" s="446">
        <v>1</v>
      </c>
      <c r="I154" s="446">
        <v>270</v>
      </c>
      <c r="J154" s="442">
        <v>0.5</v>
      </c>
      <c r="K154" s="442">
        <v>270</v>
      </c>
      <c r="L154" s="446">
        <v>2</v>
      </c>
      <c r="M154" s="446">
        <v>540</v>
      </c>
      <c r="N154" s="442">
        <v>1</v>
      </c>
      <c r="O154" s="442">
        <v>270</v>
      </c>
      <c r="P154" s="446">
        <v>1</v>
      </c>
      <c r="Q154" s="446">
        <v>333.33</v>
      </c>
      <c r="R154" s="469">
        <v>0.6172777777777777</v>
      </c>
      <c r="S154" s="447">
        <v>333.33</v>
      </c>
    </row>
    <row r="155" spans="1:19" ht="14.45" customHeight="1" x14ac:dyDescent="0.2">
      <c r="A155" s="441"/>
      <c r="B155" s="442" t="s">
        <v>1688</v>
      </c>
      <c r="C155" s="442" t="s">
        <v>1681</v>
      </c>
      <c r="D155" s="442" t="s">
        <v>1679</v>
      </c>
      <c r="E155" s="442" t="s">
        <v>1773</v>
      </c>
      <c r="F155" s="442" t="s">
        <v>1824</v>
      </c>
      <c r="G155" s="442" t="s">
        <v>1825</v>
      </c>
      <c r="H155" s="446">
        <v>1016</v>
      </c>
      <c r="I155" s="446">
        <v>95955.55</v>
      </c>
      <c r="J155" s="442">
        <v>1.0594368781067749</v>
      </c>
      <c r="K155" s="442">
        <v>94.444438976377953</v>
      </c>
      <c r="L155" s="446">
        <v>959</v>
      </c>
      <c r="M155" s="446">
        <v>90572.22</v>
      </c>
      <c r="N155" s="442">
        <v>1</v>
      </c>
      <c r="O155" s="442">
        <v>94.444442127215851</v>
      </c>
      <c r="P155" s="446">
        <v>1159</v>
      </c>
      <c r="Q155" s="446">
        <v>133894.44</v>
      </c>
      <c r="R155" s="469">
        <v>1.4783168613952491</v>
      </c>
      <c r="S155" s="447">
        <v>115.5258326143227</v>
      </c>
    </row>
    <row r="156" spans="1:19" ht="14.45" customHeight="1" x14ac:dyDescent="0.2">
      <c r="A156" s="441"/>
      <c r="B156" s="442" t="s">
        <v>1688</v>
      </c>
      <c r="C156" s="442" t="s">
        <v>1681</v>
      </c>
      <c r="D156" s="442" t="s">
        <v>1679</v>
      </c>
      <c r="E156" s="442" t="s">
        <v>1773</v>
      </c>
      <c r="F156" s="442" t="s">
        <v>1828</v>
      </c>
      <c r="G156" s="442" t="s">
        <v>1829</v>
      </c>
      <c r="H156" s="446">
        <v>4</v>
      </c>
      <c r="I156" s="446">
        <v>386.67</v>
      </c>
      <c r="J156" s="442">
        <v>0.36363721857543208</v>
      </c>
      <c r="K156" s="442">
        <v>96.667500000000004</v>
      </c>
      <c r="L156" s="446">
        <v>11</v>
      </c>
      <c r="M156" s="446">
        <v>1063.3400000000001</v>
      </c>
      <c r="N156" s="442">
        <v>1</v>
      </c>
      <c r="O156" s="442">
        <v>96.667272727272746</v>
      </c>
      <c r="P156" s="446">
        <v>2</v>
      </c>
      <c r="Q156" s="446">
        <v>300</v>
      </c>
      <c r="R156" s="469">
        <v>0.28212989260255417</v>
      </c>
      <c r="S156" s="447">
        <v>150</v>
      </c>
    </row>
    <row r="157" spans="1:19" ht="14.45" customHeight="1" x14ac:dyDescent="0.2">
      <c r="A157" s="441"/>
      <c r="B157" s="442" t="s">
        <v>1688</v>
      </c>
      <c r="C157" s="442" t="s">
        <v>1681</v>
      </c>
      <c r="D157" s="442" t="s">
        <v>1679</v>
      </c>
      <c r="E157" s="442" t="s">
        <v>1773</v>
      </c>
      <c r="F157" s="442" t="s">
        <v>1831</v>
      </c>
      <c r="G157" s="442" t="s">
        <v>1832</v>
      </c>
      <c r="H157" s="446">
        <v>2</v>
      </c>
      <c r="I157" s="446">
        <v>866.67</v>
      </c>
      <c r="J157" s="442">
        <v>0.3333346153846154</v>
      </c>
      <c r="K157" s="442">
        <v>433.33499999999998</v>
      </c>
      <c r="L157" s="446">
        <v>6</v>
      </c>
      <c r="M157" s="446">
        <v>2600</v>
      </c>
      <c r="N157" s="442">
        <v>1</v>
      </c>
      <c r="O157" s="442">
        <v>433.33333333333331</v>
      </c>
      <c r="P157" s="446">
        <v>11</v>
      </c>
      <c r="Q157" s="446">
        <v>4956.67</v>
      </c>
      <c r="R157" s="469">
        <v>1.9064115384615385</v>
      </c>
      <c r="S157" s="447">
        <v>450.60636363636365</v>
      </c>
    </row>
    <row r="158" spans="1:19" ht="14.45" customHeight="1" x14ac:dyDescent="0.2">
      <c r="A158" s="441"/>
      <c r="B158" s="442" t="s">
        <v>1688</v>
      </c>
      <c r="C158" s="442" t="s">
        <v>1681</v>
      </c>
      <c r="D158" s="442" t="s">
        <v>1679</v>
      </c>
      <c r="E158" s="442" t="s">
        <v>1773</v>
      </c>
      <c r="F158" s="442" t="s">
        <v>1833</v>
      </c>
      <c r="G158" s="442" t="s">
        <v>1834</v>
      </c>
      <c r="H158" s="446">
        <v>11</v>
      </c>
      <c r="I158" s="446">
        <v>831.12</v>
      </c>
      <c r="J158" s="442">
        <v>0.84616481032762514</v>
      </c>
      <c r="K158" s="442">
        <v>75.556363636363642</v>
      </c>
      <c r="L158" s="446">
        <v>13</v>
      </c>
      <c r="M158" s="446">
        <v>982.22</v>
      </c>
      <c r="N158" s="442">
        <v>1</v>
      </c>
      <c r="O158" s="442">
        <v>75.555384615384611</v>
      </c>
      <c r="P158" s="446">
        <v>6</v>
      </c>
      <c r="Q158" s="446">
        <v>628.88</v>
      </c>
      <c r="R158" s="469">
        <v>0.64026389199975564</v>
      </c>
      <c r="S158" s="447">
        <v>104.81333333333333</v>
      </c>
    </row>
    <row r="159" spans="1:19" ht="14.45" customHeight="1" x14ac:dyDescent="0.2">
      <c r="A159" s="441"/>
      <c r="B159" s="442" t="s">
        <v>1688</v>
      </c>
      <c r="C159" s="442" t="s">
        <v>1681</v>
      </c>
      <c r="D159" s="442" t="s">
        <v>1679</v>
      </c>
      <c r="E159" s="442" t="s">
        <v>1773</v>
      </c>
      <c r="F159" s="442" t="s">
        <v>1835</v>
      </c>
      <c r="G159" s="442" t="s">
        <v>1836</v>
      </c>
      <c r="H159" s="446">
        <v>8</v>
      </c>
      <c r="I159" s="446">
        <v>933.34</v>
      </c>
      <c r="J159" s="442">
        <v>0.70000675001687507</v>
      </c>
      <c r="K159" s="442">
        <v>116.6675</v>
      </c>
      <c r="L159" s="446">
        <v>10</v>
      </c>
      <c r="M159" s="446">
        <v>1333.33</v>
      </c>
      <c r="N159" s="442">
        <v>1</v>
      </c>
      <c r="O159" s="442">
        <v>133.333</v>
      </c>
      <c r="P159" s="446">
        <v>30</v>
      </c>
      <c r="Q159" s="446">
        <v>5320</v>
      </c>
      <c r="R159" s="469">
        <v>3.9900099750249378</v>
      </c>
      <c r="S159" s="447">
        <v>177.33333333333334</v>
      </c>
    </row>
    <row r="160" spans="1:19" ht="14.45" customHeight="1" x14ac:dyDescent="0.2">
      <c r="A160" s="441"/>
      <c r="B160" s="442" t="s">
        <v>1688</v>
      </c>
      <c r="C160" s="442" t="s">
        <v>1681</v>
      </c>
      <c r="D160" s="442" t="s">
        <v>1679</v>
      </c>
      <c r="E160" s="442" t="s">
        <v>1773</v>
      </c>
      <c r="F160" s="442" t="s">
        <v>1837</v>
      </c>
      <c r="G160" s="442" t="s">
        <v>1838</v>
      </c>
      <c r="H160" s="446">
        <v>34</v>
      </c>
      <c r="I160" s="446">
        <v>1662.22</v>
      </c>
      <c r="J160" s="442">
        <v>3.7777727272727275</v>
      </c>
      <c r="K160" s="442">
        <v>48.888823529411766</v>
      </c>
      <c r="L160" s="446">
        <v>9</v>
      </c>
      <c r="M160" s="446">
        <v>440</v>
      </c>
      <c r="N160" s="442">
        <v>1</v>
      </c>
      <c r="O160" s="442">
        <v>48.888888888888886</v>
      </c>
      <c r="P160" s="446">
        <v>4</v>
      </c>
      <c r="Q160" s="446">
        <v>288.89</v>
      </c>
      <c r="R160" s="469">
        <v>0.65656818181818177</v>
      </c>
      <c r="S160" s="447">
        <v>72.222499999999997</v>
      </c>
    </row>
    <row r="161" spans="1:19" ht="14.45" customHeight="1" x14ac:dyDescent="0.2">
      <c r="A161" s="441"/>
      <c r="B161" s="442" t="s">
        <v>1688</v>
      </c>
      <c r="C161" s="442" t="s">
        <v>1681</v>
      </c>
      <c r="D161" s="442" t="s">
        <v>1679</v>
      </c>
      <c r="E161" s="442" t="s">
        <v>1773</v>
      </c>
      <c r="F161" s="442" t="s">
        <v>1839</v>
      </c>
      <c r="G161" s="442" t="s">
        <v>1840</v>
      </c>
      <c r="H161" s="446">
        <v>2</v>
      </c>
      <c r="I161" s="446">
        <v>688.89</v>
      </c>
      <c r="J161" s="442"/>
      <c r="K161" s="442">
        <v>344.44499999999999</v>
      </c>
      <c r="L161" s="446"/>
      <c r="M161" s="446"/>
      <c r="N161" s="442"/>
      <c r="O161" s="442"/>
      <c r="P161" s="446">
        <v>2</v>
      </c>
      <c r="Q161" s="446">
        <v>846.66000000000008</v>
      </c>
      <c r="R161" s="469"/>
      <c r="S161" s="447">
        <v>423.33000000000004</v>
      </c>
    </row>
    <row r="162" spans="1:19" ht="14.45" customHeight="1" x14ac:dyDescent="0.2">
      <c r="A162" s="441"/>
      <c r="B162" s="442" t="s">
        <v>1688</v>
      </c>
      <c r="C162" s="442" t="s">
        <v>1681</v>
      </c>
      <c r="D162" s="442" t="s">
        <v>1679</v>
      </c>
      <c r="E162" s="442" t="s">
        <v>1773</v>
      </c>
      <c r="F162" s="442" t="s">
        <v>1857</v>
      </c>
      <c r="G162" s="442" t="s">
        <v>1858</v>
      </c>
      <c r="H162" s="446">
        <v>7</v>
      </c>
      <c r="I162" s="446">
        <v>3266.67</v>
      </c>
      <c r="J162" s="442"/>
      <c r="K162" s="442">
        <v>466.66714285714289</v>
      </c>
      <c r="L162" s="446"/>
      <c r="M162" s="446"/>
      <c r="N162" s="442"/>
      <c r="O162" s="442"/>
      <c r="P162" s="446"/>
      <c r="Q162" s="446"/>
      <c r="R162" s="469"/>
      <c r="S162" s="447"/>
    </row>
    <row r="163" spans="1:19" ht="14.45" customHeight="1" x14ac:dyDescent="0.2">
      <c r="A163" s="441"/>
      <c r="B163" s="442" t="s">
        <v>1688</v>
      </c>
      <c r="C163" s="442" t="s">
        <v>1681</v>
      </c>
      <c r="D163" s="442" t="s">
        <v>1679</v>
      </c>
      <c r="E163" s="442" t="s">
        <v>1773</v>
      </c>
      <c r="F163" s="442" t="s">
        <v>1841</v>
      </c>
      <c r="G163" s="442" t="s">
        <v>1842</v>
      </c>
      <c r="H163" s="446">
        <v>63</v>
      </c>
      <c r="I163" s="446">
        <v>18409.990000000002</v>
      </c>
      <c r="J163" s="442">
        <v>1.2599985490503125</v>
      </c>
      <c r="K163" s="442">
        <v>292.22206349206351</v>
      </c>
      <c r="L163" s="446">
        <v>50</v>
      </c>
      <c r="M163" s="446">
        <v>14611.119999999999</v>
      </c>
      <c r="N163" s="442">
        <v>1</v>
      </c>
      <c r="O163" s="442">
        <v>292.22239999999999</v>
      </c>
      <c r="P163" s="446">
        <v>24</v>
      </c>
      <c r="Q163" s="446">
        <v>8168.89</v>
      </c>
      <c r="R163" s="469">
        <v>0.55908718838802229</v>
      </c>
      <c r="S163" s="447">
        <v>340.3704166666667</v>
      </c>
    </row>
    <row r="164" spans="1:19" ht="14.45" customHeight="1" x14ac:dyDescent="0.2">
      <c r="A164" s="441"/>
      <c r="B164" s="442" t="s">
        <v>1688</v>
      </c>
      <c r="C164" s="442" t="s">
        <v>1681</v>
      </c>
      <c r="D164" s="442" t="s">
        <v>1679</v>
      </c>
      <c r="E164" s="442" t="s">
        <v>1773</v>
      </c>
      <c r="F164" s="442" t="s">
        <v>1845</v>
      </c>
      <c r="G164" s="442" t="s">
        <v>1846</v>
      </c>
      <c r="H164" s="446">
        <v>1</v>
      </c>
      <c r="I164" s="446">
        <v>116.67</v>
      </c>
      <c r="J164" s="442">
        <v>0.50002142887755541</v>
      </c>
      <c r="K164" s="442">
        <v>116.67</v>
      </c>
      <c r="L164" s="446">
        <v>2</v>
      </c>
      <c r="M164" s="446">
        <v>233.33</v>
      </c>
      <c r="N164" s="442">
        <v>1</v>
      </c>
      <c r="O164" s="442">
        <v>116.66500000000001</v>
      </c>
      <c r="P164" s="446">
        <v>3</v>
      </c>
      <c r="Q164" s="446">
        <v>416.66999999999996</v>
      </c>
      <c r="R164" s="469">
        <v>1.7857540822011739</v>
      </c>
      <c r="S164" s="447">
        <v>138.88999999999999</v>
      </c>
    </row>
    <row r="165" spans="1:19" ht="14.45" customHeight="1" x14ac:dyDescent="0.2">
      <c r="A165" s="441"/>
      <c r="B165" s="442" t="s">
        <v>1688</v>
      </c>
      <c r="C165" s="442" t="s">
        <v>1681</v>
      </c>
      <c r="D165" s="442" t="s">
        <v>1679</v>
      </c>
      <c r="E165" s="442" t="s">
        <v>1773</v>
      </c>
      <c r="F165" s="442" t="s">
        <v>1859</v>
      </c>
      <c r="G165" s="442" t="s">
        <v>1860</v>
      </c>
      <c r="H165" s="446">
        <v>78</v>
      </c>
      <c r="I165" s="446">
        <v>27993.339999999997</v>
      </c>
      <c r="J165" s="442">
        <v>1.368421155544866</v>
      </c>
      <c r="K165" s="442">
        <v>358.88897435897434</v>
      </c>
      <c r="L165" s="446">
        <v>57</v>
      </c>
      <c r="M165" s="446">
        <v>20456.670000000002</v>
      </c>
      <c r="N165" s="442">
        <v>1</v>
      </c>
      <c r="O165" s="442">
        <v>358.8889473684211</v>
      </c>
      <c r="P165" s="446">
        <v>39</v>
      </c>
      <c r="Q165" s="446">
        <v>16133.33</v>
      </c>
      <c r="R165" s="469">
        <v>0.78865866243137317</v>
      </c>
      <c r="S165" s="447">
        <v>413.6751282051282</v>
      </c>
    </row>
    <row r="166" spans="1:19" ht="14.45" customHeight="1" x14ac:dyDescent="0.2">
      <c r="A166" s="441"/>
      <c r="B166" s="442" t="s">
        <v>1688</v>
      </c>
      <c r="C166" s="442" t="s">
        <v>1681</v>
      </c>
      <c r="D166" s="442" t="s">
        <v>1679</v>
      </c>
      <c r="E166" s="442" t="s">
        <v>1773</v>
      </c>
      <c r="F166" s="442" t="s">
        <v>1861</v>
      </c>
      <c r="G166" s="442"/>
      <c r="H166" s="446">
        <v>7</v>
      </c>
      <c r="I166" s="446">
        <v>3850</v>
      </c>
      <c r="J166" s="442">
        <v>1.75</v>
      </c>
      <c r="K166" s="442">
        <v>550</v>
      </c>
      <c r="L166" s="446">
        <v>4</v>
      </c>
      <c r="M166" s="446">
        <v>2200</v>
      </c>
      <c r="N166" s="442">
        <v>1</v>
      </c>
      <c r="O166" s="442">
        <v>550</v>
      </c>
      <c r="P166" s="446"/>
      <c r="Q166" s="446"/>
      <c r="R166" s="469"/>
      <c r="S166" s="447"/>
    </row>
    <row r="167" spans="1:19" ht="14.45" customHeight="1" x14ac:dyDescent="0.2">
      <c r="A167" s="441"/>
      <c r="B167" s="442" t="s">
        <v>1688</v>
      </c>
      <c r="C167" s="442" t="s">
        <v>1681</v>
      </c>
      <c r="D167" s="442" t="s">
        <v>1679</v>
      </c>
      <c r="E167" s="442" t="s">
        <v>1773</v>
      </c>
      <c r="F167" s="442" t="s">
        <v>1847</v>
      </c>
      <c r="G167" s="442" t="s">
        <v>1848</v>
      </c>
      <c r="H167" s="446">
        <v>5</v>
      </c>
      <c r="I167" s="446">
        <v>583.34</v>
      </c>
      <c r="J167" s="442">
        <v>0.83333095241496558</v>
      </c>
      <c r="K167" s="442">
        <v>116.66800000000001</v>
      </c>
      <c r="L167" s="446">
        <v>6</v>
      </c>
      <c r="M167" s="446">
        <v>700.01</v>
      </c>
      <c r="N167" s="442">
        <v>1</v>
      </c>
      <c r="O167" s="442">
        <v>116.66833333333334</v>
      </c>
      <c r="P167" s="446">
        <v>16</v>
      </c>
      <c r="Q167" s="446">
        <v>2488.88</v>
      </c>
      <c r="R167" s="469">
        <v>3.5554920643990804</v>
      </c>
      <c r="S167" s="447">
        <v>155.55500000000001</v>
      </c>
    </row>
    <row r="168" spans="1:19" ht="14.45" customHeight="1" x14ac:dyDescent="0.2">
      <c r="A168" s="441"/>
      <c r="B168" s="442" t="s">
        <v>1688</v>
      </c>
      <c r="C168" s="442" t="s">
        <v>1681</v>
      </c>
      <c r="D168" s="442" t="s">
        <v>1679</v>
      </c>
      <c r="E168" s="442" t="s">
        <v>1773</v>
      </c>
      <c r="F168" s="442" t="s">
        <v>1862</v>
      </c>
      <c r="G168" s="442" t="s">
        <v>1863</v>
      </c>
      <c r="H168" s="446"/>
      <c r="I168" s="446"/>
      <c r="J168" s="442"/>
      <c r="K168" s="442"/>
      <c r="L168" s="446">
        <v>50</v>
      </c>
      <c r="M168" s="446">
        <v>27666.67</v>
      </c>
      <c r="N168" s="442">
        <v>1</v>
      </c>
      <c r="O168" s="442">
        <v>553.33339999999998</v>
      </c>
      <c r="P168" s="446">
        <v>142</v>
      </c>
      <c r="Q168" s="446">
        <v>83719.990000000005</v>
      </c>
      <c r="R168" s="469">
        <v>3.0260233703586303</v>
      </c>
      <c r="S168" s="447">
        <v>589.57739436619727</v>
      </c>
    </row>
    <row r="169" spans="1:19" ht="14.45" customHeight="1" x14ac:dyDescent="0.2">
      <c r="A169" s="441"/>
      <c r="B169" s="442" t="s">
        <v>1688</v>
      </c>
      <c r="C169" s="442" t="s">
        <v>1681</v>
      </c>
      <c r="D169" s="442" t="s">
        <v>1679</v>
      </c>
      <c r="E169" s="442" t="s">
        <v>1773</v>
      </c>
      <c r="F169" s="442" t="s">
        <v>1864</v>
      </c>
      <c r="G169" s="442" t="s">
        <v>1865</v>
      </c>
      <c r="H169" s="446"/>
      <c r="I169" s="446"/>
      <c r="J169" s="442"/>
      <c r="K169" s="442"/>
      <c r="L169" s="446"/>
      <c r="M169" s="446"/>
      <c r="N169" s="442"/>
      <c r="O169" s="442"/>
      <c r="P169" s="446">
        <v>1</v>
      </c>
      <c r="Q169" s="446">
        <v>300</v>
      </c>
      <c r="R169" s="469"/>
      <c r="S169" s="447">
        <v>300</v>
      </c>
    </row>
    <row r="170" spans="1:19" ht="14.45" customHeight="1" x14ac:dyDescent="0.2">
      <c r="A170" s="441"/>
      <c r="B170" s="442" t="s">
        <v>1688</v>
      </c>
      <c r="C170" s="442" t="s">
        <v>1681</v>
      </c>
      <c r="D170" s="442" t="s">
        <v>1679</v>
      </c>
      <c r="E170" s="442" t="s">
        <v>1773</v>
      </c>
      <c r="F170" s="442" t="s">
        <v>1849</v>
      </c>
      <c r="G170" s="442" t="s">
        <v>1850</v>
      </c>
      <c r="H170" s="446"/>
      <c r="I170" s="446"/>
      <c r="J170" s="442"/>
      <c r="K170" s="442"/>
      <c r="L170" s="446"/>
      <c r="M170" s="446"/>
      <c r="N170" s="442"/>
      <c r="O170" s="442"/>
      <c r="P170" s="446">
        <v>378</v>
      </c>
      <c r="Q170" s="446">
        <v>23926.68</v>
      </c>
      <c r="R170" s="469"/>
      <c r="S170" s="447">
        <v>63.298095238095236</v>
      </c>
    </row>
    <row r="171" spans="1:19" ht="14.45" customHeight="1" x14ac:dyDescent="0.2">
      <c r="A171" s="441"/>
      <c r="B171" s="442" t="s">
        <v>1688</v>
      </c>
      <c r="C171" s="442" t="s">
        <v>1681</v>
      </c>
      <c r="D171" s="442" t="s">
        <v>1679</v>
      </c>
      <c r="E171" s="442" t="s">
        <v>1773</v>
      </c>
      <c r="F171" s="442" t="s">
        <v>1866</v>
      </c>
      <c r="G171" s="442" t="s">
        <v>1867</v>
      </c>
      <c r="H171" s="446"/>
      <c r="I171" s="446"/>
      <c r="J171" s="442"/>
      <c r="K171" s="442"/>
      <c r="L171" s="446"/>
      <c r="M171" s="446"/>
      <c r="N171" s="442"/>
      <c r="O171" s="442"/>
      <c r="P171" s="446">
        <v>191</v>
      </c>
      <c r="Q171" s="446">
        <v>60411.11</v>
      </c>
      <c r="R171" s="469"/>
      <c r="S171" s="447">
        <v>316.28853403141363</v>
      </c>
    </row>
    <row r="172" spans="1:19" ht="14.45" customHeight="1" x14ac:dyDescent="0.2">
      <c r="A172" s="441"/>
      <c r="B172" s="442" t="s">
        <v>1688</v>
      </c>
      <c r="C172" s="442" t="s">
        <v>1682</v>
      </c>
      <c r="D172" s="442" t="s">
        <v>1679</v>
      </c>
      <c r="E172" s="442" t="s">
        <v>1689</v>
      </c>
      <c r="F172" s="442" t="s">
        <v>1690</v>
      </c>
      <c r="G172" s="442"/>
      <c r="H172" s="446"/>
      <c r="I172" s="446"/>
      <c r="J172" s="442"/>
      <c r="K172" s="442"/>
      <c r="L172" s="446"/>
      <c r="M172" s="446"/>
      <c r="N172" s="442"/>
      <c r="O172" s="442"/>
      <c r="P172" s="446">
        <v>1</v>
      </c>
      <c r="Q172" s="446">
        <v>113</v>
      </c>
      <c r="R172" s="469"/>
      <c r="S172" s="447">
        <v>113</v>
      </c>
    </row>
    <row r="173" spans="1:19" ht="14.45" customHeight="1" x14ac:dyDescent="0.2">
      <c r="A173" s="441"/>
      <c r="B173" s="442" t="s">
        <v>1688</v>
      </c>
      <c r="C173" s="442" t="s">
        <v>1682</v>
      </c>
      <c r="D173" s="442" t="s">
        <v>1679</v>
      </c>
      <c r="E173" s="442" t="s">
        <v>1689</v>
      </c>
      <c r="F173" s="442" t="s">
        <v>1692</v>
      </c>
      <c r="G173" s="442"/>
      <c r="H173" s="446">
        <v>1</v>
      </c>
      <c r="I173" s="446">
        <v>1657</v>
      </c>
      <c r="J173" s="442"/>
      <c r="K173" s="442">
        <v>1657</v>
      </c>
      <c r="L173" s="446"/>
      <c r="M173" s="446"/>
      <c r="N173" s="442"/>
      <c r="O173" s="442"/>
      <c r="P173" s="446"/>
      <c r="Q173" s="446"/>
      <c r="R173" s="469"/>
      <c r="S173" s="447"/>
    </row>
    <row r="174" spans="1:19" ht="14.45" customHeight="1" x14ac:dyDescent="0.2">
      <c r="A174" s="441"/>
      <c r="B174" s="442" t="s">
        <v>1688</v>
      </c>
      <c r="C174" s="442" t="s">
        <v>1682</v>
      </c>
      <c r="D174" s="442" t="s">
        <v>1679</v>
      </c>
      <c r="E174" s="442" t="s">
        <v>1689</v>
      </c>
      <c r="F174" s="442" t="s">
        <v>1868</v>
      </c>
      <c r="G174" s="442"/>
      <c r="H174" s="446">
        <v>2</v>
      </c>
      <c r="I174" s="446">
        <v>2358</v>
      </c>
      <c r="J174" s="442">
        <v>2</v>
      </c>
      <c r="K174" s="442">
        <v>1179</v>
      </c>
      <c r="L174" s="446">
        <v>1</v>
      </c>
      <c r="M174" s="446">
        <v>1179</v>
      </c>
      <c r="N174" s="442">
        <v>1</v>
      </c>
      <c r="O174" s="442">
        <v>1179</v>
      </c>
      <c r="P174" s="446">
        <v>1</v>
      </c>
      <c r="Q174" s="446">
        <v>1179</v>
      </c>
      <c r="R174" s="469">
        <v>1</v>
      </c>
      <c r="S174" s="447">
        <v>1179</v>
      </c>
    </row>
    <row r="175" spans="1:19" ht="14.45" customHeight="1" x14ac:dyDescent="0.2">
      <c r="A175" s="441"/>
      <c r="B175" s="442" t="s">
        <v>1688</v>
      </c>
      <c r="C175" s="442" t="s">
        <v>1682</v>
      </c>
      <c r="D175" s="442" t="s">
        <v>1679</v>
      </c>
      <c r="E175" s="442" t="s">
        <v>1689</v>
      </c>
      <c r="F175" s="442" t="s">
        <v>1869</v>
      </c>
      <c r="G175" s="442"/>
      <c r="H175" s="446">
        <v>5</v>
      </c>
      <c r="I175" s="446">
        <v>6405</v>
      </c>
      <c r="J175" s="442"/>
      <c r="K175" s="442">
        <v>1281</v>
      </c>
      <c r="L175" s="446"/>
      <c r="M175" s="446"/>
      <c r="N175" s="442"/>
      <c r="O175" s="442"/>
      <c r="P175" s="446"/>
      <c r="Q175" s="446"/>
      <c r="R175" s="469"/>
      <c r="S175" s="447"/>
    </row>
    <row r="176" spans="1:19" ht="14.45" customHeight="1" x14ac:dyDescent="0.2">
      <c r="A176" s="441"/>
      <c r="B176" s="442" t="s">
        <v>1688</v>
      </c>
      <c r="C176" s="442" t="s">
        <v>1682</v>
      </c>
      <c r="D176" s="442" t="s">
        <v>1679</v>
      </c>
      <c r="E176" s="442" t="s">
        <v>1689</v>
      </c>
      <c r="F176" s="442" t="s">
        <v>1870</v>
      </c>
      <c r="G176" s="442"/>
      <c r="H176" s="446">
        <v>1</v>
      </c>
      <c r="I176" s="446">
        <v>219</v>
      </c>
      <c r="J176" s="442">
        <v>1</v>
      </c>
      <c r="K176" s="442">
        <v>219</v>
      </c>
      <c r="L176" s="446">
        <v>1</v>
      </c>
      <c r="M176" s="446">
        <v>219</v>
      </c>
      <c r="N176" s="442">
        <v>1</v>
      </c>
      <c r="O176" s="442">
        <v>219</v>
      </c>
      <c r="P176" s="446">
        <v>1</v>
      </c>
      <c r="Q176" s="446">
        <v>219</v>
      </c>
      <c r="R176" s="469">
        <v>1</v>
      </c>
      <c r="S176" s="447">
        <v>219</v>
      </c>
    </row>
    <row r="177" spans="1:19" ht="14.45" customHeight="1" x14ac:dyDescent="0.2">
      <c r="A177" s="441"/>
      <c r="B177" s="442" t="s">
        <v>1688</v>
      </c>
      <c r="C177" s="442" t="s">
        <v>1682</v>
      </c>
      <c r="D177" s="442" t="s">
        <v>1679</v>
      </c>
      <c r="E177" s="442" t="s">
        <v>1689</v>
      </c>
      <c r="F177" s="442" t="s">
        <v>1871</v>
      </c>
      <c r="G177" s="442"/>
      <c r="H177" s="446"/>
      <c r="I177" s="446"/>
      <c r="J177" s="442"/>
      <c r="K177" s="442"/>
      <c r="L177" s="446">
        <v>4</v>
      </c>
      <c r="M177" s="446">
        <v>2968</v>
      </c>
      <c r="N177" s="442">
        <v>1</v>
      </c>
      <c r="O177" s="442">
        <v>742</v>
      </c>
      <c r="P177" s="446">
        <v>4</v>
      </c>
      <c r="Q177" s="446">
        <v>2968</v>
      </c>
      <c r="R177" s="469">
        <v>1</v>
      </c>
      <c r="S177" s="447">
        <v>742</v>
      </c>
    </row>
    <row r="178" spans="1:19" ht="14.45" customHeight="1" x14ac:dyDescent="0.2">
      <c r="A178" s="441"/>
      <c r="B178" s="442" t="s">
        <v>1688</v>
      </c>
      <c r="C178" s="442" t="s">
        <v>1682</v>
      </c>
      <c r="D178" s="442" t="s">
        <v>1679</v>
      </c>
      <c r="E178" s="442" t="s">
        <v>1689</v>
      </c>
      <c r="F178" s="442" t="s">
        <v>1872</v>
      </c>
      <c r="G178" s="442"/>
      <c r="H178" s="446"/>
      <c r="I178" s="446"/>
      <c r="J178" s="442"/>
      <c r="K178" s="442"/>
      <c r="L178" s="446"/>
      <c r="M178" s="446"/>
      <c r="N178" s="442"/>
      <c r="O178" s="442"/>
      <c r="P178" s="446">
        <v>4</v>
      </c>
      <c r="Q178" s="446">
        <v>3600</v>
      </c>
      <c r="R178" s="469"/>
      <c r="S178" s="447">
        <v>900</v>
      </c>
    </row>
    <row r="179" spans="1:19" ht="14.45" customHeight="1" x14ac:dyDescent="0.2">
      <c r="A179" s="441"/>
      <c r="B179" s="442" t="s">
        <v>1688</v>
      </c>
      <c r="C179" s="442" t="s">
        <v>1682</v>
      </c>
      <c r="D179" s="442" t="s">
        <v>1679</v>
      </c>
      <c r="E179" s="442" t="s">
        <v>1773</v>
      </c>
      <c r="F179" s="442" t="s">
        <v>1774</v>
      </c>
      <c r="G179" s="442" t="s">
        <v>1775</v>
      </c>
      <c r="H179" s="446">
        <v>42</v>
      </c>
      <c r="I179" s="446">
        <v>21373.339999999997</v>
      </c>
      <c r="J179" s="442">
        <v>1.0243902906618674</v>
      </c>
      <c r="K179" s="442">
        <v>508.88904761904752</v>
      </c>
      <c r="L179" s="446">
        <v>41</v>
      </c>
      <c r="M179" s="446">
        <v>20864.449999999997</v>
      </c>
      <c r="N179" s="442">
        <v>1</v>
      </c>
      <c r="O179" s="442">
        <v>508.88902439024383</v>
      </c>
      <c r="P179" s="446">
        <v>55</v>
      </c>
      <c r="Q179" s="446">
        <v>31953.32</v>
      </c>
      <c r="R179" s="469">
        <v>1.5314719534902672</v>
      </c>
      <c r="S179" s="447">
        <v>580.9694545454546</v>
      </c>
    </row>
    <row r="180" spans="1:19" ht="14.45" customHeight="1" x14ac:dyDescent="0.2">
      <c r="A180" s="441"/>
      <c r="B180" s="442" t="s">
        <v>1688</v>
      </c>
      <c r="C180" s="442" t="s">
        <v>1682</v>
      </c>
      <c r="D180" s="442" t="s">
        <v>1679</v>
      </c>
      <c r="E180" s="442" t="s">
        <v>1773</v>
      </c>
      <c r="F180" s="442" t="s">
        <v>1776</v>
      </c>
      <c r="G180" s="442" t="s">
        <v>1777</v>
      </c>
      <c r="H180" s="446">
        <v>112</v>
      </c>
      <c r="I180" s="446">
        <v>56000</v>
      </c>
      <c r="J180" s="442">
        <v>1.0275229357798166</v>
      </c>
      <c r="K180" s="442">
        <v>500</v>
      </c>
      <c r="L180" s="446">
        <v>109</v>
      </c>
      <c r="M180" s="446">
        <v>54500</v>
      </c>
      <c r="N180" s="442">
        <v>1</v>
      </c>
      <c r="O180" s="442">
        <v>500</v>
      </c>
      <c r="P180" s="446">
        <v>219</v>
      </c>
      <c r="Q180" s="446">
        <v>115406.67</v>
      </c>
      <c r="R180" s="469">
        <v>2.1175535779816514</v>
      </c>
      <c r="S180" s="447">
        <v>526.97109589041099</v>
      </c>
    </row>
    <row r="181" spans="1:19" ht="14.45" customHeight="1" x14ac:dyDescent="0.2">
      <c r="A181" s="441"/>
      <c r="B181" s="442" t="s">
        <v>1688</v>
      </c>
      <c r="C181" s="442" t="s">
        <v>1682</v>
      </c>
      <c r="D181" s="442" t="s">
        <v>1679</v>
      </c>
      <c r="E181" s="442" t="s">
        <v>1773</v>
      </c>
      <c r="F181" s="442" t="s">
        <v>1851</v>
      </c>
      <c r="G181" s="442" t="s">
        <v>1852</v>
      </c>
      <c r="H181" s="446">
        <v>736</v>
      </c>
      <c r="I181" s="446">
        <v>77688.89</v>
      </c>
      <c r="J181" s="442">
        <v>1.1001492848431844</v>
      </c>
      <c r="K181" s="442">
        <v>105.55555706521739</v>
      </c>
      <c r="L181" s="446">
        <v>669</v>
      </c>
      <c r="M181" s="446">
        <v>70616.679999999993</v>
      </c>
      <c r="N181" s="442">
        <v>1</v>
      </c>
      <c r="O181" s="442">
        <v>105.55557548579969</v>
      </c>
      <c r="P181" s="446">
        <v>352</v>
      </c>
      <c r="Q181" s="446">
        <v>47112.239999999991</v>
      </c>
      <c r="R181" s="469">
        <v>0.66715455895122788</v>
      </c>
      <c r="S181" s="447">
        <v>133.84159090909088</v>
      </c>
    </row>
    <row r="182" spans="1:19" ht="14.45" customHeight="1" x14ac:dyDescent="0.2">
      <c r="A182" s="441"/>
      <c r="B182" s="442" t="s">
        <v>1688</v>
      </c>
      <c r="C182" s="442" t="s">
        <v>1682</v>
      </c>
      <c r="D182" s="442" t="s">
        <v>1679</v>
      </c>
      <c r="E182" s="442" t="s">
        <v>1773</v>
      </c>
      <c r="F182" s="442" t="s">
        <v>1778</v>
      </c>
      <c r="G182" s="442" t="s">
        <v>1779</v>
      </c>
      <c r="H182" s="446">
        <v>507</v>
      </c>
      <c r="I182" s="446">
        <v>39433.339999999997</v>
      </c>
      <c r="J182" s="442">
        <v>1.2042759014965594</v>
      </c>
      <c r="K182" s="442">
        <v>77.777790927021684</v>
      </c>
      <c r="L182" s="446">
        <v>421</v>
      </c>
      <c r="M182" s="446">
        <v>32744.44</v>
      </c>
      <c r="N182" s="442">
        <v>1</v>
      </c>
      <c r="O182" s="442">
        <v>77.777767220902604</v>
      </c>
      <c r="P182" s="446">
        <v>746</v>
      </c>
      <c r="Q182" s="446">
        <v>65063.34</v>
      </c>
      <c r="R182" s="469">
        <v>1.9870042059048802</v>
      </c>
      <c r="S182" s="447">
        <v>87.216273458445031</v>
      </c>
    </row>
    <row r="183" spans="1:19" ht="14.45" customHeight="1" x14ac:dyDescent="0.2">
      <c r="A183" s="441"/>
      <c r="B183" s="442" t="s">
        <v>1688</v>
      </c>
      <c r="C183" s="442" t="s">
        <v>1682</v>
      </c>
      <c r="D183" s="442" t="s">
        <v>1679</v>
      </c>
      <c r="E183" s="442" t="s">
        <v>1773</v>
      </c>
      <c r="F183" s="442" t="s">
        <v>1780</v>
      </c>
      <c r="G183" s="442" t="s">
        <v>1781</v>
      </c>
      <c r="H183" s="446"/>
      <c r="I183" s="446"/>
      <c r="J183" s="442"/>
      <c r="K183" s="442"/>
      <c r="L183" s="446"/>
      <c r="M183" s="446"/>
      <c r="N183" s="442"/>
      <c r="O183" s="442"/>
      <c r="P183" s="446">
        <v>26</v>
      </c>
      <c r="Q183" s="446">
        <v>7022.23</v>
      </c>
      <c r="R183" s="469"/>
      <c r="S183" s="447">
        <v>270.08576923076919</v>
      </c>
    </row>
    <row r="184" spans="1:19" ht="14.45" customHeight="1" x14ac:dyDescent="0.2">
      <c r="A184" s="441"/>
      <c r="B184" s="442" t="s">
        <v>1688</v>
      </c>
      <c r="C184" s="442" t="s">
        <v>1682</v>
      </c>
      <c r="D184" s="442" t="s">
        <v>1679</v>
      </c>
      <c r="E184" s="442" t="s">
        <v>1773</v>
      </c>
      <c r="F184" s="442" t="s">
        <v>1782</v>
      </c>
      <c r="G184" s="442" t="s">
        <v>1783</v>
      </c>
      <c r="H184" s="446"/>
      <c r="I184" s="446"/>
      <c r="J184" s="442"/>
      <c r="K184" s="442"/>
      <c r="L184" s="446"/>
      <c r="M184" s="446"/>
      <c r="N184" s="442"/>
      <c r="O184" s="442"/>
      <c r="P184" s="446">
        <v>1</v>
      </c>
      <c r="Q184" s="446">
        <v>305.56</v>
      </c>
      <c r="R184" s="469"/>
      <c r="S184" s="447">
        <v>305.56</v>
      </c>
    </row>
    <row r="185" spans="1:19" ht="14.45" customHeight="1" x14ac:dyDescent="0.2">
      <c r="A185" s="441"/>
      <c r="B185" s="442" t="s">
        <v>1688</v>
      </c>
      <c r="C185" s="442" t="s">
        <v>1682</v>
      </c>
      <c r="D185" s="442" t="s">
        <v>1679</v>
      </c>
      <c r="E185" s="442" t="s">
        <v>1773</v>
      </c>
      <c r="F185" s="442" t="s">
        <v>1784</v>
      </c>
      <c r="G185" s="442" t="s">
        <v>1785</v>
      </c>
      <c r="H185" s="446">
        <v>428</v>
      </c>
      <c r="I185" s="446">
        <v>49933.33</v>
      </c>
      <c r="J185" s="442">
        <v>1.486111011904762</v>
      </c>
      <c r="K185" s="442">
        <v>116.66665887850468</v>
      </c>
      <c r="L185" s="446">
        <v>288</v>
      </c>
      <c r="M185" s="446">
        <v>33600</v>
      </c>
      <c r="N185" s="442">
        <v>1</v>
      </c>
      <c r="O185" s="442">
        <v>116.66666666666667</v>
      </c>
      <c r="P185" s="446">
        <v>303</v>
      </c>
      <c r="Q185" s="446">
        <v>42140.009999999995</v>
      </c>
      <c r="R185" s="469">
        <v>1.2541669642857141</v>
      </c>
      <c r="S185" s="447">
        <v>139.07594059405938</v>
      </c>
    </row>
    <row r="186" spans="1:19" ht="14.45" customHeight="1" x14ac:dyDescent="0.2">
      <c r="A186" s="441"/>
      <c r="B186" s="442" t="s">
        <v>1688</v>
      </c>
      <c r="C186" s="442" t="s">
        <v>1682</v>
      </c>
      <c r="D186" s="442" t="s">
        <v>1679</v>
      </c>
      <c r="E186" s="442" t="s">
        <v>1773</v>
      </c>
      <c r="F186" s="442" t="s">
        <v>1853</v>
      </c>
      <c r="G186" s="442" t="s">
        <v>1854</v>
      </c>
      <c r="H186" s="446">
        <v>44</v>
      </c>
      <c r="I186" s="446">
        <v>17111.11</v>
      </c>
      <c r="J186" s="442">
        <v>0.48124990859376138</v>
      </c>
      <c r="K186" s="442">
        <v>388.88886363636362</v>
      </c>
      <c r="L186" s="446">
        <v>64</v>
      </c>
      <c r="M186" s="446">
        <v>35555.560000000005</v>
      </c>
      <c r="N186" s="442">
        <v>1</v>
      </c>
      <c r="O186" s="442">
        <v>555.55562500000008</v>
      </c>
      <c r="P186" s="446">
        <v>60</v>
      </c>
      <c r="Q186" s="446">
        <v>55339.990000000005</v>
      </c>
      <c r="R186" s="469">
        <v>1.556437024195372</v>
      </c>
      <c r="S186" s="447">
        <v>922.33316666666678</v>
      </c>
    </row>
    <row r="187" spans="1:19" ht="14.45" customHeight="1" x14ac:dyDescent="0.2">
      <c r="A187" s="441"/>
      <c r="B187" s="442" t="s">
        <v>1688</v>
      </c>
      <c r="C187" s="442" t="s">
        <v>1682</v>
      </c>
      <c r="D187" s="442" t="s">
        <v>1679</v>
      </c>
      <c r="E187" s="442" t="s">
        <v>1773</v>
      </c>
      <c r="F187" s="442" t="s">
        <v>1786</v>
      </c>
      <c r="G187" s="442" t="s">
        <v>1787</v>
      </c>
      <c r="H187" s="446">
        <v>590</v>
      </c>
      <c r="I187" s="446">
        <v>177000</v>
      </c>
      <c r="J187" s="442">
        <v>0.86510263929618769</v>
      </c>
      <c r="K187" s="442">
        <v>300</v>
      </c>
      <c r="L187" s="446">
        <v>372</v>
      </c>
      <c r="M187" s="446">
        <v>204600</v>
      </c>
      <c r="N187" s="442">
        <v>1</v>
      </c>
      <c r="O187" s="442">
        <v>550</v>
      </c>
      <c r="P187" s="446">
        <v>367</v>
      </c>
      <c r="Q187" s="446">
        <v>213837.78999999998</v>
      </c>
      <c r="R187" s="469">
        <v>1.0451504887585532</v>
      </c>
      <c r="S187" s="447">
        <v>582.66427792915522</v>
      </c>
    </row>
    <row r="188" spans="1:19" ht="14.45" customHeight="1" x14ac:dyDescent="0.2">
      <c r="A188" s="441"/>
      <c r="B188" s="442" t="s">
        <v>1688</v>
      </c>
      <c r="C188" s="442" t="s">
        <v>1682</v>
      </c>
      <c r="D188" s="442" t="s">
        <v>1679</v>
      </c>
      <c r="E188" s="442" t="s">
        <v>1773</v>
      </c>
      <c r="F188" s="442" t="s">
        <v>1788</v>
      </c>
      <c r="G188" s="442" t="s">
        <v>1789</v>
      </c>
      <c r="H188" s="446">
        <v>3</v>
      </c>
      <c r="I188" s="446">
        <v>883.31999999999994</v>
      </c>
      <c r="J188" s="442">
        <v>0.74999363203341907</v>
      </c>
      <c r="K188" s="442">
        <v>294.44</v>
      </c>
      <c r="L188" s="446">
        <v>4</v>
      </c>
      <c r="M188" s="446">
        <v>1177.77</v>
      </c>
      <c r="N188" s="442">
        <v>1</v>
      </c>
      <c r="O188" s="442">
        <v>294.4425</v>
      </c>
      <c r="P188" s="446">
        <v>1</v>
      </c>
      <c r="Q188" s="446">
        <v>344.44</v>
      </c>
      <c r="R188" s="469">
        <v>0.29245098788388224</v>
      </c>
      <c r="S188" s="447">
        <v>344.44</v>
      </c>
    </row>
    <row r="189" spans="1:19" ht="14.45" customHeight="1" x14ac:dyDescent="0.2">
      <c r="A189" s="441"/>
      <c r="B189" s="442" t="s">
        <v>1688</v>
      </c>
      <c r="C189" s="442" t="s">
        <v>1682</v>
      </c>
      <c r="D189" s="442" t="s">
        <v>1679</v>
      </c>
      <c r="E189" s="442" t="s">
        <v>1773</v>
      </c>
      <c r="F189" s="442" t="s">
        <v>1873</v>
      </c>
      <c r="G189" s="442" t="s">
        <v>1874</v>
      </c>
      <c r="H189" s="446">
        <v>1</v>
      </c>
      <c r="I189" s="446">
        <v>777.78</v>
      </c>
      <c r="J189" s="442"/>
      <c r="K189" s="442">
        <v>777.78</v>
      </c>
      <c r="L189" s="446"/>
      <c r="M189" s="446"/>
      <c r="N189" s="442"/>
      <c r="O189" s="442"/>
      <c r="P189" s="446"/>
      <c r="Q189" s="446"/>
      <c r="R189" s="469"/>
      <c r="S189" s="447"/>
    </row>
    <row r="190" spans="1:19" ht="14.45" customHeight="1" x14ac:dyDescent="0.2">
      <c r="A190" s="441"/>
      <c r="B190" s="442" t="s">
        <v>1688</v>
      </c>
      <c r="C190" s="442" t="s">
        <v>1682</v>
      </c>
      <c r="D190" s="442" t="s">
        <v>1679</v>
      </c>
      <c r="E190" s="442" t="s">
        <v>1773</v>
      </c>
      <c r="F190" s="442" t="s">
        <v>1794</v>
      </c>
      <c r="G190" s="442"/>
      <c r="H190" s="446">
        <v>19</v>
      </c>
      <c r="I190" s="446">
        <v>633.32999999999993</v>
      </c>
      <c r="J190" s="442"/>
      <c r="K190" s="442">
        <v>33.333157894736836</v>
      </c>
      <c r="L190" s="446"/>
      <c r="M190" s="446"/>
      <c r="N190" s="442"/>
      <c r="O190" s="442"/>
      <c r="P190" s="446"/>
      <c r="Q190" s="446"/>
      <c r="R190" s="469"/>
      <c r="S190" s="447"/>
    </row>
    <row r="191" spans="1:19" ht="14.45" customHeight="1" x14ac:dyDescent="0.2">
      <c r="A191" s="441"/>
      <c r="B191" s="442" t="s">
        <v>1688</v>
      </c>
      <c r="C191" s="442" t="s">
        <v>1682</v>
      </c>
      <c r="D191" s="442" t="s">
        <v>1679</v>
      </c>
      <c r="E191" s="442" t="s">
        <v>1773</v>
      </c>
      <c r="F191" s="442" t="s">
        <v>1795</v>
      </c>
      <c r="G191" s="442" t="s">
        <v>1777</v>
      </c>
      <c r="H191" s="446">
        <v>1262</v>
      </c>
      <c r="I191" s="446">
        <v>527235.55000000005</v>
      </c>
      <c r="J191" s="442">
        <v>1.0569514267741826</v>
      </c>
      <c r="K191" s="442">
        <v>417.77777337559434</v>
      </c>
      <c r="L191" s="446">
        <v>1194</v>
      </c>
      <c r="M191" s="446">
        <v>498826.66</v>
      </c>
      <c r="N191" s="442">
        <v>1</v>
      </c>
      <c r="O191" s="442">
        <v>417.77777219430482</v>
      </c>
      <c r="P191" s="446">
        <v>750</v>
      </c>
      <c r="Q191" s="446">
        <v>330193.33</v>
      </c>
      <c r="R191" s="469">
        <v>0.66194002140944119</v>
      </c>
      <c r="S191" s="447">
        <v>440.25777333333338</v>
      </c>
    </row>
    <row r="192" spans="1:19" ht="14.45" customHeight="1" x14ac:dyDescent="0.2">
      <c r="A192" s="441"/>
      <c r="B192" s="442" t="s">
        <v>1688</v>
      </c>
      <c r="C192" s="442" t="s">
        <v>1682</v>
      </c>
      <c r="D192" s="442" t="s">
        <v>1679</v>
      </c>
      <c r="E192" s="442" t="s">
        <v>1773</v>
      </c>
      <c r="F192" s="442" t="s">
        <v>1796</v>
      </c>
      <c r="G192" s="442" t="s">
        <v>1797</v>
      </c>
      <c r="H192" s="446">
        <v>125</v>
      </c>
      <c r="I192" s="446">
        <v>26388.890000000003</v>
      </c>
      <c r="J192" s="442">
        <v>0.74218785595718706</v>
      </c>
      <c r="K192" s="442">
        <v>211.11112000000003</v>
      </c>
      <c r="L192" s="446">
        <v>160</v>
      </c>
      <c r="M192" s="446">
        <v>35555.54</v>
      </c>
      <c r="N192" s="442">
        <v>1</v>
      </c>
      <c r="O192" s="442">
        <v>222.22212500000001</v>
      </c>
      <c r="P192" s="446">
        <v>222</v>
      </c>
      <c r="Q192" s="446">
        <v>80920</v>
      </c>
      <c r="R192" s="469">
        <v>2.2758759956957482</v>
      </c>
      <c r="S192" s="447">
        <v>364.5045045045045</v>
      </c>
    </row>
    <row r="193" spans="1:19" ht="14.45" customHeight="1" x14ac:dyDescent="0.2">
      <c r="A193" s="441"/>
      <c r="B193" s="442" t="s">
        <v>1688</v>
      </c>
      <c r="C193" s="442" t="s">
        <v>1682</v>
      </c>
      <c r="D193" s="442" t="s">
        <v>1679</v>
      </c>
      <c r="E193" s="442" t="s">
        <v>1773</v>
      </c>
      <c r="F193" s="442" t="s">
        <v>1798</v>
      </c>
      <c r="G193" s="442" t="s">
        <v>1799</v>
      </c>
      <c r="H193" s="446">
        <v>45</v>
      </c>
      <c r="I193" s="446">
        <v>26250</v>
      </c>
      <c r="J193" s="442">
        <v>0.39473690146419566</v>
      </c>
      <c r="K193" s="442">
        <v>583.33333333333337</v>
      </c>
      <c r="L193" s="446">
        <v>114</v>
      </c>
      <c r="M193" s="446">
        <v>66499.990000000005</v>
      </c>
      <c r="N193" s="442">
        <v>1</v>
      </c>
      <c r="O193" s="442">
        <v>583.33324561403515</v>
      </c>
      <c r="P193" s="446">
        <v>106</v>
      </c>
      <c r="Q193" s="446">
        <v>74028.89</v>
      </c>
      <c r="R193" s="469">
        <v>1.1132165583784297</v>
      </c>
      <c r="S193" s="447">
        <v>698.38575471698118</v>
      </c>
    </row>
    <row r="194" spans="1:19" ht="14.45" customHeight="1" x14ac:dyDescent="0.2">
      <c r="A194" s="441"/>
      <c r="B194" s="442" t="s">
        <v>1688</v>
      </c>
      <c r="C194" s="442" t="s">
        <v>1682</v>
      </c>
      <c r="D194" s="442" t="s">
        <v>1679</v>
      </c>
      <c r="E194" s="442" t="s">
        <v>1773</v>
      </c>
      <c r="F194" s="442" t="s">
        <v>1800</v>
      </c>
      <c r="G194" s="442" t="s">
        <v>1801</v>
      </c>
      <c r="H194" s="446">
        <v>39</v>
      </c>
      <c r="I194" s="446">
        <v>18200.010000000002</v>
      </c>
      <c r="J194" s="442">
        <v>0.9069775438463602</v>
      </c>
      <c r="K194" s="442">
        <v>466.66692307692313</v>
      </c>
      <c r="L194" s="446">
        <v>43</v>
      </c>
      <c r="M194" s="446">
        <v>20066.66</v>
      </c>
      <c r="N194" s="442">
        <v>1</v>
      </c>
      <c r="O194" s="442">
        <v>466.66651162790697</v>
      </c>
      <c r="P194" s="446">
        <v>29</v>
      </c>
      <c r="Q194" s="446">
        <v>15331.11</v>
      </c>
      <c r="R194" s="469">
        <v>0.76400905781031825</v>
      </c>
      <c r="S194" s="447">
        <v>528.65896551724143</v>
      </c>
    </row>
    <row r="195" spans="1:19" ht="14.45" customHeight="1" x14ac:dyDescent="0.2">
      <c r="A195" s="441"/>
      <c r="B195" s="442" t="s">
        <v>1688</v>
      </c>
      <c r="C195" s="442" t="s">
        <v>1682</v>
      </c>
      <c r="D195" s="442" t="s">
        <v>1679</v>
      </c>
      <c r="E195" s="442" t="s">
        <v>1773</v>
      </c>
      <c r="F195" s="442" t="s">
        <v>1875</v>
      </c>
      <c r="G195" s="442" t="s">
        <v>1801</v>
      </c>
      <c r="H195" s="446">
        <v>9</v>
      </c>
      <c r="I195" s="446">
        <v>9000</v>
      </c>
      <c r="J195" s="442">
        <v>1.125</v>
      </c>
      <c r="K195" s="442">
        <v>1000</v>
      </c>
      <c r="L195" s="446">
        <v>8</v>
      </c>
      <c r="M195" s="446">
        <v>8000</v>
      </c>
      <c r="N195" s="442">
        <v>1</v>
      </c>
      <c r="O195" s="442">
        <v>1000</v>
      </c>
      <c r="P195" s="446">
        <v>1</v>
      </c>
      <c r="Q195" s="446">
        <v>1154.44</v>
      </c>
      <c r="R195" s="469">
        <v>0.14430500000000002</v>
      </c>
      <c r="S195" s="447">
        <v>1154.44</v>
      </c>
    </row>
    <row r="196" spans="1:19" ht="14.45" customHeight="1" x14ac:dyDescent="0.2">
      <c r="A196" s="441"/>
      <c r="B196" s="442" t="s">
        <v>1688</v>
      </c>
      <c r="C196" s="442" t="s">
        <v>1682</v>
      </c>
      <c r="D196" s="442" t="s">
        <v>1679</v>
      </c>
      <c r="E196" s="442" t="s">
        <v>1773</v>
      </c>
      <c r="F196" s="442" t="s">
        <v>1802</v>
      </c>
      <c r="G196" s="442" t="s">
        <v>1803</v>
      </c>
      <c r="H196" s="446">
        <v>297</v>
      </c>
      <c r="I196" s="446">
        <v>14850</v>
      </c>
      <c r="J196" s="442">
        <v>1.0429198384422358</v>
      </c>
      <c r="K196" s="442">
        <v>50</v>
      </c>
      <c r="L196" s="446">
        <v>233</v>
      </c>
      <c r="M196" s="446">
        <v>14238.87</v>
      </c>
      <c r="N196" s="442">
        <v>1</v>
      </c>
      <c r="O196" s="442">
        <v>61.111030042918458</v>
      </c>
      <c r="P196" s="446">
        <v>265</v>
      </c>
      <c r="Q196" s="446">
        <v>18686.66</v>
      </c>
      <c r="R196" s="469">
        <v>1.3123695911262621</v>
      </c>
      <c r="S196" s="447">
        <v>70.515698113207549</v>
      </c>
    </row>
    <row r="197" spans="1:19" ht="14.45" customHeight="1" x14ac:dyDescent="0.2">
      <c r="A197" s="441"/>
      <c r="B197" s="442" t="s">
        <v>1688</v>
      </c>
      <c r="C197" s="442" t="s">
        <v>1682</v>
      </c>
      <c r="D197" s="442" t="s">
        <v>1679</v>
      </c>
      <c r="E197" s="442" t="s">
        <v>1773</v>
      </c>
      <c r="F197" s="442" t="s">
        <v>1808</v>
      </c>
      <c r="G197" s="442" t="s">
        <v>1809</v>
      </c>
      <c r="H197" s="446">
        <v>9</v>
      </c>
      <c r="I197" s="446">
        <v>0</v>
      </c>
      <c r="J197" s="442"/>
      <c r="K197" s="442">
        <v>0</v>
      </c>
      <c r="L197" s="446">
        <v>4</v>
      </c>
      <c r="M197" s="446">
        <v>0</v>
      </c>
      <c r="N197" s="442"/>
      <c r="O197" s="442">
        <v>0</v>
      </c>
      <c r="P197" s="446">
        <v>3</v>
      </c>
      <c r="Q197" s="446">
        <v>0</v>
      </c>
      <c r="R197" s="469"/>
      <c r="S197" s="447">
        <v>0</v>
      </c>
    </row>
    <row r="198" spans="1:19" ht="14.45" customHeight="1" x14ac:dyDescent="0.2">
      <c r="A198" s="441"/>
      <c r="B198" s="442" t="s">
        <v>1688</v>
      </c>
      <c r="C198" s="442" t="s">
        <v>1682</v>
      </c>
      <c r="D198" s="442" t="s">
        <v>1679</v>
      </c>
      <c r="E198" s="442" t="s">
        <v>1773</v>
      </c>
      <c r="F198" s="442" t="s">
        <v>1810</v>
      </c>
      <c r="G198" s="442" t="s">
        <v>1811</v>
      </c>
      <c r="H198" s="446">
        <v>382</v>
      </c>
      <c r="I198" s="446">
        <v>116722.23</v>
      </c>
      <c r="J198" s="442">
        <v>1.3890907996033217</v>
      </c>
      <c r="K198" s="442">
        <v>305.55557591623034</v>
      </c>
      <c r="L198" s="446">
        <v>275</v>
      </c>
      <c r="M198" s="446">
        <v>84027.79</v>
      </c>
      <c r="N198" s="442">
        <v>1</v>
      </c>
      <c r="O198" s="442">
        <v>305.55559999999997</v>
      </c>
      <c r="P198" s="446">
        <v>352</v>
      </c>
      <c r="Q198" s="446">
        <v>113565.55</v>
      </c>
      <c r="R198" s="469">
        <v>1.3515237042411803</v>
      </c>
      <c r="S198" s="447">
        <v>322.62940340909091</v>
      </c>
    </row>
    <row r="199" spans="1:19" ht="14.45" customHeight="1" x14ac:dyDescent="0.2">
      <c r="A199" s="441"/>
      <c r="B199" s="442" t="s">
        <v>1688</v>
      </c>
      <c r="C199" s="442" t="s">
        <v>1682</v>
      </c>
      <c r="D199" s="442" t="s">
        <v>1679</v>
      </c>
      <c r="E199" s="442" t="s">
        <v>1773</v>
      </c>
      <c r="F199" s="442" t="s">
        <v>1812</v>
      </c>
      <c r="G199" s="442" t="s">
        <v>1813</v>
      </c>
      <c r="H199" s="446">
        <v>194</v>
      </c>
      <c r="I199" s="446">
        <v>6466.67</v>
      </c>
      <c r="J199" s="442">
        <v>8.083337499999999</v>
      </c>
      <c r="K199" s="442">
        <v>33.33335051546392</v>
      </c>
      <c r="L199" s="446">
        <v>24</v>
      </c>
      <c r="M199" s="446">
        <v>800.00000000000011</v>
      </c>
      <c r="N199" s="442">
        <v>1</v>
      </c>
      <c r="O199" s="442">
        <v>33.333333333333336</v>
      </c>
      <c r="P199" s="446"/>
      <c r="Q199" s="446"/>
      <c r="R199" s="469"/>
      <c r="S199" s="447"/>
    </row>
    <row r="200" spans="1:19" ht="14.45" customHeight="1" x14ac:dyDescent="0.2">
      <c r="A200" s="441"/>
      <c r="B200" s="442" t="s">
        <v>1688</v>
      </c>
      <c r="C200" s="442" t="s">
        <v>1682</v>
      </c>
      <c r="D200" s="442" t="s">
        <v>1679</v>
      </c>
      <c r="E200" s="442" t="s">
        <v>1773</v>
      </c>
      <c r="F200" s="442" t="s">
        <v>1814</v>
      </c>
      <c r="G200" s="442" t="s">
        <v>1815</v>
      </c>
      <c r="H200" s="446">
        <v>1399</v>
      </c>
      <c r="I200" s="446">
        <v>637322.23</v>
      </c>
      <c r="J200" s="442">
        <v>1.1795952902159434</v>
      </c>
      <c r="K200" s="442">
        <v>455.55556111508218</v>
      </c>
      <c r="L200" s="446">
        <v>1186</v>
      </c>
      <c r="M200" s="446">
        <v>540288.89</v>
      </c>
      <c r="N200" s="442">
        <v>1</v>
      </c>
      <c r="O200" s="442">
        <v>455.55555649241148</v>
      </c>
      <c r="P200" s="446">
        <v>1237</v>
      </c>
      <c r="Q200" s="446">
        <v>593777.79</v>
      </c>
      <c r="R200" s="469">
        <v>1.0990005550549078</v>
      </c>
      <c r="S200" s="447">
        <v>480.01438156831045</v>
      </c>
    </row>
    <row r="201" spans="1:19" ht="14.45" customHeight="1" x14ac:dyDescent="0.2">
      <c r="A201" s="441"/>
      <c r="B201" s="442" t="s">
        <v>1688</v>
      </c>
      <c r="C201" s="442" t="s">
        <v>1682</v>
      </c>
      <c r="D201" s="442" t="s">
        <v>1679</v>
      </c>
      <c r="E201" s="442" t="s">
        <v>1773</v>
      </c>
      <c r="F201" s="442" t="s">
        <v>1818</v>
      </c>
      <c r="G201" s="442" t="s">
        <v>1819</v>
      </c>
      <c r="H201" s="446">
        <v>555</v>
      </c>
      <c r="I201" s="446">
        <v>43166.670000000006</v>
      </c>
      <c r="J201" s="442">
        <v>1.4122136955055951</v>
      </c>
      <c r="K201" s="442">
        <v>77.777783783783789</v>
      </c>
      <c r="L201" s="446">
        <v>393</v>
      </c>
      <c r="M201" s="446">
        <v>30566.67</v>
      </c>
      <c r="N201" s="442">
        <v>1</v>
      </c>
      <c r="O201" s="442">
        <v>77.777786259541983</v>
      </c>
      <c r="P201" s="446">
        <v>515</v>
      </c>
      <c r="Q201" s="446">
        <v>50661.11</v>
      </c>
      <c r="R201" s="469">
        <v>1.6573970929774164</v>
      </c>
      <c r="S201" s="447">
        <v>98.37108737864078</v>
      </c>
    </row>
    <row r="202" spans="1:19" ht="14.45" customHeight="1" x14ac:dyDescent="0.2">
      <c r="A202" s="441"/>
      <c r="B202" s="442" t="s">
        <v>1688</v>
      </c>
      <c r="C202" s="442" t="s">
        <v>1682</v>
      </c>
      <c r="D202" s="442" t="s">
        <v>1679</v>
      </c>
      <c r="E202" s="442" t="s">
        <v>1773</v>
      </c>
      <c r="F202" s="442" t="s">
        <v>1876</v>
      </c>
      <c r="G202" s="442" t="s">
        <v>1877</v>
      </c>
      <c r="H202" s="446">
        <v>49</v>
      </c>
      <c r="I202" s="446">
        <v>34300</v>
      </c>
      <c r="J202" s="442">
        <v>1.1395348837209303</v>
      </c>
      <c r="K202" s="442">
        <v>700</v>
      </c>
      <c r="L202" s="446">
        <v>43</v>
      </c>
      <c r="M202" s="446">
        <v>30100</v>
      </c>
      <c r="N202" s="442">
        <v>1</v>
      </c>
      <c r="O202" s="442">
        <v>700</v>
      </c>
      <c r="P202" s="446">
        <v>33</v>
      </c>
      <c r="Q202" s="446">
        <v>24745.57</v>
      </c>
      <c r="R202" s="469">
        <v>0.82211196013289034</v>
      </c>
      <c r="S202" s="447">
        <v>749.86575757575758</v>
      </c>
    </row>
    <row r="203" spans="1:19" ht="14.45" customHeight="1" x14ac:dyDescent="0.2">
      <c r="A203" s="441"/>
      <c r="B203" s="442" t="s">
        <v>1688</v>
      </c>
      <c r="C203" s="442" t="s">
        <v>1682</v>
      </c>
      <c r="D203" s="442" t="s">
        <v>1679</v>
      </c>
      <c r="E203" s="442" t="s">
        <v>1773</v>
      </c>
      <c r="F203" s="442" t="s">
        <v>1822</v>
      </c>
      <c r="G203" s="442" t="s">
        <v>1823</v>
      </c>
      <c r="H203" s="446">
        <v>2</v>
      </c>
      <c r="I203" s="446">
        <v>540</v>
      </c>
      <c r="J203" s="442">
        <v>1</v>
      </c>
      <c r="K203" s="442">
        <v>270</v>
      </c>
      <c r="L203" s="446">
        <v>2</v>
      </c>
      <c r="M203" s="446">
        <v>540</v>
      </c>
      <c r="N203" s="442">
        <v>1</v>
      </c>
      <c r="O203" s="442">
        <v>270</v>
      </c>
      <c r="P203" s="446">
        <v>1</v>
      </c>
      <c r="Q203" s="446">
        <v>382.22</v>
      </c>
      <c r="R203" s="469">
        <v>0.7078148148148149</v>
      </c>
      <c r="S203" s="447">
        <v>382.22</v>
      </c>
    </row>
    <row r="204" spans="1:19" ht="14.45" customHeight="1" x14ac:dyDescent="0.2">
      <c r="A204" s="441"/>
      <c r="B204" s="442" t="s">
        <v>1688</v>
      </c>
      <c r="C204" s="442" t="s">
        <v>1682</v>
      </c>
      <c r="D204" s="442" t="s">
        <v>1679</v>
      </c>
      <c r="E204" s="442" t="s">
        <v>1773</v>
      </c>
      <c r="F204" s="442" t="s">
        <v>1824</v>
      </c>
      <c r="G204" s="442" t="s">
        <v>1825</v>
      </c>
      <c r="H204" s="446">
        <v>834</v>
      </c>
      <c r="I204" s="446">
        <v>78766.66</v>
      </c>
      <c r="J204" s="442">
        <v>1.3092618621461836</v>
      </c>
      <c r="K204" s="442">
        <v>94.444436450839333</v>
      </c>
      <c r="L204" s="446">
        <v>637</v>
      </c>
      <c r="M204" s="446">
        <v>60161.119999999995</v>
      </c>
      <c r="N204" s="442">
        <v>1</v>
      </c>
      <c r="O204" s="442">
        <v>94.444458398744104</v>
      </c>
      <c r="P204" s="446">
        <v>611</v>
      </c>
      <c r="Q204" s="446">
        <v>71005.56</v>
      </c>
      <c r="R204" s="469">
        <v>1.180256617562971</v>
      </c>
      <c r="S204" s="447">
        <v>116.21204582651391</v>
      </c>
    </row>
    <row r="205" spans="1:19" ht="14.45" customHeight="1" x14ac:dyDescent="0.2">
      <c r="A205" s="441"/>
      <c r="B205" s="442" t="s">
        <v>1688</v>
      </c>
      <c r="C205" s="442" t="s">
        <v>1682</v>
      </c>
      <c r="D205" s="442" t="s">
        <v>1679</v>
      </c>
      <c r="E205" s="442" t="s">
        <v>1773</v>
      </c>
      <c r="F205" s="442" t="s">
        <v>1828</v>
      </c>
      <c r="G205" s="442" t="s">
        <v>1829</v>
      </c>
      <c r="H205" s="446">
        <v>678</v>
      </c>
      <c r="I205" s="446">
        <v>65540</v>
      </c>
      <c r="J205" s="442">
        <v>1.4243698510844574</v>
      </c>
      <c r="K205" s="442">
        <v>96.666666666666671</v>
      </c>
      <c r="L205" s="446">
        <v>476</v>
      </c>
      <c r="M205" s="446">
        <v>46013.33</v>
      </c>
      <c r="N205" s="442">
        <v>1</v>
      </c>
      <c r="O205" s="442">
        <v>96.666659663865545</v>
      </c>
      <c r="P205" s="446">
        <v>438</v>
      </c>
      <c r="Q205" s="446">
        <v>68211.12</v>
      </c>
      <c r="R205" s="469">
        <v>1.4824208550000617</v>
      </c>
      <c r="S205" s="447">
        <v>155.7331506849315</v>
      </c>
    </row>
    <row r="206" spans="1:19" ht="14.45" customHeight="1" x14ac:dyDescent="0.2">
      <c r="A206" s="441"/>
      <c r="B206" s="442" t="s">
        <v>1688</v>
      </c>
      <c r="C206" s="442" t="s">
        <v>1682</v>
      </c>
      <c r="D206" s="442" t="s">
        <v>1679</v>
      </c>
      <c r="E206" s="442" t="s">
        <v>1773</v>
      </c>
      <c r="F206" s="442" t="s">
        <v>1831</v>
      </c>
      <c r="G206" s="442" t="s">
        <v>1832</v>
      </c>
      <c r="H206" s="446">
        <v>679</v>
      </c>
      <c r="I206" s="446">
        <v>294233.33</v>
      </c>
      <c r="J206" s="442">
        <v>1.2190304900009601</v>
      </c>
      <c r="K206" s="442">
        <v>433.33332842415319</v>
      </c>
      <c r="L206" s="446">
        <v>557</v>
      </c>
      <c r="M206" s="446">
        <v>241366.66999999998</v>
      </c>
      <c r="N206" s="442">
        <v>1</v>
      </c>
      <c r="O206" s="442">
        <v>433.33333931777378</v>
      </c>
      <c r="P206" s="446">
        <v>591</v>
      </c>
      <c r="Q206" s="446">
        <v>272078.89</v>
      </c>
      <c r="R206" s="469">
        <v>1.1272430033525342</v>
      </c>
      <c r="S206" s="447">
        <v>460.37037225042303</v>
      </c>
    </row>
    <row r="207" spans="1:19" ht="14.45" customHeight="1" x14ac:dyDescent="0.2">
      <c r="A207" s="441"/>
      <c r="B207" s="442" t="s">
        <v>1688</v>
      </c>
      <c r="C207" s="442" t="s">
        <v>1682</v>
      </c>
      <c r="D207" s="442" t="s">
        <v>1679</v>
      </c>
      <c r="E207" s="442" t="s">
        <v>1773</v>
      </c>
      <c r="F207" s="442" t="s">
        <v>1833</v>
      </c>
      <c r="G207" s="442" t="s">
        <v>1834</v>
      </c>
      <c r="H207" s="446">
        <v>1054</v>
      </c>
      <c r="I207" s="446">
        <v>79635.55</v>
      </c>
      <c r="J207" s="442">
        <v>1.1370009994288979</v>
      </c>
      <c r="K207" s="442">
        <v>75.555550284629987</v>
      </c>
      <c r="L207" s="446">
        <v>927</v>
      </c>
      <c r="M207" s="446">
        <v>70040</v>
      </c>
      <c r="N207" s="442">
        <v>1</v>
      </c>
      <c r="O207" s="442">
        <v>75.555555555555557</v>
      </c>
      <c r="P207" s="446">
        <v>475</v>
      </c>
      <c r="Q207" s="446">
        <v>49681.1</v>
      </c>
      <c r="R207" s="469">
        <v>0.70932467161621926</v>
      </c>
      <c r="S207" s="447">
        <v>104.5917894736842</v>
      </c>
    </row>
    <row r="208" spans="1:19" ht="14.45" customHeight="1" x14ac:dyDescent="0.2">
      <c r="A208" s="441"/>
      <c r="B208" s="442" t="s">
        <v>1688</v>
      </c>
      <c r="C208" s="442" t="s">
        <v>1682</v>
      </c>
      <c r="D208" s="442" t="s">
        <v>1679</v>
      </c>
      <c r="E208" s="442" t="s">
        <v>1773</v>
      </c>
      <c r="F208" s="442" t="s">
        <v>1878</v>
      </c>
      <c r="G208" s="442" t="s">
        <v>1879</v>
      </c>
      <c r="H208" s="446">
        <v>115</v>
      </c>
      <c r="I208" s="446">
        <v>147583.33000000002</v>
      </c>
      <c r="J208" s="442">
        <v>1.0952380705009277</v>
      </c>
      <c r="K208" s="442">
        <v>1283.3333043478262</v>
      </c>
      <c r="L208" s="446">
        <v>105</v>
      </c>
      <c r="M208" s="446">
        <v>134750</v>
      </c>
      <c r="N208" s="442">
        <v>1</v>
      </c>
      <c r="O208" s="442">
        <v>1283.3333333333333</v>
      </c>
      <c r="P208" s="446">
        <v>99</v>
      </c>
      <c r="Q208" s="446">
        <v>139951.11000000002</v>
      </c>
      <c r="R208" s="469">
        <v>1.0385982189239333</v>
      </c>
      <c r="S208" s="447">
        <v>1413.6475757575759</v>
      </c>
    </row>
    <row r="209" spans="1:19" ht="14.45" customHeight="1" x14ac:dyDescent="0.2">
      <c r="A209" s="441"/>
      <c r="B209" s="442" t="s">
        <v>1688</v>
      </c>
      <c r="C209" s="442" t="s">
        <v>1682</v>
      </c>
      <c r="D209" s="442" t="s">
        <v>1679</v>
      </c>
      <c r="E209" s="442" t="s">
        <v>1773</v>
      </c>
      <c r="F209" s="442" t="s">
        <v>1880</v>
      </c>
      <c r="G209" s="442" t="s">
        <v>1881</v>
      </c>
      <c r="H209" s="446">
        <v>6</v>
      </c>
      <c r="I209" s="446">
        <v>2800</v>
      </c>
      <c r="J209" s="442"/>
      <c r="K209" s="442">
        <v>466.66666666666669</v>
      </c>
      <c r="L209" s="446"/>
      <c r="M209" s="446"/>
      <c r="N209" s="442"/>
      <c r="O209" s="442"/>
      <c r="P209" s="446">
        <v>3</v>
      </c>
      <c r="Q209" s="446">
        <v>1516.67</v>
      </c>
      <c r="R209" s="469"/>
      <c r="S209" s="447">
        <v>505.55666666666667</v>
      </c>
    </row>
    <row r="210" spans="1:19" ht="14.45" customHeight="1" x14ac:dyDescent="0.2">
      <c r="A210" s="441"/>
      <c r="B210" s="442" t="s">
        <v>1688</v>
      </c>
      <c r="C210" s="442" t="s">
        <v>1682</v>
      </c>
      <c r="D210" s="442" t="s">
        <v>1679</v>
      </c>
      <c r="E210" s="442" t="s">
        <v>1773</v>
      </c>
      <c r="F210" s="442" t="s">
        <v>1835</v>
      </c>
      <c r="G210" s="442" t="s">
        <v>1836</v>
      </c>
      <c r="H210" s="446">
        <v>2</v>
      </c>
      <c r="I210" s="446">
        <v>233.33</v>
      </c>
      <c r="J210" s="442">
        <v>1.7500187504687617</v>
      </c>
      <c r="K210" s="442">
        <v>116.66500000000001</v>
      </c>
      <c r="L210" s="446">
        <v>1</v>
      </c>
      <c r="M210" s="446">
        <v>133.33000000000001</v>
      </c>
      <c r="N210" s="442">
        <v>1</v>
      </c>
      <c r="O210" s="442">
        <v>133.33000000000001</v>
      </c>
      <c r="P210" s="446">
        <v>4</v>
      </c>
      <c r="Q210" s="446">
        <v>714.44</v>
      </c>
      <c r="R210" s="469">
        <v>5.3584339608490215</v>
      </c>
      <c r="S210" s="447">
        <v>178.61</v>
      </c>
    </row>
    <row r="211" spans="1:19" ht="14.45" customHeight="1" x14ac:dyDescent="0.2">
      <c r="A211" s="441"/>
      <c r="B211" s="442" t="s">
        <v>1688</v>
      </c>
      <c r="C211" s="442" t="s">
        <v>1682</v>
      </c>
      <c r="D211" s="442" t="s">
        <v>1679</v>
      </c>
      <c r="E211" s="442" t="s">
        <v>1773</v>
      </c>
      <c r="F211" s="442" t="s">
        <v>1839</v>
      </c>
      <c r="G211" s="442" t="s">
        <v>1840</v>
      </c>
      <c r="H211" s="446">
        <v>3</v>
      </c>
      <c r="I211" s="446">
        <v>1033.32</v>
      </c>
      <c r="J211" s="442">
        <v>0.24999758063735689</v>
      </c>
      <c r="K211" s="442">
        <v>344.44</v>
      </c>
      <c r="L211" s="446">
        <v>12</v>
      </c>
      <c r="M211" s="446">
        <v>4133.32</v>
      </c>
      <c r="N211" s="442">
        <v>1</v>
      </c>
      <c r="O211" s="442">
        <v>344.44333333333333</v>
      </c>
      <c r="P211" s="446">
        <v>6</v>
      </c>
      <c r="Q211" s="446">
        <v>2366.65</v>
      </c>
      <c r="R211" s="469">
        <v>0.57257845993051593</v>
      </c>
      <c r="S211" s="447">
        <v>394.44166666666666</v>
      </c>
    </row>
    <row r="212" spans="1:19" ht="14.45" customHeight="1" x14ac:dyDescent="0.2">
      <c r="A212" s="441"/>
      <c r="B212" s="442" t="s">
        <v>1688</v>
      </c>
      <c r="C212" s="442" t="s">
        <v>1682</v>
      </c>
      <c r="D212" s="442" t="s">
        <v>1679</v>
      </c>
      <c r="E212" s="442" t="s">
        <v>1773</v>
      </c>
      <c r="F212" s="442" t="s">
        <v>1882</v>
      </c>
      <c r="G212" s="442" t="s">
        <v>1883</v>
      </c>
      <c r="H212" s="446">
        <v>1</v>
      </c>
      <c r="I212" s="446">
        <v>833.33</v>
      </c>
      <c r="J212" s="442"/>
      <c r="K212" s="442">
        <v>833.33</v>
      </c>
      <c r="L212" s="446"/>
      <c r="M212" s="446"/>
      <c r="N212" s="442"/>
      <c r="O212" s="442"/>
      <c r="P212" s="446"/>
      <c r="Q212" s="446"/>
      <c r="R212" s="469"/>
      <c r="S212" s="447"/>
    </row>
    <row r="213" spans="1:19" ht="14.45" customHeight="1" x14ac:dyDescent="0.2">
      <c r="A213" s="441"/>
      <c r="B213" s="442" t="s">
        <v>1688</v>
      </c>
      <c r="C213" s="442" t="s">
        <v>1682</v>
      </c>
      <c r="D213" s="442" t="s">
        <v>1679</v>
      </c>
      <c r="E213" s="442" t="s">
        <v>1773</v>
      </c>
      <c r="F213" s="442" t="s">
        <v>1841</v>
      </c>
      <c r="G213" s="442" t="s">
        <v>1842</v>
      </c>
      <c r="H213" s="446">
        <v>7</v>
      </c>
      <c r="I213" s="446">
        <v>2045.5500000000002</v>
      </c>
      <c r="J213" s="442">
        <v>0.63636278791951328</v>
      </c>
      <c r="K213" s="442">
        <v>292.22142857142859</v>
      </c>
      <c r="L213" s="446">
        <v>11</v>
      </c>
      <c r="M213" s="446">
        <v>3214.44</v>
      </c>
      <c r="N213" s="442">
        <v>1</v>
      </c>
      <c r="O213" s="442">
        <v>292.22181818181821</v>
      </c>
      <c r="P213" s="446">
        <v>7</v>
      </c>
      <c r="Q213" s="446">
        <v>2351.11</v>
      </c>
      <c r="R213" s="469">
        <v>0.73142133622030592</v>
      </c>
      <c r="S213" s="447">
        <v>335.87285714285719</v>
      </c>
    </row>
    <row r="214" spans="1:19" ht="14.45" customHeight="1" x14ac:dyDescent="0.2">
      <c r="A214" s="441"/>
      <c r="B214" s="442" t="s">
        <v>1688</v>
      </c>
      <c r="C214" s="442" t="s">
        <v>1682</v>
      </c>
      <c r="D214" s="442" t="s">
        <v>1679</v>
      </c>
      <c r="E214" s="442" t="s">
        <v>1773</v>
      </c>
      <c r="F214" s="442" t="s">
        <v>1845</v>
      </c>
      <c r="G214" s="442" t="s">
        <v>1846</v>
      </c>
      <c r="H214" s="446">
        <v>552</v>
      </c>
      <c r="I214" s="446">
        <v>64400</v>
      </c>
      <c r="J214" s="442">
        <v>1.0781250601632288</v>
      </c>
      <c r="K214" s="442">
        <v>116.66666666666667</v>
      </c>
      <c r="L214" s="446">
        <v>512</v>
      </c>
      <c r="M214" s="446">
        <v>59733.33</v>
      </c>
      <c r="N214" s="442">
        <v>1</v>
      </c>
      <c r="O214" s="442">
        <v>116.66666015625</v>
      </c>
      <c r="P214" s="446">
        <v>305</v>
      </c>
      <c r="Q214" s="446">
        <v>44021.11</v>
      </c>
      <c r="R214" s="469">
        <v>0.73696058800003283</v>
      </c>
      <c r="S214" s="447">
        <v>144.3315081967213</v>
      </c>
    </row>
    <row r="215" spans="1:19" ht="14.45" customHeight="1" x14ac:dyDescent="0.2">
      <c r="A215" s="441"/>
      <c r="B215" s="442" t="s">
        <v>1688</v>
      </c>
      <c r="C215" s="442" t="s">
        <v>1682</v>
      </c>
      <c r="D215" s="442" t="s">
        <v>1679</v>
      </c>
      <c r="E215" s="442" t="s">
        <v>1773</v>
      </c>
      <c r="F215" s="442" t="s">
        <v>1859</v>
      </c>
      <c r="G215" s="442" t="s">
        <v>1860</v>
      </c>
      <c r="H215" s="446">
        <v>4</v>
      </c>
      <c r="I215" s="446">
        <v>1435.56</v>
      </c>
      <c r="J215" s="442">
        <v>0.66666666666666663</v>
      </c>
      <c r="K215" s="442">
        <v>358.89</v>
      </c>
      <c r="L215" s="446">
        <v>6</v>
      </c>
      <c r="M215" s="446">
        <v>2153.34</v>
      </c>
      <c r="N215" s="442">
        <v>1</v>
      </c>
      <c r="O215" s="442">
        <v>358.89000000000004</v>
      </c>
      <c r="P215" s="446">
        <v>1</v>
      </c>
      <c r="Q215" s="446">
        <v>417.78</v>
      </c>
      <c r="R215" s="469">
        <v>0.19401487921090024</v>
      </c>
      <c r="S215" s="447">
        <v>417.78</v>
      </c>
    </row>
    <row r="216" spans="1:19" ht="14.45" customHeight="1" x14ac:dyDescent="0.2">
      <c r="A216" s="441"/>
      <c r="B216" s="442" t="s">
        <v>1688</v>
      </c>
      <c r="C216" s="442" t="s">
        <v>1682</v>
      </c>
      <c r="D216" s="442" t="s">
        <v>1679</v>
      </c>
      <c r="E216" s="442" t="s">
        <v>1773</v>
      </c>
      <c r="F216" s="442" t="s">
        <v>1861</v>
      </c>
      <c r="G216" s="442"/>
      <c r="H216" s="446">
        <v>215</v>
      </c>
      <c r="I216" s="446">
        <v>118250</v>
      </c>
      <c r="J216" s="442">
        <v>1.1497326203208555</v>
      </c>
      <c r="K216" s="442">
        <v>550</v>
      </c>
      <c r="L216" s="446">
        <v>187</v>
      </c>
      <c r="M216" s="446">
        <v>102850</v>
      </c>
      <c r="N216" s="442">
        <v>1</v>
      </c>
      <c r="O216" s="442">
        <v>550</v>
      </c>
      <c r="P216" s="446"/>
      <c r="Q216" s="446"/>
      <c r="R216" s="469"/>
      <c r="S216" s="447"/>
    </row>
    <row r="217" spans="1:19" ht="14.45" customHeight="1" x14ac:dyDescent="0.2">
      <c r="A217" s="441"/>
      <c r="B217" s="442" t="s">
        <v>1688</v>
      </c>
      <c r="C217" s="442" t="s">
        <v>1682</v>
      </c>
      <c r="D217" s="442" t="s">
        <v>1679</v>
      </c>
      <c r="E217" s="442" t="s">
        <v>1773</v>
      </c>
      <c r="F217" s="442" t="s">
        <v>1847</v>
      </c>
      <c r="G217" s="442" t="s">
        <v>1848</v>
      </c>
      <c r="H217" s="446">
        <v>3</v>
      </c>
      <c r="I217" s="446">
        <v>350</v>
      </c>
      <c r="J217" s="442">
        <v>0.5</v>
      </c>
      <c r="K217" s="442">
        <v>116.66666666666667</v>
      </c>
      <c r="L217" s="446">
        <v>6</v>
      </c>
      <c r="M217" s="446">
        <v>700</v>
      </c>
      <c r="N217" s="442">
        <v>1</v>
      </c>
      <c r="O217" s="442">
        <v>116.66666666666667</v>
      </c>
      <c r="P217" s="446">
        <v>1</v>
      </c>
      <c r="Q217" s="446">
        <v>150</v>
      </c>
      <c r="R217" s="469">
        <v>0.21428571428571427</v>
      </c>
      <c r="S217" s="447">
        <v>150</v>
      </c>
    </row>
    <row r="218" spans="1:19" ht="14.45" customHeight="1" x14ac:dyDescent="0.2">
      <c r="A218" s="441"/>
      <c r="B218" s="442" t="s">
        <v>1688</v>
      </c>
      <c r="C218" s="442" t="s">
        <v>1682</v>
      </c>
      <c r="D218" s="442" t="s">
        <v>1679</v>
      </c>
      <c r="E218" s="442" t="s">
        <v>1773</v>
      </c>
      <c r="F218" s="442" t="s">
        <v>1862</v>
      </c>
      <c r="G218" s="442" t="s">
        <v>1863</v>
      </c>
      <c r="H218" s="446"/>
      <c r="I218" s="446"/>
      <c r="J218" s="442"/>
      <c r="K218" s="442"/>
      <c r="L218" s="446">
        <v>13</v>
      </c>
      <c r="M218" s="446">
        <v>7193.33</v>
      </c>
      <c r="N218" s="442">
        <v>1</v>
      </c>
      <c r="O218" s="442">
        <v>553.33307692307687</v>
      </c>
      <c r="P218" s="446">
        <v>48</v>
      </c>
      <c r="Q218" s="446">
        <v>27731.11</v>
      </c>
      <c r="R218" s="469">
        <v>3.855114390692489</v>
      </c>
      <c r="S218" s="447">
        <v>577.73145833333331</v>
      </c>
    </row>
    <row r="219" spans="1:19" ht="14.45" customHeight="1" x14ac:dyDescent="0.2">
      <c r="A219" s="441"/>
      <c r="B219" s="442" t="s">
        <v>1688</v>
      </c>
      <c r="C219" s="442" t="s">
        <v>1682</v>
      </c>
      <c r="D219" s="442" t="s">
        <v>1679</v>
      </c>
      <c r="E219" s="442" t="s">
        <v>1773</v>
      </c>
      <c r="F219" s="442" t="s">
        <v>1864</v>
      </c>
      <c r="G219" s="442" t="s">
        <v>1865</v>
      </c>
      <c r="H219" s="446"/>
      <c r="I219" s="446"/>
      <c r="J219" s="442"/>
      <c r="K219" s="442"/>
      <c r="L219" s="446"/>
      <c r="M219" s="446"/>
      <c r="N219" s="442"/>
      <c r="O219" s="442"/>
      <c r="P219" s="446">
        <v>1</v>
      </c>
      <c r="Q219" s="446">
        <v>300</v>
      </c>
      <c r="R219" s="469"/>
      <c r="S219" s="447">
        <v>300</v>
      </c>
    </row>
    <row r="220" spans="1:19" ht="14.45" customHeight="1" x14ac:dyDescent="0.2">
      <c r="A220" s="441"/>
      <c r="B220" s="442" t="s">
        <v>1688</v>
      </c>
      <c r="C220" s="442" t="s">
        <v>1682</v>
      </c>
      <c r="D220" s="442" t="s">
        <v>1679</v>
      </c>
      <c r="E220" s="442" t="s">
        <v>1773</v>
      </c>
      <c r="F220" s="442" t="s">
        <v>1849</v>
      </c>
      <c r="G220" s="442" t="s">
        <v>1850</v>
      </c>
      <c r="H220" s="446"/>
      <c r="I220" s="446"/>
      <c r="J220" s="442"/>
      <c r="K220" s="442"/>
      <c r="L220" s="446"/>
      <c r="M220" s="446"/>
      <c r="N220" s="442"/>
      <c r="O220" s="442"/>
      <c r="P220" s="446">
        <v>502</v>
      </c>
      <c r="Q220" s="446">
        <v>30697.77</v>
      </c>
      <c r="R220" s="469"/>
      <c r="S220" s="447">
        <v>61.150936254980081</v>
      </c>
    </row>
    <row r="221" spans="1:19" ht="14.45" customHeight="1" x14ac:dyDescent="0.2">
      <c r="A221" s="441"/>
      <c r="B221" s="442" t="s">
        <v>1688</v>
      </c>
      <c r="C221" s="442" t="s">
        <v>1682</v>
      </c>
      <c r="D221" s="442" t="s">
        <v>1679</v>
      </c>
      <c r="E221" s="442" t="s">
        <v>1773</v>
      </c>
      <c r="F221" s="442" t="s">
        <v>1884</v>
      </c>
      <c r="G221" s="442" t="s">
        <v>1885</v>
      </c>
      <c r="H221" s="446"/>
      <c r="I221" s="446"/>
      <c r="J221" s="442"/>
      <c r="K221" s="442"/>
      <c r="L221" s="446"/>
      <c r="M221" s="446"/>
      <c r="N221" s="442"/>
      <c r="O221" s="442"/>
      <c r="P221" s="446">
        <v>157</v>
      </c>
      <c r="Q221" s="446">
        <v>92761.12</v>
      </c>
      <c r="R221" s="469"/>
      <c r="S221" s="447">
        <v>590.83515923566881</v>
      </c>
    </row>
    <row r="222" spans="1:19" ht="14.45" customHeight="1" x14ac:dyDescent="0.2">
      <c r="A222" s="441"/>
      <c r="B222" s="442" t="s">
        <v>1688</v>
      </c>
      <c r="C222" s="442" t="s">
        <v>1682</v>
      </c>
      <c r="D222" s="442" t="s">
        <v>1679</v>
      </c>
      <c r="E222" s="442" t="s">
        <v>1773</v>
      </c>
      <c r="F222" s="442" t="s">
        <v>1866</v>
      </c>
      <c r="G222" s="442" t="s">
        <v>1867</v>
      </c>
      <c r="H222" s="446"/>
      <c r="I222" s="446"/>
      <c r="J222" s="442"/>
      <c r="K222" s="442"/>
      <c r="L222" s="446"/>
      <c r="M222" s="446"/>
      <c r="N222" s="442"/>
      <c r="O222" s="442"/>
      <c r="P222" s="446">
        <v>3</v>
      </c>
      <c r="Q222" s="446">
        <v>1033.33</v>
      </c>
      <c r="R222" s="469"/>
      <c r="S222" s="447">
        <v>344.44333333333333</v>
      </c>
    </row>
    <row r="223" spans="1:19" ht="14.45" customHeight="1" x14ac:dyDescent="0.2">
      <c r="A223" s="441"/>
      <c r="B223" s="442" t="s">
        <v>1688</v>
      </c>
      <c r="C223" s="442" t="s">
        <v>1682</v>
      </c>
      <c r="D223" s="442" t="s">
        <v>1679</v>
      </c>
      <c r="E223" s="442" t="s">
        <v>1773</v>
      </c>
      <c r="F223" s="442" t="s">
        <v>1886</v>
      </c>
      <c r="G223" s="442" t="s">
        <v>1887</v>
      </c>
      <c r="H223" s="446"/>
      <c r="I223" s="446"/>
      <c r="J223" s="442"/>
      <c r="K223" s="442"/>
      <c r="L223" s="446"/>
      <c r="M223" s="446"/>
      <c r="N223" s="442"/>
      <c r="O223" s="442"/>
      <c r="P223" s="446">
        <v>1</v>
      </c>
      <c r="Q223" s="446">
        <v>672.22</v>
      </c>
      <c r="R223" s="469"/>
      <c r="S223" s="447">
        <v>672.22</v>
      </c>
    </row>
    <row r="224" spans="1:19" ht="14.45" customHeight="1" x14ac:dyDescent="0.2">
      <c r="A224" s="441"/>
      <c r="B224" s="442" t="s">
        <v>1688</v>
      </c>
      <c r="C224" s="442" t="s">
        <v>1683</v>
      </c>
      <c r="D224" s="442" t="s">
        <v>1679</v>
      </c>
      <c r="E224" s="442" t="s">
        <v>1773</v>
      </c>
      <c r="F224" s="442" t="s">
        <v>1851</v>
      </c>
      <c r="G224" s="442" t="s">
        <v>1852</v>
      </c>
      <c r="H224" s="446">
        <v>2</v>
      </c>
      <c r="I224" s="446">
        <v>211.11</v>
      </c>
      <c r="J224" s="442"/>
      <c r="K224" s="442">
        <v>105.55500000000001</v>
      </c>
      <c r="L224" s="446"/>
      <c r="M224" s="446"/>
      <c r="N224" s="442"/>
      <c r="O224" s="442"/>
      <c r="P224" s="446"/>
      <c r="Q224" s="446"/>
      <c r="R224" s="469"/>
      <c r="S224" s="447"/>
    </row>
    <row r="225" spans="1:19" ht="14.45" customHeight="1" x14ac:dyDescent="0.2">
      <c r="A225" s="441"/>
      <c r="B225" s="442" t="s">
        <v>1688</v>
      </c>
      <c r="C225" s="442" t="s">
        <v>1683</v>
      </c>
      <c r="D225" s="442" t="s">
        <v>1679</v>
      </c>
      <c r="E225" s="442" t="s">
        <v>1773</v>
      </c>
      <c r="F225" s="442" t="s">
        <v>1778</v>
      </c>
      <c r="G225" s="442" t="s">
        <v>1779</v>
      </c>
      <c r="H225" s="446">
        <v>603</v>
      </c>
      <c r="I225" s="446">
        <v>46900</v>
      </c>
      <c r="J225" s="442">
        <v>1.0168632349303146</v>
      </c>
      <c r="K225" s="442">
        <v>77.777777777777771</v>
      </c>
      <c r="L225" s="446">
        <v>593</v>
      </c>
      <c r="M225" s="446">
        <v>46122.229999999996</v>
      </c>
      <c r="N225" s="442">
        <v>1</v>
      </c>
      <c r="O225" s="442">
        <v>77.777790893760539</v>
      </c>
      <c r="P225" s="446">
        <v>782</v>
      </c>
      <c r="Q225" s="446">
        <v>68051.11</v>
      </c>
      <c r="R225" s="469">
        <v>1.4754514254839803</v>
      </c>
      <c r="S225" s="447">
        <v>87.021879795396416</v>
      </c>
    </row>
    <row r="226" spans="1:19" ht="14.45" customHeight="1" x14ac:dyDescent="0.2">
      <c r="A226" s="441"/>
      <c r="B226" s="442" t="s">
        <v>1688</v>
      </c>
      <c r="C226" s="442" t="s">
        <v>1683</v>
      </c>
      <c r="D226" s="442" t="s">
        <v>1679</v>
      </c>
      <c r="E226" s="442" t="s">
        <v>1773</v>
      </c>
      <c r="F226" s="442" t="s">
        <v>1780</v>
      </c>
      <c r="G226" s="442" t="s">
        <v>1781</v>
      </c>
      <c r="H226" s="446">
        <v>15</v>
      </c>
      <c r="I226" s="446">
        <v>3750</v>
      </c>
      <c r="J226" s="442">
        <v>1.6666666666666667</v>
      </c>
      <c r="K226" s="442">
        <v>250</v>
      </c>
      <c r="L226" s="446">
        <v>9</v>
      </c>
      <c r="M226" s="446">
        <v>2250</v>
      </c>
      <c r="N226" s="442">
        <v>1</v>
      </c>
      <c r="O226" s="442">
        <v>250</v>
      </c>
      <c r="P226" s="446">
        <v>53</v>
      </c>
      <c r="Q226" s="446">
        <v>14300.010000000002</v>
      </c>
      <c r="R226" s="469">
        <v>6.3555600000000005</v>
      </c>
      <c r="S226" s="447">
        <v>269.81150943396233</v>
      </c>
    </row>
    <row r="227" spans="1:19" ht="14.45" customHeight="1" x14ac:dyDescent="0.2">
      <c r="A227" s="441"/>
      <c r="B227" s="442" t="s">
        <v>1688</v>
      </c>
      <c r="C227" s="442" t="s">
        <v>1683</v>
      </c>
      <c r="D227" s="442" t="s">
        <v>1679</v>
      </c>
      <c r="E227" s="442" t="s">
        <v>1773</v>
      </c>
      <c r="F227" s="442" t="s">
        <v>1782</v>
      </c>
      <c r="G227" s="442" t="s">
        <v>1783</v>
      </c>
      <c r="H227" s="446">
        <v>1</v>
      </c>
      <c r="I227" s="446">
        <v>300</v>
      </c>
      <c r="J227" s="442">
        <v>1</v>
      </c>
      <c r="K227" s="442">
        <v>300</v>
      </c>
      <c r="L227" s="446">
        <v>1</v>
      </c>
      <c r="M227" s="446">
        <v>300</v>
      </c>
      <c r="N227" s="442">
        <v>1</v>
      </c>
      <c r="O227" s="442">
        <v>300</v>
      </c>
      <c r="P227" s="446"/>
      <c r="Q227" s="446"/>
      <c r="R227" s="469"/>
      <c r="S227" s="447"/>
    </row>
    <row r="228" spans="1:19" ht="14.45" customHeight="1" x14ac:dyDescent="0.2">
      <c r="A228" s="441"/>
      <c r="B228" s="442" t="s">
        <v>1688</v>
      </c>
      <c r="C228" s="442" t="s">
        <v>1683</v>
      </c>
      <c r="D228" s="442" t="s">
        <v>1679</v>
      </c>
      <c r="E228" s="442" t="s">
        <v>1773</v>
      </c>
      <c r="F228" s="442" t="s">
        <v>1784</v>
      </c>
      <c r="G228" s="442" t="s">
        <v>1785</v>
      </c>
      <c r="H228" s="446">
        <v>359</v>
      </c>
      <c r="I228" s="446">
        <v>41883.339999999997</v>
      </c>
      <c r="J228" s="442">
        <v>1.0684522784560515</v>
      </c>
      <c r="K228" s="442">
        <v>116.6666852367688</v>
      </c>
      <c r="L228" s="446">
        <v>336</v>
      </c>
      <c r="M228" s="446">
        <v>39200.009999999995</v>
      </c>
      <c r="N228" s="442">
        <v>1</v>
      </c>
      <c r="O228" s="442">
        <v>116.66669642857141</v>
      </c>
      <c r="P228" s="446">
        <v>480</v>
      </c>
      <c r="Q228" s="446">
        <v>67440.009999999995</v>
      </c>
      <c r="R228" s="469">
        <v>1.7204079794877605</v>
      </c>
      <c r="S228" s="447">
        <v>140.50002083333331</v>
      </c>
    </row>
    <row r="229" spans="1:19" ht="14.45" customHeight="1" x14ac:dyDescent="0.2">
      <c r="A229" s="441"/>
      <c r="B229" s="442" t="s">
        <v>1688</v>
      </c>
      <c r="C229" s="442" t="s">
        <v>1683</v>
      </c>
      <c r="D229" s="442" t="s">
        <v>1679</v>
      </c>
      <c r="E229" s="442" t="s">
        <v>1773</v>
      </c>
      <c r="F229" s="442" t="s">
        <v>1786</v>
      </c>
      <c r="G229" s="442" t="s">
        <v>1787</v>
      </c>
      <c r="H229" s="446">
        <v>15</v>
      </c>
      <c r="I229" s="446">
        <v>4500</v>
      </c>
      <c r="J229" s="442"/>
      <c r="K229" s="442">
        <v>300</v>
      </c>
      <c r="L229" s="446"/>
      <c r="M229" s="446"/>
      <c r="N229" s="442"/>
      <c r="O229" s="442"/>
      <c r="P229" s="446">
        <v>15</v>
      </c>
      <c r="Q229" s="446">
        <v>9566.6699999999983</v>
      </c>
      <c r="R229" s="469"/>
      <c r="S229" s="447">
        <v>637.77799999999991</v>
      </c>
    </row>
    <row r="230" spans="1:19" ht="14.45" customHeight="1" x14ac:dyDescent="0.2">
      <c r="A230" s="441"/>
      <c r="B230" s="442" t="s">
        <v>1688</v>
      </c>
      <c r="C230" s="442" t="s">
        <v>1683</v>
      </c>
      <c r="D230" s="442" t="s">
        <v>1679</v>
      </c>
      <c r="E230" s="442" t="s">
        <v>1773</v>
      </c>
      <c r="F230" s="442" t="s">
        <v>1788</v>
      </c>
      <c r="G230" s="442" t="s">
        <v>1789</v>
      </c>
      <c r="H230" s="446"/>
      <c r="I230" s="446"/>
      <c r="J230" s="442"/>
      <c r="K230" s="442"/>
      <c r="L230" s="446"/>
      <c r="M230" s="446"/>
      <c r="N230" s="442"/>
      <c r="O230" s="442"/>
      <c r="P230" s="446">
        <v>1</v>
      </c>
      <c r="Q230" s="446">
        <v>344.44</v>
      </c>
      <c r="R230" s="469"/>
      <c r="S230" s="447">
        <v>344.44</v>
      </c>
    </row>
    <row r="231" spans="1:19" ht="14.45" customHeight="1" x14ac:dyDescent="0.2">
      <c r="A231" s="441"/>
      <c r="B231" s="442" t="s">
        <v>1688</v>
      </c>
      <c r="C231" s="442" t="s">
        <v>1683</v>
      </c>
      <c r="D231" s="442" t="s">
        <v>1679</v>
      </c>
      <c r="E231" s="442" t="s">
        <v>1773</v>
      </c>
      <c r="F231" s="442" t="s">
        <v>1790</v>
      </c>
      <c r="G231" s="442" t="s">
        <v>1791</v>
      </c>
      <c r="H231" s="446">
        <v>1253</v>
      </c>
      <c r="I231" s="446">
        <v>974555.54999999993</v>
      </c>
      <c r="J231" s="442">
        <v>0.98817035361635175</v>
      </c>
      <c r="K231" s="442">
        <v>777.77777334397445</v>
      </c>
      <c r="L231" s="446">
        <v>1268</v>
      </c>
      <c r="M231" s="446">
        <v>986222.21</v>
      </c>
      <c r="N231" s="442">
        <v>1</v>
      </c>
      <c r="O231" s="442">
        <v>777.77776813880121</v>
      </c>
      <c r="P231" s="446">
        <v>1054</v>
      </c>
      <c r="Q231" s="446">
        <v>988363.33000000007</v>
      </c>
      <c r="R231" s="469">
        <v>1.0021710320233004</v>
      </c>
      <c r="S231" s="447">
        <v>937.72611954459205</v>
      </c>
    </row>
    <row r="232" spans="1:19" ht="14.45" customHeight="1" x14ac:dyDescent="0.2">
      <c r="A232" s="441"/>
      <c r="B232" s="442" t="s">
        <v>1688</v>
      </c>
      <c r="C232" s="442" t="s">
        <v>1683</v>
      </c>
      <c r="D232" s="442" t="s">
        <v>1679</v>
      </c>
      <c r="E232" s="442" t="s">
        <v>1773</v>
      </c>
      <c r="F232" s="442" t="s">
        <v>1792</v>
      </c>
      <c r="G232" s="442" t="s">
        <v>1793</v>
      </c>
      <c r="H232" s="446">
        <v>2611</v>
      </c>
      <c r="I232" s="446">
        <v>243693.34000000003</v>
      </c>
      <c r="J232" s="442">
        <v>1.250478961412151</v>
      </c>
      <c r="K232" s="442">
        <v>93.333335886633478</v>
      </c>
      <c r="L232" s="446">
        <v>2088</v>
      </c>
      <c r="M232" s="446">
        <v>194880.00000000003</v>
      </c>
      <c r="N232" s="442">
        <v>1</v>
      </c>
      <c r="O232" s="442">
        <v>93.333333333333343</v>
      </c>
      <c r="P232" s="446">
        <v>2882</v>
      </c>
      <c r="Q232" s="446">
        <v>303010</v>
      </c>
      <c r="R232" s="469">
        <v>1.5548542692939242</v>
      </c>
      <c r="S232" s="447">
        <v>105.13879250520472</v>
      </c>
    </row>
    <row r="233" spans="1:19" ht="14.45" customHeight="1" x14ac:dyDescent="0.2">
      <c r="A233" s="441"/>
      <c r="B233" s="442" t="s">
        <v>1688</v>
      </c>
      <c r="C233" s="442" t="s">
        <v>1683</v>
      </c>
      <c r="D233" s="442" t="s">
        <v>1679</v>
      </c>
      <c r="E233" s="442" t="s">
        <v>1773</v>
      </c>
      <c r="F233" s="442" t="s">
        <v>1888</v>
      </c>
      <c r="G233" s="442" t="s">
        <v>1889</v>
      </c>
      <c r="H233" s="446">
        <v>60</v>
      </c>
      <c r="I233" s="446">
        <v>40000</v>
      </c>
      <c r="J233" s="442">
        <v>0.96774177939648731</v>
      </c>
      <c r="K233" s="442">
        <v>666.66666666666663</v>
      </c>
      <c r="L233" s="446">
        <v>62</v>
      </c>
      <c r="M233" s="446">
        <v>41333.339999999997</v>
      </c>
      <c r="N233" s="442">
        <v>1</v>
      </c>
      <c r="O233" s="442">
        <v>666.66677419354835</v>
      </c>
      <c r="P233" s="446">
        <v>36</v>
      </c>
      <c r="Q233" s="446">
        <v>25287.770000000004</v>
      </c>
      <c r="R233" s="469">
        <v>0.6118007884192278</v>
      </c>
      <c r="S233" s="447">
        <v>702.43805555555571</v>
      </c>
    </row>
    <row r="234" spans="1:19" ht="14.45" customHeight="1" x14ac:dyDescent="0.2">
      <c r="A234" s="441"/>
      <c r="B234" s="442" t="s">
        <v>1688</v>
      </c>
      <c r="C234" s="442" t="s">
        <v>1683</v>
      </c>
      <c r="D234" s="442" t="s">
        <v>1679</v>
      </c>
      <c r="E234" s="442" t="s">
        <v>1773</v>
      </c>
      <c r="F234" s="442" t="s">
        <v>1873</v>
      </c>
      <c r="G234" s="442" t="s">
        <v>1874</v>
      </c>
      <c r="H234" s="446">
        <v>214</v>
      </c>
      <c r="I234" s="446">
        <v>166444.44000000003</v>
      </c>
      <c r="J234" s="442">
        <v>1.3291925346795483</v>
      </c>
      <c r="K234" s="442">
        <v>777.77775700934592</v>
      </c>
      <c r="L234" s="446">
        <v>161</v>
      </c>
      <c r="M234" s="446">
        <v>125222.22</v>
      </c>
      <c r="N234" s="442">
        <v>1</v>
      </c>
      <c r="O234" s="442">
        <v>777.77776397515527</v>
      </c>
      <c r="P234" s="446">
        <v>184</v>
      </c>
      <c r="Q234" s="446">
        <v>171503.33000000002</v>
      </c>
      <c r="R234" s="469">
        <v>1.3695918344204407</v>
      </c>
      <c r="S234" s="447">
        <v>932.08331521739137</v>
      </c>
    </row>
    <row r="235" spans="1:19" ht="14.45" customHeight="1" x14ac:dyDescent="0.2">
      <c r="A235" s="441"/>
      <c r="B235" s="442" t="s">
        <v>1688</v>
      </c>
      <c r="C235" s="442" t="s">
        <v>1683</v>
      </c>
      <c r="D235" s="442" t="s">
        <v>1679</v>
      </c>
      <c r="E235" s="442" t="s">
        <v>1773</v>
      </c>
      <c r="F235" s="442" t="s">
        <v>1890</v>
      </c>
      <c r="G235" s="442" t="s">
        <v>1891</v>
      </c>
      <c r="H235" s="446">
        <v>366</v>
      </c>
      <c r="I235" s="446">
        <v>121999.99</v>
      </c>
      <c r="J235" s="442">
        <v>1.1192660659877125</v>
      </c>
      <c r="K235" s="442">
        <v>333.33330601092899</v>
      </c>
      <c r="L235" s="446">
        <v>327</v>
      </c>
      <c r="M235" s="446">
        <v>108999.99</v>
      </c>
      <c r="N235" s="442">
        <v>1</v>
      </c>
      <c r="O235" s="442">
        <v>333.3333027522936</v>
      </c>
      <c r="P235" s="446">
        <v>371</v>
      </c>
      <c r="Q235" s="446">
        <v>131077.78</v>
      </c>
      <c r="R235" s="469">
        <v>1.2025485506925275</v>
      </c>
      <c r="S235" s="447">
        <v>353.30938005390834</v>
      </c>
    </row>
    <row r="236" spans="1:19" ht="14.45" customHeight="1" x14ac:dyDescent="0.2">
      <c r="A236" s="441"/>
      <c r="B236" s="442" t="s">
        <v>1688</v>
      </c>
      <c r="C236" s="442" t="s">
        <v>1683</v>
      </c>
      <c r="D236" s="442" t="s">
        <v>1679</v>
      </c>
      <c r="E236" s="442" t="s">
        <v>1773</v>
      </c>
      <c r="F236" s="442" t="s">
        <v>1795</v>
      </c>
      <c r="G236" s="442" t="s">
        <v>1777</v>
      </c>
      <c r="H236" s="446">
        <v>13</v>
      </c>
      <c r="I236" s="446">
        <v>5431.119999999999</v>
      </c>
      <c r="J236" s="442"/>
      <c r="K236" s="442">
        <v>417.77846153846144</v>
      </c>
      <c r="L236" s="446"/>
      <c r="M236" s="446"/>
      <c r="N236" s="442"/>
      <c r="O236" s="442"/>
      <c r="P236" s="446"/>
      <c r="Q236" s="446"/>
      <c r="R236" s="469"/>
      <c r="S236" s="447"/>
    </row>
    <row r="237" spans="1:19" ht="14.45" customHeight="1" x14ac:dyDescent="0.2">
      <c r="A237" s="441"/>
      <c r="B237" s="442" t="s">
        <v>1688</v>
      </c>
      <c r="C237" s="442" t="s">
        <v>1683</v>
      </c>
      <c r="D237" s="442" t="s">
        <v>1679</v>
      </c>
      <c r="E237" s="442" t="s">
        <v>1773</v>
      </c>
      <c r="F237" s="442" t="s">
        <v>1796</v>
      </c>
      <c r="G237" s="442" t="s">
        <v>1797</v>
      </c>
      <c r="H237" s="446">
        <v>85</v>
      </c>
      <c r="I237" s="446">
        <v>17944.45</v>
      </c>
      <c r="J237" s="442">
        <v>0.79166679534311846</v>
      </c>
      <c r="K237" s="442">
        <v>211.11117647058825</v>
      </c>
      <c r="L237" s="446">
        <v>102</v>
      </c>
      <c r="M237" s="446">
        <v>22666.67</v>
      </c>
      <c r="N237" s="442">
        <v>1</v>
      </c>
      <c r="O237" s="442">
        <v>222.22225490196078</v>
      </c>
      <c r="P237" s="446">
        <v>120</v>
      </c>
      <c r="Q237" s="446">
        <v>43584.44</v>
      </c>
      <c r="R237" s="469">
        <v>1.9228426584054916</v>
      </c>
      <c r="S237" s="447">
        <v>363.20366666666666</v>
      </c>
    </row>
    <row r="238" spans="1:19" ht="14.45" customHeight="1" x14ac:dyDescent="0.2">
      <c r="A238" s="441"/>
      <c r="B238" s="442" t="s">
        <v>1688</v>
      </c>
      <c r="C238" s="442" t="s">
        <v>1683</v>
      </c>
      <c r="D238" s="442" t="s">
        <v>1679</v>
      </c>
      <c r="E238" s="442" t="s">
        <v>1773</v>
      </c>
      <c r="F238" s="442" t="s">
        <v>1798</v>
      </c>
      <c r="G238" s="442" t="s">
        <v>1799</v>
      </c>
      <c r="H238" s="446">
        <v>65</v>
      </c>
      <c r="I238" s="446">
        <v>37916.67</v>
      </c>
      <c r="J238" s="442">
        <v>1.7105269806096179</v>
      </c>
      <c r="K238" s="442">
        <v>583.3333846153846</v>
      </c>
      <c r="L238" s="446">
        <v>38</v>
      </c>
      <c r="M238" s="446">
        <v>22166.660000000003</v>
      </c>
      <c r="N238" s="442">
        <v>1</v>
      </c>
      <c r="O238" s="442">
        <v>583.33315789473693</v>
      </c>
      <c r="P238" s="446">
        <v>81</v>
      </c>
      <c r="Q238" s="446">
        <v>57461.11</v>
      </c>
      <c r="R238" s="469">
        <v>2.5922313059342268</v>
      </c>
      <c r="S238" s="447">
        <v>709.39641975308643</v>
      </c>
    </row>
    <row r="239" spans="1:19" ht="14.45" customHeight="1" x14ac:dyDescent="0.2">
      <c r="A239" s="441"/>
      <c r="B239" s="442" t="s">
        <v>1688</v>
      </c>
      <c r="C239" s="442" t="s">
        <v>1683</v>
      </c>
      <c r="D239" s="442" t="s">
        <v>1679</v>
      </c>
      <c r="E239" s="442" t="s">
        <v>1773</v>
      </c>
      <c r="F239" s="442" t="s">
        <v>1800</v>
      </c>
      <c r="G239" s="442" t="s">
        <v>1801</v>
      </c>
      <c r="H239" s="446">
        <v>58</v>
      </c>
      <c r="I239" s="446">
        <v>27066.66</v>
      </c>
      <c r="J239" s="442">
        <v>2</v>
      </c>
      <c r="K239" s="442">
        <v>466.66655172413795</v>
      </c>
      <c r="L239" s="446">
        <v>29</v>
      </c>
      <c r="M239" s="446">
        <v>13533.33</v>
      </c>
      <c r="N239" s="442">
        <v>1</v>
      </c>
      <c r="O239" s="442">
        <v>466.66655172413795</v>
      </c>
      <c r="P239" s="446">
        <v>134</v>
      </c>
      <c r="Q239" s="446">
        <v>73923.34</v>
      </c>
      <c r="R239" s="469">
        <v>5.4623171089451006</v>
      </c>
      <c r="S239" s="447">
        <v>551.66671641791038</v>
      </c>
    </row>
    <row r="240" spans="1:19" ht="14.45" customHeight="1" x14ac:dyDescent="0.2">
      <c r="A240" s="441"/>
      <c r="B240" s="442" t="s">
        <v>1688</v>
      </c>
      <c r="C240" s="442" t="s">
        <v>1683</v>
      </c>
      <c r="D240" s="442" t="s">
        <v>1679</v>
      </c>
      <c r="E240" s="442" t="s">
        <v>1773</v>
      </c>
      <c r="F240" s="442" t="s">
        <v>1875</v>
      </c>
      <c r="G240" s="442" t="s">
        <v>1801</v>
      </c>
      <c r="H240" s="446">
        <v>29</v>
      </c>
      <c r="I240" s="446">
        <v>29000</v>
      </c>
      <c r="J240" s="442">
        <v>1.0740740740740742</v>
      </c>
      <c r="K240" s="442">
        <v>1000</v>
      </c>
      <c r="L240" s="446">
        <v>27</v>
      </c>
      <c r="M240" s="446">
        <v>27000</v>
      </c>
      <c r="N240" s="442">
        <v>1</v>
      </c>
      <c r="O240" s="442">
        <v>1000</v>
      </c>
      <c r="P240" s="446">
        <v>15</v>
      </c>
      <c r="Q240" s="446">
        <v>15976.67</v>
      </c>
      <c r="R240" s="469">
        <v>0.59172851851851849</v>
      </c>
      <c r="S240" s="447">
        <v>1065.1113333333333</v>
      </c>
    </row>
    <row r="241" spans="1:19" ht="14.45" customHeight="1" x14ac:dyDescent="0.2">
      <c r="A241" s="441"/>
      <c r="B241" s="442" t="s">
        <v>1688</v>
      </c>
      <c r="C241" s="442" t="s">
        <v>1683</v>
      </c>
      <c r="D241" s="442" t="s">
        <v>1679</v>
      </c>
      <c r="E241" s="442" t="s">
        <v>1773</v>
      </c>
      <c r="F241" s="442" t="s">
        <v>1802</v>
      </c>
      <c r="G241" s="442" t="s">
        <v>1803</v>
      </c>
      <c r="H241" s="446">
        <v>390</v>
      </c>
      <c r="I241" s="446">
        <v>19500</v>
      </c>
      <c r="J241" s="442">
        <v>1.5954535301659354</v>
      </c>
      <c r="K241" s="442">
        <v>50</v>
      </c>
      <c r="L241" s="446">
        <v>200</v>
      </c>
      <c r="M241" s="446">
        <v>12222.23</v>
      </c>
      <c r="N241" s="442">
        <v>1</v>
      </c>
      <c r="O241" s="442">
        <v>61.111149999999995</v>
      </c>
      <c r="P241" s="446">
        <v>168</v>
      </c>
      <c r="Q241" s="446">
        <v>11670</v>
      </c>
      <c r="R241" s="469">
        <v>0.95481757420699831</v>
      </c>
      <c r="S241" s="447">
        <v>69.464285714285708</v>
      </c>
    </row>
    <row r="242" spans="1:19" ht="14.45" customHeight="1" x14ac:dyDescent="0.2">
      <c r="A242" s="441"/>
      <c r="B242" s="442" t="s">
        <v>1688</v>
      </c>
      <c r="C242" s="442" t="s">
        <v>1683</v>
      </c>
      <c r="D242" s="442" t="s">
        <v>1679</v>
      </c>
      <c r="E242" s="442" t="s">
        <v>1773</v>
      </c>
      <c r="F242" s="442" t="s">
        <v>1804</v>
      </c>
      <c r="G242" s="442" t="s">
        <v>1805</v>
      </c>
      <c r="H242" s="446">
        <v>1</v>
      </c>
      <c r="I242" s="446">
        <v>101.11</v>
      </c>
      <c r="J242" s="442">
        <v>0.39564094537486305</v>
      </c>
      <c r="K242" s="442">
        <v>101.11</v>
      </c>
      <c r="L242" s="446">
        <v>2</v>
      </c>
      <c r="M242" s="446">
        <v>255.56</v>
      </c>
      <c r="N242" s="442">
        <v>1</v>
      </c>
      <c r="O242" s="442">
        <v>127.78</v>
      </c>
      <c r="P242" s="446"/>
      <c r="Q242" s="446"/>
      <c r="R242" s="469"/>
      <c r="S242" s="447"/>
    </row>
    <row r="243" spans="1:19" ht="14.45" customHeight="1" x14ac:dyDescent="0.2">
      <c r="A243" s="441"/>
      <c r="B243" s="442" t="s">
        <v>1688</v>
      </c>
      <c r="C243" s="442" t="s">
        <v>1683</v>
      </c>
      <c r="D243" s="442" t="s">
        <v>1679</v>
      </c>
      <c r="E243" s="442" t="s">
        <v>1773</v>
      </c>
      <c r="F243" s="442" t="s">
        <v>1855</v>
      </c>
      <c r="G243" s="442" t="s">
        <v>1856</v>
      </c>
      <c r="H243" s="446">
        <v>1</v>
      </c>
      <c r="I243" s="446">
        <v>0</v>
      </c>
      <c r="J243" s="442"/>
      <c r="K243" s="442">
        <v>0</v>
      </c>
      <c r="L243" s="446"/>
      <c r="M243" s="446"/>
      <c r="N243" s="442"/>
      <c r="O243" s="442"/>
      <c r="P243" s="446"/>
      <c r="Q243" s="446"/>
      <c r="R243" s="469"/>
      <c r="S243" s="447"/>
    </row>
    <row r="244" spans="1:19" ht="14.45" customHeight="1" x14ac:dyDescent="0.2">
      <c r="A244" s="441"/>
      <c r="B244" s="442" t="s">
        <v>1688</v>
      </c>
      <c r="C244" s="442" t="s">
        <v>1683</v>
      </c>
      <c r="D244" s="442" t="s">
        <v>1679</v>
      </c>
      <c r="E244" s="442" t="s">
        <v>1773</v>
      </c>
      <c r="F244" s="442" t="s">
        <v>1810</v>
      </c>
      <c r="G244" s="442" t="s">
        <v>1811</v>
      </c>
      <c r="H244" s="446">
        <v>586</v>
      </c>
      <c r="I244" s="446">
        <v>179055.55</v>
      </c>
      <c r="J244" s="442">
        <v>1.1603961205799869</v>
      </c>
      <c r="K244" s="442">
        <v>305.55554607508532</v>
      </c>
      <c r="L244" s="446">
        <v>505</v>
      </c>
      <c r="M244" s="446">
        <v>154305.54</v>
      </c>
      <c r="N244" s="442">
        <v>1</v>
      </c>
      <c r="O244" s="442">
        <v>305.55552475247526</v>
      </c>
      <c r="P244" s="446">
        <v>507</v>
      </c>
      <c r="Q244" s="446">
        <v>165432.22</v>
      </c>
      <c r="R244" s="469">
        <v>1.0721081044789447</v>
      </c>
      <c r="S244" s="447">
        <v>326.29629191321499</v>
      </c>
    </row>
    <row r="245" spans="1:19" ht="14.45" customHeight="1" x14ac:dyDescent="0.2">
      <c r="A245" s="441"/>
      <c r="B245" s="442" t="s">
        <v>1688</v>
      </c>
      <c r="C245" s="442" t="s">
        <v>1683</v>
      </c>
      <c r="D245" s="442" t="s">
        <v>1679</v>
      </c>
      <c r="E245" s="442" t="s">
        <v>1773</v>
      </c>
      <c r="F245" s="442" t="s">
        <v>1812</v>
      </c>
      <c r="G245" s="442" t="s">
        <v>1813</v>
      </c>
      <c r="H245" s="446">
        <v>4010</v>
      </c>
      <c r="I245" s="446">
        <v>133666.66999999998</v>
      </c>
      <c r="J245" s="442">
        <v>2.3152422846140546</v>
      </c>
      <c r="K245" s="442">
        <v>33.333334164588521</v>
      </c>
      <c r="L245" s="446">
        <v>1732</v>
      </c>
      <c r="M245" s="446">
        <v>57733.34</v>
      </c>
      <c r="N245" s="442">
        <v>1</v>
      </c>
      <c r="O245" s="442">
        <v>33.333337182448034</v>
      </c>
      <c r="P245" s="446">
        <v>190</v>
      </c>
      <c r="Q245" s="446">
        <v>6333.34</v>
      </c>
      <c r="R245" s="469">
        <v>0.10969987185913721</v>
      </c>
      <c r="S245" s="447">
        <v>33.333368421052633</v>
      </c>
    </row>
    <row r="246" spans="1:19" ht="14.45" customHeight="1" x14ac:dyDescent="0.2">
      <c r="A246" s="441"/>
      <c r="B246" s="442" t="s">
        <v>1688</v>
      </c>
      <c r="C246" s="442" t="s">
        <v>1683</v>
      </c>
      <c r="D246" s="442" t="s">
        <v>1679</v>
      </c>
      <c r="E246" s="442" t="s">
        <v>1773</v>
      </c>
      <c r="F246" s="442" t="s">
        <v>1814</v>
      </c>
      <c r="G246" s="442" t="s">
        <v>1815</v>
      </c>
      <c r="H246" s="446">
        <v>286</v>
      </c>
      <c r="I246" s="446">
        <v>130288.88</v>
      </c>
      <c r="J246" s="442">
        <v>2.0283687612023229</v>
      </c>
      <c r="K246" s="442">
        <v>455.55552447552446</v>
      </c>
      <c r="L246" s="446">
        <v>141</v>
      </c>
      <c r="M246" s="446">
        <v>64233.33</v>
      </c>
      <c r="N246" s="442">
        <v>1</v>
      </c>
      <c r="O246" s="442">
        <v>455.55553191489361</v>
      </c>
      <c r="P246" s="446">
        <v>142</v>
      </c>
      <c r="Q246" s="446">
        <v>70493.34</v>
      </c>
      <c r="R246" s="469">
        <v>1.0974573480777035</v>
      </c>
      <c r="S246" s="447">
        <v>496.4319718309859</v>
      </c>
    </row>
    <row r="247" spans="1:19" ht="14.45" customHeight="1" x14ac:dyDescent="0.2">
      <c r="A247" s="441"/>
      <c r="B247" s="442" t="s">
        <v>1688</v>
      </c>
      <c r="C247" s="442" t="s">
        <v>1683</v>
      </c>
      <c r="D247" s="442" t="s">
        <v>1679</v>
      </c>
      <c r="E247" s="442" t="s">
        <v>1773</v>
      </c>
      <c r="F247" s="442" t="s">
        <v>1816</v>
      </c>
      <c r="G247" s="442" t="s">
        <v>1817</v>
      </c>
      <c r="H247" s="446">
        <v>231</v>
      </c>
      <c r="I247" s="446">
        <v>13603.34</v>
      </c>
      <c r="J247" s="442">
        <v>1.2157910353851324</v>
      </c>
      <c r="K247" s="442">
        <v>58.888917748917748</v>
      </c>
      <c r="L247" s="446">
        <v>190</v>
      </c>
      <c r="M247" s="446">
        <v>11188.88</v>
      </c>
      <c r="N247" s="442">
        <v>1</v>
      </c>
      <c r="O247" s="442">
        <v>58.888842105263151</v>
      </c>
      <c r="P247" s="446">
        <v>194</v>
      </c>
      <c r="Q247" s="446">
        <v>23866.659999999996</v>
      </c>
      <c r="R247" s="469">
        <v>2.1330696191218421</v>
      </c>
      <c r="S247" s="447">
        <v>123.02402061855668</v>
      </c>
    </row>
    <row r="248" spans="1:19" ht="14.45" customHeight="1" x14ac:dyDescent="0.2">
      <c r="A248" s="441"/>
      <c r="B248" s="442" t="s">
        <v>1688</v>
      </c>
      <c r="C248" s="442" t="s">
        <v>1683</v>
      </c>
      <c r="D248" s="442" t="s">
        <v>1679</v>
      </c>
      <c r="E248" s="442" t="s">
        <v>1773</v>
      </c>
      <c r="F248" s="442" t="s">
        <v>1818</v>
      </c>
      <c r="G248" s="442" t="s">
        <v>1819</v>
      </c>
      <c r="H248" s="446">
        <v>563</v>
      </c>
      <c r="I248" s="446">
        <v>43788.899999999994</v>
      </c>
      <c r="J248" s="442">
        <v>1.4398985896596963</v>
      </c>
      <c r="K248" s="442">
        <v>77.777797513321488</v>
      </c>
      <c r="L248" s="446">
        <v>391</v>
      </c>
      <c r="M248" s="446">
        <v>30411.100000000002</v>
      </c>
      <c r="N248" s="442">
        <v>1</v>
      </c>
      <c r="O248" s="442">
        <v>77.777749360613811</v>
      </c>
      <c r="P248" s="446">
        <v>403</v>
      </c>
      <c r="Q248" s="446">
        <v>40097.770000000004</v>
      </c>
      <c r="R248" s="469">
        <v>1.3185241572978288</v>
      </c>
      <c r="S248" s="447">
        <v>99.498188585607949</v>
      </c>
    </row>
    <row r="249" spans="1:19" ht="14.45" customHeight="1" x14ac:dyDescent="0.2">
      <c r="A249" s="441"/>
      <c r="B249" s="442" t="s">
        <v>1688</v>
      </c>
      <c r="C249" s="442" t="s">
        <v>1683</v>
      </c>
      <c r="D249" s="442" t="s">
        <v>1679</v>
      </c>
      <c r="E249" s="442" t="s">
        <v>1773</v>
      </c>
      <c r="F249" s="442" t="s">
        <v>1876</v>
      </c>
      <c r="G249" s="442" t="s">
        <v>1877</v>
      </c>
      <c r="H249" s="446"/>
      <c r="I249" s="446"/>
      <c r="J249" s="442"/>
      <c r="K249" s="442"/>
      <c r="L249" s="446"/>
      <c r="M249" s="446"/>
      <c r="N249" s="442"/>
      <c r="O249" s="442"/>
      <c r="P249" s="446">
        <v>1</v>
      </c>
      <c r="Q249" s="446">
        <v>705.56</v>
      </c>
      <c r="R249" s="469"/>
      <c r="S249" s="447">
        <v>705.56</v>
      </c>
    </row>
    <row r="250" spans="1:19" ht="14.45" customHeight="1" x14ac:dyDescent="0.2">
      <c r="A250" s="441"/>
      <c r="B250" s="442" t="s">
        <v>1688</v>
      </c>
      <c r="C250" s="442" t="s">
        <v>1683</v>
      </c>
      <c r="D250" s="442" t="s">
        <v>1679</v>
      </c>
      <c r="E250" s="442" t="s">
        <v>1773</v>
      </c>
      <c r="F250" s="442" t="s">
        <v>1892</v>
      </c>
      <c r="G250" s="442" t="s">
        <v>1893</v>
      </c>
      <c r="H250" s="446">
        <v>166</v>
      </c>
      <c r="I250" s="446">
        <v>184444.44999999998</v>
      </c>
      <c r="J250" s="442">
        <v>1.5090909819834721</v>
      </c>
      <c r="K250" s="442">
        <v>1111.1111445783131</v>
      </c>
      <c r="L250" s="446">
        <v>110</v>
      </c>
      <c r="M250" s="446">
        <v>122222.22</v>
      </c>
      <c r="N250" s="442">
        <v>1</v>
      </c>
      <c r="O250" s="442">
        <v>1111.111090909091</v>
      </c>
      <c r="P250" s="446">
        <v>96</v>
      </c>
      <c r="Q250" s="446">
        <v>122394.45</v>
      </c>
      <c r="R250" s="469">
        <v>1.0014091545710755</v>
      </c>
      <c r="S250" s="447">
        <v>1274.9421875</v>
      </c>
    </row>
    <row r="251" spans="1:19" ht="14.45" customHeight="1" x14ac:dyDescent="0.2">
      <c r="A251" s="441"/>
      <c r="B251" s="442" t="s">
        <v>1688</v>
      </c>
      <c r="C251" s="442" t="s">
        <v>1683</v>
      </c>
      <c r="D251" s="442" t="s">
        <v>1679</v>
      </c>
      <c r="E251" s="442" t="s">
        <v>1773</v>
      </c>
      <c r="F251" s="442" t="s">
        <v>1822</v>
      </c>
      <c r="G251" s="442" t="s">
        <v>1823</v>
      </c>
      <c r="H251" s="446">
        <v>2268</v>
      </c>
      <c r="I251" s="446">
        <v>612360</v>
      </c>
      <c r="J251" s="442">
        <v>1.1553744268976056</v>
      </c>
      <c r="K251" s="442">
        <v>270</v>
      </c>
      <c r="L251" s="446">
        <v>1963</v>
      </c>
      <c r="M251" s="446">
        <v>530010</v>
      </c>
      <c r="N251" s="442">
        <v>1</v>
      </c>
      <c r="O251" s="442">
        <v>270</v>
      </c>
      <c r="P251" s="446">
        <v>1951</v>
      </c>
      <c r="Q251" s="446">
        <v>684213.33000000007</v>
      </c>
      <c r="R251" s="469">
        <v>1.2909441897322693</v>
      </c>
      <c r="S251" s="447">
        <v>350.69878523833933</v>
      </c>
    </row>
    <row r="252" spans="1:19" ht="14.45" customHeight="1" x14ac:dyDescent="0.2">
      <c r="A252" s="441"/>
      <c r="B252" s="442" t="s">
        <v>1688</v>
      </c>
      <c r="C252" s="442" t="s">
        <v>1683</v>
      </c>
      <c r="D252" s="442" t="s">
        <v>1679</v>
      </c>
      <c r="E252" s="442" t="s">
        <v>1773</v>
      </c>
      <c r="F252" s="442" t="s">
        <v>1824</v>
      </c>
      <c r="G252" s="442" t="s">
        <v>1825</v>
      </c>
      <c r="H252" s="446">
        <v>807</v>
      </c>
      <c r="I252" s="446">
        <v>76216.67</v>
      </c>
      <c r="J252" s="442">
        <v>1.3961938042704294</v>
      </c>
      <c r="K252" s="442">
        <v>94.444448574969016</v>
      </c>
      <c r="L252" s="446">
        <v>578</v>
      </c>
      <c r="M252" s="446">
        <v>54588.89</v>
      </c>
      <c r="N252" s="442">
        <v>1</v>
      </c>
      <c r="O252" s="442">
        <v>94.444446366782003</v>
      </c>
      <c r="P252" s="446">
        <v>711</v>
      </c>
      <c r="Q252" s="446">
        <v>83333.33</v>
      </c>
      <c r="R252" s="469">
        <v>1.5265620898318322</v>
      </c>
      <c r="S252" s="447">
        <v>117.20580872011251</v>
      </c>
    </row>
    <row r="253" spans="1:19" ht="14.45" customHeight="1" x14ac:dyDescent="0.2">
      <c r="A253" s="441"/>
      <c r="B253" s="442" t="s">
        <v>1688</v>
      </c>
      <c r="C253" s="442" t="s">
        <v>1683</v>
      </c>
      <c r="D253" s="442" t="s">
        <v>1679</v>
      </c>
      <c r="E253" s="442" t="s">
        <v>1773</v>
      </c>
      <c r="F253" s="442" t="s">
        <v>1828</v>
      </c>
      <c r="G253" s="442" t="s">
        <v>1829</v>
      </c>
      <c r="H253" s="446">
        <v>9</v>
      </c>
      <c r="I253" s="446">
        <v>870</v>
      </c>
      <c r="J253" s="442">
        <v>8.999689665873591</v>
      </c>
      <c r="K253" s="442">
        <v>96.666666666666671</v>
      </c>
      <c r="L253" s="446">
        <v>1</v>
      </c>
      <c r="M253" s="446">
        <v>96.67</v>
      </c>
      <c r="N253" s="442">
        <v>1</v>
      </c>
      <c r="O253" s="442">
        <v>96.67</v>
      </c>
      <c r="P253" s="446">
        <v>1</v>
      </c>
      <c r="Q253" s="446">
        <v>150</v>
      </c>
      <c r="R253" s="469">
        <v>1.5516706320471707</v>
      </c>
      <c r="S253" s="447">
        <v>150</v>
      </c>
    </row>
    <row r="254" spans="1:19" ht="14.45" customHeight="1" x14ac:dyDescent="0.2">
      <c r="A254" s="441"/>
      <c r="B254" s="442" t="s">
        <v>1688</v>
      </c>
      <c r="C254" s="442" t="s">
        <v>1683</v>
      </c>
      <c r="D254" s="442" t="s">
        <v>1679</v>
      </c>
      <c r="E254" s="442" t="s">
        <v>1773</v>
      </c>
      <c r="F254" s="442" t="s">
        <v>1894</v>
      </c>
      <c r="G254" s="442" t="s">
        <v>1895</v>
      </c>
      <c r="H254" s="446"/>
      <c r="I254" s="446"/>
      <c r="J254" s="442"/>
      <c r="K254" s="442"/>
      <c r="L254" s="446">
        <v>2</v>
      </c>
      <c r="M254" s="446">
        <v>666.67</v>
      </c>
      <c r="N254" s="442">
        <v>1</v>
      </c>
      <c r="O254" s="442">
        <v>333.33499999999998</v>
      </c>
      <c r="P254" s="446"/>
      <c r="Q254" s="446"/>
      <c r="R254" s="469"/>
      <c r="S254" s="447"/>
    </row>
    <row r="255" spans="1:19" ht="14.45" customHeight="1" x14ac:dyDescent="0.2">
      <c r="A255" s="441"/>
      <c r="B255" s="442" t="s">
        <v>1688</v>
      </c>
      <c r="C255" s="442" t="s">
        <v>1683</v>
      </c>
      <c r="D255" s="442" t="s">
        <v>1679</v>
      </c>
      <c r="E255" s="442" t="s">
        <v>1773</v>
      </c>
      <c r="F255" s="442" t="s">
        <v>1833</v>
      </c>
      <c r="G255" s="442" t="s">
        <v>1834</v>
      </c>
      <c r="H255" s="446">
        <v>27</v>
      </c>
      <c r="I255" s="446">
        <v>2040</v>
      </c>
      <c r="J255" s="442">
        <v>2.4545192030031768</v>
      </c>
      <c r="K255" s="442">
        <v>75.555555555555557</v>
      </c>
      <c r="L255" s="446">
        <v>11</v>
      </c>
      <c r="M255" s="446">
        <v>831.11999999999989</v>
      </c>
      <c r="N255" s="442">
        <v>1</v>
      </c>
      <c r="O255" s="442">
        <v>75.556363636363628</v>
      </c>
      <c r="P255" s="446">
        <v>2</v>
      </c>
      <c r="Q255" s="446">
        <v>200</v>
      </c>
      <c r="R255" s="469">
        <v>0.24063913754933106</v>
      </c>
      <c r="S255" s="447">
        <v>100</v>
      </c>
    </row>
    <row r="256" spans="1:19" ht="14.45" customHeight="1" x14ac:dyDescent="0.2">
      <c r="A256" s="441"/>
      <c r="B256" s="442" t="s">
        <v>1688</v>
      </c>
      <c r="C256" s="442" t="s">
        <v>1683</v>
      </c>
      <c r="D256" s="442" t="s">
        <v>1679</v>
      </c>
      <c r="E256" s="442" t="s">
        <v>1773</v>
      </c>
      <c r="F256" s="442" t="s">
        <v>1878</v>
      </c>
      <c r="G256" s="442" t="s">
        <v>1879</v>
      </c>
      <c r="H256" s="446">
        <v>37</v>
      </c>
      <c r="I256" s="446">
        <v>47483.35</v>
      </c>
      <c r="J256" s="442">
        <v>1.5416672077922078</v>
      </c>
      <c r="K256" s="442">
        <v>1283.3337837837837</v>
      </c>
      <c r="L256" s="446">
        <v>24</v>
      </c>
      <c r="M256" s="446">
        <v>30800</v>
      </c>
      <c r="N256" s="442">
        <v>1</v>
      </c>
      <c r="O256" s="442">
        <v>1283.3333333333333</v>
      </c>
      <c r="P256" s="446">
        <v>5</v>
      </c>
      <c r="Q256" s="446">
        <v>7237.7800000000007</v>
      </c>
      <c r="R256" s="469">
        <v>0.23499285714285717</v>
      </c>
      <c r="S256" s="447">
        <v>1447.556</v>
      </c>
    </row>
    <row r="257" spans="1:19" ht="14.45" customHeight="1" x14ac:dyDescent="0.2">
      <c r="A257" s="441"/>
      <c r="B257" s="442" t="s">
        <v>1688</v>
      </c>
      <c r="C257" s="442" t="s">
        <v>1683</v>
      </c>
      <c r="D257" s="442" t="s">
        <v>1679</v>
      </c>
      <c r="E257" s="442" t="s">
        <v>1773</v>
      </c>
      <c r="F257" s="442" t="s">
        <v>1835</v>
      </c>
      <c r="G257" s="442" t="s">
        <v>1836</v>
      </c>
      <c r="H257" s="446">
        <v>2</v>
      </c>
      <c r="I257" s="446">
        <v>233.34</v>
      </c>
      <c r="J257" s="442"/>
      <c r="K257" s="442">
        <v>116.67</v>
      </c>
      <c r="L257" s="446"/>
      <c r="M257" s="446"/>
      <c r="N257" s="442"/>
      <c r="O257" s="442"/>
      <c r="P257" s="446">
        <v>6</v>
      </c>
      <c r="Q257" s="446">
        <v>1084.44</v>
      </c>
      <c r="R257" s="469"/>
      <c r="S257" s="447">
        <v>180.74</v>
      </c>
    </row>
    <row r="258" spans="1:19" ht="14.45" customHeight="1" x14ac:dyDescent="0.2">
      <c r="A258" s="441"/>
      <c r="B258" s="442" t="s">
        <v>1688</v>
      </c>
      <c r="C258" s="442" t="s">
        <v>1683</v>
      </c>
      <c r="D258" s="442" t="s">
        <v>1679</v>
      </c>
      <c r="E258" s="442" t="s">
        <v>1773</v>
      </c>
      <c r="F258" s="442" t="s">
        <v>1837</v>
      </c>
      <c r="G258" s="442" t="s">
        <v>1838</v>
      </c>
      <c r="H258" s="446">
        <v>15</v>
      </c>
      <c r="I258" s="446">
        <v>733.34</v>
      </c>
      <c r="J258" s="442">
        <v>0.50000340908316121</v>
      </c>
      <c r="K258" s="442">
        <v>48.889333333333333</v>
      </c>
      <c r="L258" s="446">
        <v>30</v>
      </c>
      <c r="M258" s="446">
        <v>1466.67</v>
      </c>
      <c r="N258" s="442">
        <v>1</v>
      </c>
      <c r="O258" s="442">
        <v>48.889000000000003</v>
      </c>
      <c r="P258" s="446">
        <v>96</v>
      </c>
      <c r="Q258" s="446">
        <v>7499.99</v>
      </c>
      <c r="R258" s="469">
        <v>5.1136179235956281</v>
      </c>
      <c r="S258" s="447">
        <v>78.124895833333326</v>
      </c>
    </row>
    <row r="259" spans="1:19" ht="14.45" customHeight="1" x14ac:dyDescent="0.2">
      <c r="A259" s="441"/>
      <c r="B259" s="442" t="s">
        <v>1688</v>
      </c>
      <c r="C259" s="442" t="s">
        <v>1683</v>
      </c>
      <c r="D259" s="442" t="s">
        <v>1679</v>
      </c>
      <c r="E259" s="442" t="s">
        <v>1773</v>
      </c>
      <c r="F259" s="442" t="s">
        <v>1896</v>
      </c>
      <c r="G259" s="442" t="s">
        <v>1897</v>
      </c>
      <c r="H259" s="446">
        <v>4</v>
      </c>
      <c r="I259" s="446">
        <v>1866.67</v>
      </c>
      <c r="J259" s="442">
        <v>1.9999892857908157</v>
      </c>
      <c r="K259" s="442">
        <v>466.66750000000002</v>
      </c>
      <c r="L259" s="446">
        <v>2</v>
      </c>
      <c r="M259" s="446">
        <v>933.34</v>
      </c>
      <c r="N259" s="442">
        <v>1</v>
      </c>
      <c r="O259" s="442">
        <v>466.67</v>
      </c>
      <c r="P259" s="446">
        <v>3</v>
      </c>
      <c r="Q259" s="446">
        <v>1556.67</v>
      </c>
      <c r="R259" s="469">
        <v>1.6678488010799923</v>
      </c>
      <c r="S259" s="447">
        <v>518.89</v>
      </c>
    </row>
    <row r="260" spans="1:19" ht="14.45" customHeight="1" x14ac:dyDescent="0.2">
      <c r="A260" s="441"/>
      <c r="B260" s="442" t="s">
        <v>1688</v>
      </c>
      <c r="C260" s="442" t="s">
        <v>1683</v>
      </c>
      <c r="D260" s="442" t="s">
        <v>1679</v>
      </c>
      <c r="E260" s="442" t="s">
        <v>1773</v>
      </c>
      <c r="F260" s="442" t="s">
        <v>1839</v>
      </c>
      <c r="G260" s="442" t="s">
        <v>1840</v>
      </c>
      <c r="H260" s="446">
        <v>4</v>
      </c>
      <c r="I260" s="446">
        <v>1377.77</v>
      </c>
      <c r="J260" s="442">
        <v>4.0000290326326793</v>
      </c>
      <c r="K260" s="442">
        <v>344.4425</v>
      </c>
      <c r="L260" s="446">
        <v>1</v>
      </c>
      <c r="M260" s="446">
        <v>344.44</v>
      </c>
      <c r="N260" s="442">
        <v>1</v>
      </c>
      <c r="O260" s="442">
        <v>344.44</v>
      </c>
      <c r="P260" s="446">
        <v>69</v>
      </c>
      <c r="Q260" s="446">
        <v>27332.22</v>
      </c>
      <c r="R260" s="469">
        <v>79.352630356520734</v>
      </c>
      <c r="S260" s="447">
        <v>396.11913043478262</v>
      </c>
    </row>
    <row r="261" spans="1:19" ht="14.45" customHeight="1" x14ac:dyDescent="0.2">
      <c r="A261" s="441"/>
      <c r="B261" s="442" t="s">
        <v>1688</v>
      </c>
      <c r="C261" s="442" t="s">
        <v>1683</v>
      </c>
      <c r="D261" s="442" t="s">
        <v>1679</v>
      </c>
      <c r="E261" s="442" t="s">
        <v>1773</v>
      </c>
      <c r="F261" s="442" t="s">
        <v>1857</v>
      </c>
      <c r="G261" s="442" t="s">
        <v>1858</v>
      </c>
      <c r="H261" s="446">
        <v>110</v>
      </c>
      <c r="I261" s="446">
        <v>51333.33</v>
      </c>
      <c r="J261" s="442">
        <v>2.0370360964142478</v>
      </c>
      <c r="K261" s="442">
        <v>466.66663636363637</v>
      </c>
      <c r="L261" s="446">
        <v>54</v>
      </c>
      <c r="M261" s="446">
        <v>25200.01</v>
      </c>
      <c r="N261" s="442">
        <v>1</v>
      </c>
      <c r="O261" s="442">
        <v>466.66685185185185</v>
      </c>
      <c r="P261" s="446">
        <v>51</v>
      </c>
      <c r="Q261" s="446">
        <v>27272.21</v>
      </c>
      <c r="R261" s="469">
        <v>1.0822301260991563</v>
      </c>
      <c r="S261" s="447">
        <v>534.74921568627451</v>
      </c>
    </row>
    <row r="262" spans="1:19" ht="14.45" customHeight="1" x14ac:dyDescent="0.2">
      <c r="A262" s="441"/>
      <c r="B262" s="442" t="s">
        <v>1688</v>
      </c>
      <c r="C262" s="442" t="s">
        <v>1683</v>
      </c>
      <c r="D262" s="442" t="s">
        <v>1679</v>
      </c>
      <c r="E262" s="442" t="s">
        <v>1773</v>
      </c>
      <c r="F262" s="442" t="s">
        <v>1898</v>
      </c>
      <c r="G262" s="442" t="s">
        <v>1899</v>
      </c>
      <c r="H262" s="446">
        <v>36</v>
      </c>
      <c r="I262" s="446">
        <v>3520</v>
      </c>
      <c r="J262" s="442">
        <v>1.1612907482737349</v>
      </c>
      <c r="K262" s="442">
        <v>97.777777777777771</v>
      </c>
      <c r="L262" s="446">
        <v>31</v>
      </c>
      <c r="M262" s="446">
        <v>3031.1099999999997</v>
      </c>
      <c r="N262" s="442">
        <v>1</v>
      </c>
      <c r="O262" s="442">
        <v>97.77774193548386</v>
      </c>
      <c r="P262" s="446">
        <v>17</v>
      </c>
      <c r="Q262" s="446">
        <v>1849.9900000000002</v>
      </c>
      <c r="R262" s="469">
        <v>0.61033416801105878</v>
      </c>
      <c r="S262" s="447">
        <v>108.82294117647061</v>
      </c>
    </row>
    <row r="263" spans="1:19" ht="14.45" customHeight="1" x14ac:dyDescent="0.2">
      <c r="A263" s="441"/>
      <c r="B263" s="442" t="s">
        <v>1688</v>
      </c>
      <c r="C263" s="442" t="s">
        <v>1683</v>
      </c>
      <c r="D263" s="442" t="s">
        <v>1679</v>
      </c>
      <c r="E263" s="442" t="s">
        <v>1773</v>
      </c>
      <c r="F263" s="442" t="s">
        <v>1900</v>
      </c>
      <c r="G263" s="442"/>
      <c r="H263" s="446">
        <v>1</v>
      </c>
      <c r="I263" s="446">
        <v>645.55999999999995</v>
      </c>
      <c r="J263" s="442">
        <v>1</v>
      </c>
      <c r="K263" s="442">
        <v>645.55999999999995</v>
      </c>
      <c r="L263" s="446">
        <v>1</v>
      </c>
      <c r="M263" s="446">
        <v>645.55999999999995</v>
      </c>
      <c r="N263" s="442">
        <v>1</v>
      </c>
      <c r="O263" s="442">
        <v>645.55999999999995</v>
      </c>
      <c r="P263" s="446"/>
      <c r="Q263" s="446"/>
      <c r="R263" s="469"/>
      <c r="S263" s="447"/>
    </row>
    <row r="264" spans="1:19" ht="14.45" customHeight="1" x14ac:dyDescent="0.2">
      <c r="A264" s="441"/>
      <c r="B264" s="442" t="s">
        <v>1688</v>
      </c>
      <c r="C264" s="442" t="s">
        <v>1683</v>
      </c>
      <c r="D264" s="442" t="s">
        <v>1679</v>
      </c>
      <c r="E264" s="442" t="s">
        <v>1773</v>
      </c>
      <c r="F264" s="442" t="s">
        <v>1847</v>
      </c>
      <c r="G264" s="442" t="s">
        <v>1848</v>
      </c>
      <c r="H264" s="446">
        <v>1</v>
      </c>
      <c r="I264" s="446">
        <v>116.67</v>
      </c>
      <c r="J264" s="442">
        <v>7.1430320692568591E-2</v>
      </c>
      <c r="K264" s="442">
        <v>116.67</v>
      </c>
      <c r="L264" s="446">
        <v>14</v>
      </c>
      <c r="M264" s="446">
        <v>1633.3400000000001</v>
      </c>
      <c r="N264" s="442">
        <v>1</v>
      </c>
      <c r="O264" s="442">
        <v>116.66714285714286</v>
      </c>
      <c r="P264" s="446">
        <v>31</v>
      </c>
      <c r="Q264" s="446">
        <v>4961.1000000000004</v>
      </c>
      <c r="R264" s="469">
        <v>3.0373957657315684</v>
      </c>
      <c r="S264" s="447">
        <v>160.03548387096777</v>
      </c>
    </row>
    <row r="265" spans="1:19" ht="14.45" customHeight="1" x14ac:dyDescent="0.2">
      <c r="A265" s="441"/>
      <c r="B265" s="442" t="s">
        <v>1688</v>
      </c>
      <c r="C265" s="442" t="s">
        <v>1683</v>
      </c>
      <c r="D265" s="442" t="s">
        <v>1679</v>
      </c>
      <c r="E265" s="442" t="s">
        <v>1773</v>
      </c>
      <c r="F265" s="442" t="s">
        <v>1849</v>
      </c>
      <c r="G265" s="442" t="s">
        <v>1850</v>
      </c>
      <c r="H265" s="446"/>
      <c r="I265" s="446"/>
      <c r="J265" s="442"/>
      <c r="K265" s="442"/>
      <c r="L265" s="446"/>
      <c r="M265" s="446"/>
      <c r="N265" s="442"/>
      <c r="O265" s="442"/>
      <c r="P265" s="446">
        <v>1225</v>
      </c>
      <c r="Q265" s="446">
        <v>74881.11</v>
      </c>
      <c r="R265" s="469"/>
      <c r="S265" s="447">
        <v>61.12743673469388</v>
      </c>
    </row>
    <row r="266" spans="1:19" ht="14.45" customHeight="1" x14ac:dyDescent="0.2">
      <c r="A266" s="441"/>
      <c r="B266" s="442" t="s">
        <v>1688</v>
      </c>
      <c r="C266" s="442" t="s">
        <v>1683</v>
      </c>
      <c r="D266" s="442" t="s">
        <v>1679</v>
      </c>
      <c r="E266" s="442" t="s">
        <v>1773</v>
      </c>
      <c r="F266" s="442" t="s">
        <v>1901</v>
      </c>
      <c r="G266" s="442" t="s">
        <v>1902</v>
      </c>
      <c r="H266" s="446"/>
      <c r="I266" s="446"/>
      <c r="J266" s="442"/>
      <c r="K266" s="442"/>
      <c r="L266" s="446">
        <v>4</v>
      </c>
      <c r="M266" s="446">
        <v>1924.44</v>
      </c>
      <c r="N266" s="442">
        <v>1</v>
      </c>
      <c r="O266" s="442">
        <v>481.11</v>
      </c>
      <c r="P266" s="446"/>
      <c r="Q266" s="446"/>
      <c r="R266" s="469"/>
      <c r="S266" s="447"/>
    </row>
    <row r="267" spans="1:19" ht="14.45" customHeight="1" x14ac:dyDescent="0.2">
      <c r="A267" s="441"/>
      <c r="B267" s="442" t="s">
        <v>1903</v>
      </c>
      <c r="C267" s="442" t="s">
        <v>1680</v>
      </c>
      <c r="D267" s="442" t="s">
        <v>1679</v>
      </c>
      <c r="E267" s="442" t="s">
        <v>1689</v>
      </c>
      <c r="F267" s="442" t="s">
        <v>1690</v>
      </c>
      <c r="G267" s="442"/>
      <c r="H267" s="446">
        <v>18</v>
      </c>
      <c r="I267" s="446">
        <v>2034</v>
      </c>
      <c r="J267" s="442">
        <v>0.51428571428571423</v>
      </c>
      <c r="K267" s="442">
        <v>113</v>
      </c>
      <c r="L267" s="446">
        <v>35</v>
      </c>
      <c r="M267" s="446">
        <v>3955</v>
      </c>
      <c r="N267" s="442">
        <v>1</v>
      </c>
      <c r="O267" s="442">
        <v>113</v>
      </c>
      <c r="P267" s="446">
        <v>44</v>
      </c>
      <c r="Q267" s="446">
        <v>4972</v>
      </c>
      <c r="R267" s="469">
        <v>1.2571428571428571</v>
      </c>
      <c r="S267" s="447">
        <v>113</v>
      </c>
    </row>
    <row r="268" spans="1:19" ht="14.45" customHeight="1" x14ac:dyDescent="0.2">
      <c r="A268" s="441"/>
      <c r="B268" s="442" t="s">
        <v>1903</v>
      </c>
      <c r="C268" s="442" t="s">
        <v>1680</v>
      </c>
      <c r="D268" s="442" t="s">
        <v>1679</v>
      </c>
      <c r="E268" s="442" t="s">
        <v>1689</v>
      </c>
      <c r="F268" s="442" t="s">
        <v>1904</v>
      </c>
      <c r="G268" s="442"/>
      <c r="H268" s="446">
        <v>4</v>
      </c>
      <c r="I268" s="446">
        <v>4032</v>
      </c>
      <c r="J268" s="442">
        <v>2</v>
      </c>
      <c r="K268" s="442">
        <v>1008</v>
      </c>
      <c r="L268" s="446">
        <v>2</v>
      </c>
      <c r="M268" s="446">
        <v>2016</v>
      </c>
      <c r="N268" s="442">
        <v>1</v>
      </c>
      <c r="O268" s="442">
        <v>1008</v>
      </c>
      <c r="P268" s="446">
        <v>2</v>
      </c>
      <c r="Q268" s="446">
        <v>2016</v>
      </c>
      <c r="R268" s="469">
        <v>1</v>
      </c>
      <c r="S268" s="447">
        <v>1008</v>
      </c>
    </row>
    <row r="269" spans="1:19" ht="14.45" customHeight="1" x14ac:dyDescent="0.2">
      <c r="A269" s="441"/>
      <c r="B269" s="442" t="s">
        <v>1903</v>
      </c>
      <c r="C269" s="442" t="s">
        <v>1680</v>
      </c>
      <c r="D269" s="442" t="s">
        <v>1679</v>
      </c>
      <c r="E269" s="442" t="s">
        <v>1689</v>
      </c>
      <c r="F269" s="442" t="s">
        <v>1905</v>
      </c>
      <c r="G269" s="442"/>
      <c r="H269" s="446">
        <v>408</v>
      </c>
      <c r="I269" s="446">
        <v>88536</v>
      </c>
      <c r="J269" s="442">
        <v>0.94663573085846864</v>
      </c>
      <c r="K269" s="442">
        <v>217</v>
      </c>
      <c r="L269" s="446">
        <v>431</v>
      </c>
      <c r="M269" s="446">
        <v>93527</v>
      </c>
      <c r="N269" s="442">
        <v>1</v>
      </c>
      <c r="O269" s="442">
        <v>217</v>
      </c>
      <c r="P269" s="446">
        <v>415</v>
      </c>
      <c r="Q269" s="446">
        <v>90055</v>
      </c>
      <c r="R269" s="469">
        <v>0.96287703016241299</v>
      </c>
      <c r="S269" s="447">
        <v>217</v>
      </c>
    </row>
    <row r="270" spans="1:19" ht="14.45" customHeight="1" x14ac:dyDescent="0.2">
      <c r="A270" s="441"/>
      <c r="B270" s="442" t="s">
        <v>1903</v>
      </c>
      <c r="C270" s="442" t="s">
        <v>1680</v>
      </c>
      <c r="D270" s="442" t="s">
        <v>1679</v>
      </c>
      <c r="E270" s="442" t="s">
        <v>1689</v>
      </c>
      <c r="F270" s="442" t="s">
        <v>1906</v>
      </c>
      <c r="G270" s="442"/>
      <c r="H270" s="446"/>
      <c r="I270" s="446"/>
      <c r="J270" s="442"/>
      <c r="K270" s="442"/>
      <c r="L270" s="446">
        <v>1</v>
      </c>
      <c r="M270" s="446">
        <v>1289</v>
      </c>
      <c r="N270" s="442">
        <v>1</v>
      </c>
      <c r="O270" s="442">
        <v>1289</v>
      </c>
      <c r="P270" s="446">
        <v>1</v>
      </c>
      <c r="Q270" s="446">
        <v>1289</v>
      </c>
      <c r="R270" s="469">
        <v>1</v>
      </c>
      <c r="S270" s="447">
        <v>1289</v>
      </c>
    </row>
    <row r="271" spans="1:19" ht="14.45" customHeight="1" x14ac:dyDescent="0.2">
      <c r="A271" s="441"/>
      <c r="B271" s="442" t="s">
        <v>1903</v>
      </c>
      <c r="C271" s="442" t="s">
        <v>1680</v>
      </c>
      <c r="D271" s="442" t="s">
        <v>1679</v>
      </c>
      <c r="E271" s="442" t="s">
        <v>1689</v>
      </c>
      <c r="F271" s="442" t="s">
        <v>1907</v>
      </c>
      <c r="G271" s="442"/>
      <c r="H271" s="446">
        <v>2</v>
      </c>
      <c r="I271" s="446">
        <v>3540</v>
      </c>
      <c r="J271" s="442"/>
      <c r="K271" s="442">
        <v>1770</v>
      </c>
      <c r="L271" s="446"/>
      <c r="M271" s="446"/>
      <c r="N271" s="442"/>
      <c r="O271" s="442"/>
      <c r="P271" s="446"/>
      <c r="Q271" s="446"/>
      <c r="R271" s="469"/>
      <c r="S271" s="447"/>
    </row>
    <row r="272" spans="1:19" ht="14.45" customHeight="1" x14ac:dyDescent="0.2">
      <c r="A272" s="441"/>
      <c r="B272" s="442" t="s">
        <v>1903</v>
      </c>
      <c r="C272" s="442" t="s">
        <v>1680</v>
      </c>
      <c r="D272" s="442" t="s">
        <v>1679</v>
      </c>
      <c r="E272" s="442" t="s">
        <v>1689</v>
      </c>
      <c r="F272" s="442" t="s">
        <v>1908</v>
      </c>
      <c r="G272" s="442"/>
      <c r="H272" s="446">
        <v>5</v>
      </c>
      <c r="I272" s="446">
        <v>12250</v>
      </c>
      <c r="J272" s="442">
        <v>1</v>
      </c>
      <c r="K272" s="442">
        <v>2450</v>
      </c>
      <c r="L272" s="446">
        <v>5</v>
      </c>
      <c r="M272" s="446">
        <v>12250</v>
      </c>
      <c r="N272" s="442">
        <v>1</v>
      </c>
      <c r="O272" s="442">
        <v>2450</v>
      </c>
      <c r="P272" s="446">
        <v>7</v>
      </c>
      <c r="Q272" s="446">
        <v>17150</v>
      </c>
      <c r="R272" s="469">
        <v>1.4</v>
      </c>
      <c r="S272" s="447">
        <v>2450</v>
      </c>
    </row>
    <row r="273" spans="1:19" ht="14.45" customHeight="1" x14ac:dyDescent="0.2">
      <c r="A273" s="441"/>
      <c r="B273" s="442" t="s">
        <v>1903</v>
      </c>
      <c r="C273" s="442" t="s">
        <v>1680</v>
      </c>
      <c r="D273" s="442" t="s">
        <v>1679</v>
      </c>
      <c r="E273" s="442" t="s">
        <v>1689</v>
      </c>
      <c r="F273" s="442" t="s">
        <v>1909</v>
      </c>
      <c r="G273" s="442"/>
      <c r="H273" s="446">
        <v>2</v>
      </c>
      <c r="I273" s="446">
        <v>2606</v>
      </c>
      <c r="J273" s="442"/>
      <c r="K273" s="442">
        <v>1303</v>
      </c>
      <c r="L273" s="446"/>
      <c r="M273" s="446"/>
      <c r="N273" s="442"/>
      <c r="O273" s="442"/>
      <c r="P273" s="446"/>
      <c r="Q273" s="446"/>
      <c r="R273" s="469"/>
      <c r="S273" s="447"/>
    </row>
    <row r="274" spans="1:19" ht="14.45" customHeight="1" x14ac:dyDescent="0.2">
      <c r="A274" s="441"/>
      <c r="B274" s="442" t="s">
        <v>1903</v>
      </c>
      <c r="C274" s="442" t="s">
        <v>1680</v>
      </c>
      <c r="D274" s="442" t="s">
        <v>1679</v>
      </c>
      <c r="E274" s="442" t="s">
        <v>1689</v>
      </c>
      <c r="F274" s="442" t="s">
        <v>1910</v>
      </c>
      <c r="G274" s="442"/>
      <c r="H274" s="446">
        <v>203</v>
      </c>
      <c r="I274" s="446">
        <v>211729</v>
      </c>
      <c r="J274" s="442">
        <v>0.84583333333333333</v>
      </c>
      <c r="K274" s="442">
        <v>1043</v>
      </c>
      <c r="L274" s="446">
        <v>240</v>
      </c>
      <c r="M274" s="446">
        <v>250320</v>
      </c>
      <c r="N274" s="442">
        <v>1</v>
      </c>
      <c r="O274" s="442">
        <v>1043</v>
      </c>
      <c r="P274" s="446">
        <v>183</v>
      </c>
      <c r="Q274" s="446">
        <v>190869</v>
      </c>
      <c r="R274" s="469">
        <v>0.76249999999999996</v>
      </c>
      <c r="S274" s="447">
        <v>1043</v>
      </c>
    </row>
    <row r="275" spans="1:19" ht="14.45" customHeight="1" x14ac:dyDescent="0.2">
      <c r="A275" s="441"/>
      <c r="B275" s="442" t="s">
        <v>1903</v>
      </c>
      <c r="C275" s="442" t="s">
        <v>1680</v>
      </c>
      <c r="D275" s="442" t="s">
        <v>1679</v>
      </c>
      <c r="E275" s="442" t="s">
        <v>1689</v>
      </c>
      <c r="F275" s="442" t="s">
        <v>1911</v>
      </c>
      <c r="G275" s="442"/>
      <c r="H275" s="446">
        <v>2</v>
      </c>
      <c r="I275" s="446">
        <v>3308</v>
      </c>
      <c r="J275" s="442"/>
      <c r="K275" s="442">
        <v>1654</v>
      </c>
      <c r="L275" s="446"/>
      <c r="M275" s="446"/>
      <c r="N275" s="442"/>
      <c r="O275" s="442"/>
      <c r="P275" s="446"/>
      <c r="Q275" s="446"/>
      <c r="R275" s="469"/>
      <c r="S275" s="447"/>
    </row>
    <row r="276" spans="1:19" ht="14.45" customHeight="1" x14ac:dyDescent="0.2">
      <c r="A276" s="441"/>
      <c r="B276" s="442" t="s">
        <v>1903</v>
      </c>
      <c r="C276" s="442" t="s">
        <v>1680</v>
      </c>
      <c r="D276" s="442" t="s">
        <v>1679</v>
      </c>
      <c r="E276" s="442" t="s">
        <v>1689</v>
      </c>
      <c r="F276" s="442" t="s">
        <v>1912</v>
      </c>
      <c r="G276" s="442"/>
      <c r="H276" s="446">
        <v>22</v>
      </c>
      <c r="I276" s="446">
        <v>29106</v>
      </c>
      <c r="J276" s="442">
        <v>1</v>
      </c>
      <c r="K276" s="442">
        <v>1323</v>
      </c>
      <c r="L276" s="446">
        <v>22</v>
      </c>
      <c r="M276" s="446">
        <v>29106</v>
      </c>
      <c r="N276" s="442">
        <v>1</v>
      </c>
      <c r="O276" s="442">
        <v>1323</v>
      </c>
      <c r="P276" s="446">
        <v>16</v>
      </c>
      <c r="Q276" s="446">
        <v>21168</v>
      </c>
      <c r="R276" s="469">
        <v>0.72727272727272729</v>
      </c>
      <c r="S276" s="447">
        <v>1323</v>
      </c>
    </row>
    <row r="277" spans="1:19" ht="14.45" customHeight="1" x14ac:dyDescent="0.2">
      <c r="A277" s="441"/>
      <c r="B277" s="442" t="s">
        <v>1903</v>
      </c>
      <c r="C277" s="442" t="s">
        <v>1680</v>
      </c>
      <c r="D277" s="442" t="s">
        <v>1679</v>
      </c>
      <c r="E277" s="442" t="s">
        <v>1689</v>
      </c>
      <c r="F277" s="442" t="s">
        <v>1913</v>
      </c>
      <c r="G277" s="442"/>
      <c r="H277" s="446">
        <v>2</v>
      </c>
      <c r="I277" s="446">
        <v>3866</v>
      </c>
      <c r="J277" s="442">
        <v>0.66666666666666663</v>
      </c>
      <c r="K277" s="442">
        <v>1933</v>
      </c>
      <c r="L277" s="446">
        <v>3</v>
      </c>
      <c r="M277" s="446">
        <v>5799</v>
      </c>
      <c r="N277" s="442">
        <v>1</v>
      </c>
      <c r="O277" s="442">
        <v>1933</v>
      </c>
      <c r="P277" s="446">
        <v>3</v>
      </c>
      <c r="Q277" s="446">
        <v>5799</v>
      </c>
      <c r="R277" s="469">
        <v>1</v>
      </c>
      <c r="S277" s="447">
        <v>1933</v>
      </c>
    </row>
    <row r="278" spans="1:19" ht="14.45" customHeight="1" x14ac:dyDescent="0.2">
      <c r="A278" s="441"/>
      <c r="B278" s="442" t="s">
        <v>1903</v>
      </c>
      <c r="C278" s="442" t="s">
        <v>1680</v>
      </c>
      <c r="D278" s="442" t="s">
        <v>1679</v>
      </c>
      <c r="E278" s="442" t="s">
        <v>1689</v>
      </c>
      <c r="F278" s="442" t="s">
        <v>1914</v>
      </c>
      <c r="G278" s="442"/>
      <c r="H278" s="446">
        <v>3</v>
      </c>
      <c r="I278" s="446">
        <v>2034</v>
      </c>
      <c r="J278" s="442">
        <v>1.5</v>
      </c>
      <c r="K278" s="442">
        <v>678</v>
      </c>
      <c r="L278" s="446">
        <v>2</v>
      </c>
      <c r="M278" s="446">
        <v>1356</v>
      </c>
      <c r="N278" s="442">
        <v>1</v>
      </c>
      <c r="O278" s="442">
        <v>678</v>
      </c>
      <c r="P278" s="446"/>
      <c r="Q278" s="446"/>
      <c r="R278" s="469"/>
      <c r="S278" s="447"/>
    </row>
    <row r="279" spans="1:19" ht="14.45" customHeight="1" x14ac:dyDescent="0.2">
      <c r="A279" s="441"/>
      <c r="B279" s="442" t="s">
        <v>1903</v>
      </c>
      <c r="C279" s="442" t="s">
        <v>1680</v>
      </c>
      <c r="D279" s="442" t="s">
        <v>1679</v>
      </c>
      <c r="E279" s="442" t="s">
        <v>1689</v>
      </c>
      <c r="F279" s="442" t="s">
        <v>1915</v>
      </c>
      <c r="G279" s="442"/>
      <c r="H279" s="446">
        <v>70</v>
      </c>
      <c r="I279" s="446">
        <v>37940</v>
      </c>
      <c r="J279" s="442">
        <v>0.83332344942315306</v>
      </c>
      <c r="K279" s="442">
        <v>542</v>
      </c>
      <c r="L279" s="446">
        <v>84</v>
      </c>
      <c r="M279" s="446">
        <v>45528.54</v>
      </c>
      <c r="N279" s="442">
        <v>1</v>
      </c>
      <c r="O279" s="442">
        <v>542.00642857142861</v>
      </c>
      <c r="P279" s="446">
        <v>61</v>
      </c>
      <c r="Q279" s="446">
        <v>33062</v>
      </c>
      <c r="R279" s="469">
        <v>0.72618186306874766</v>
      </c>
      <c r="S279" s="447">
        <v>542</v>
      </c>
    </row>
    <row r="280" spans="1:19" ht="14.45" customHeight="1" x14ac:dyDescent="0.2">
      <c r="A280" s="441"/>
      <c r="B280" s="442" t="s">
        <v>1903</v>
      </c>
      <c r="C280" s="442" t="s">
        <v>1680</v>
      </c>
      <c r="D280" s="442" t="s">
        <v>1679</v>
      </c>
      <c r="E280" s="442" t="s">
        <v>1689</v>
      </c>
      <c r="F280" s="442" t="s">
        <v>1916</v>
      </c>
      <c r="G280" s="442"/>
      <c r="H280" s="446">
        <v>2</v>
      </c>
      <c r="I280" s="446">
        <v>596</v>
      </c>
      <c r="J280" s="442"/>
      <c r="K280" s="442">
        <v>298</v>
      </c>
      <c r="L280" s="446"/>
      <c r="M280" s="446"/>
      <c r="N280" s="442"/>
      <c r="O280" s="442"/>
      <c r="P280" s="446"/>
      <c r="Q280" s="446"/>
      <c r="R280" s="469"/>
      <c r="S280" s="447"/>
    </row>
    <row r="281" spans="1:19" ht="14.45" customHeight="1" x14ac:dyDescent="0.2">
      <c r="A281" s="441"/>
      <c r="B281" s="442" t="s">
        <v>1903</v>
      </c>
      <c r="C281" s="442" t="s">
        <v>1680</v>
      </c>
      <c r="D281" s="442" t="s">
        <v>1679</v>
      </c>
      <c r="E281" s="442" t="s">
        <v>1689</v>
      </c>
      <c r="F281" s="442" t="s">
        <v>1917</v>
      </c>
      <c r="G281" s="442"/>
      <c r="H281" s="446">
        <v>74</v>
      </c>
      <c r="I281" s="446">
        <v>42846</v>
      </c>
      <c r="J281" s="442">
        <v>1.2333333333333334</v>
      </c>
      <c r="K281" s="442">
        <v>579</v>
      </c>
      <c r="L281" s="446">
        <v>60</v>
      </c>
      <c r="M281" s="446">
        <v>34740</v>
      </c>
      <c r="N281" s="442">
        <v>1</v>
      </c>
      <c r="O281" s="442">
        <v>579</v>
      </c>
      <c r="P281" s="446">
        <v>46</v>
      </c>
      <c r="Q281" s="446">
        <v>26634</v>
      </c>
      <c r="R281" s="469">
        <v>0.76666666666666672</v>
      </c>
      <c r="S281" s="447">
        <v>579</v>
      </c>
    </row>
    <row r="282" spans="1:19" ht="14.45" customHeight="1" x14ac:dyDescent="0.2">
      <c r="A282" s="441"/>
      <c r="B282" s="442" t="s">
        <v>1903</v>
      </c>
      <c r="C282" s="442" t="s">
        <v>1680</v>
      </c>
      <c r="D282" s="442" t="s">
        <v>1679</v>
      </c>
      <c r="E282" s="442" t="s">
        <v>1689</v>
      </c>
      <c r="F282" s="442" t="s">
        <v>1693</v>
      </c>
      <c r="G282" s="442"/>
      <c r="H282" s="446">
        <v>59</v>
      </c>
      <c r="I282" s="446">
        <v>6667</v>
      </c>
      <c r="J282" s="442">
        <v>0.64835164835164838</v>
      </c>
      <c r="K282" s="442">
        <v>113</v>
      </c>
      <c r="L282" s="446">
        <v>91</v>
      </c>
      <c r="M282" s="446">
        <v>10283</v>
      </c>
      <c r="N282" s="442">
        <v>1</v>
      </c>
      <c r="O282" s="442">
        <v>113</v>
      </c>
      <c r="P282" s="446">
        <v>120</v>
      </c>
      <c r="Q282" s="446">
        <v>13560</v>
      </c>
      <c r="R282" s="469">
        <v>1.3186813186813187</v>
      </c>
      <c r="S282" s="447">
        <v>113</v>
      </c>
    </row>
    <row r="283" spans="1:19" ht="14.45" customHeight="1" x14ac:dyDescent="0.2">
      <c r="A283" s="441"/>
      <c r="B283" s="442" t="s">
        <v>1903</v>
      </c>
      <c r="C283" s="442" t="s">
        <v>1680</v>
      </c>
      <c r="D283" s="442" t="s">
        <v>1679</v>
      </c>
      <c r="E283" s="442" t="s">
        <v>1689</v>
      </c>
      <c r="F283" s="442" t="s">
        <v>1694</v>
      </c>
      <c r="G283" s="442"/>
      <c r="H283" s="446">
        <v>11</v>
      </c>
      <c r="I283" s="446">
        <v>1452</v>
      </c>
      <c r="J283" s="442">
        <v>0.6875</v>
      </c>
      <c r="K283" s="442">
        <v>132</v>
      </c>
      <c r="L283" s="446">
        <v>16</v>
      </c>
      <c r="M283" s="446">
        <v>2112</v>
      </c>
      <c r="N283" s="442">
        <v>1</v>
      </c>
      <c r="O283" s="442">
        <v>132</v>
      </c>
      <c r="P283" s="446">
        <v>21</v>
      </c>
      <c r="Q283" s="446">
        <v>2772</v>
      </c>
      <c r="R283" s="469">
        <v>1.3125</v>
      </c>
      <c r="S283" s="447">
        <v>132</v>
      </c>
    </row>
    <row r="284" spans="1:19" ht="14.45" customHeight="1" x14ac:dyDescent="0.2">
      <c r="A284" s="441"/>
      <c r="B284" s="442" t="s">
        <v>1903</v>
      </c>
      <c r="C284" s="442" t="s">
        <v>1680</v>
      </c>
      <c r="D284" s="442" t="s">
        <v>1679</v>
      </c>
      <c r="E284" s="442" t="s">
        <v>1689</v>
      </c>
      <c r="F284" s="442" t="s">
        <v>1695</v>
      </c>
      <c r="G284" s="442"/>
      <c r="H284" s="446">
        <v>11</v>
      </c>
      <c r="I284" s="446">
        <v>1716</v>
      </c>
      <c r="J284" s="442">
        <v>7.0967741935483872E-2</v>
      </c>
      <c r="K284" s="442">
        <v>156</v>
      </c>
      <c r="L284" s="446">
        <v>155</v>
      </c>
      <c r="M284" s="446">
        <v>24180</v>
      </c>
      <c r="N284" s="442">
        <v>1</v>
      </c>
      <c r="O284" s="442">
        <v>156</v>
      </c>
      <c r="P284" s="446">
        <v>39</v>
      </c>
      <c r="Q284" s="446">
        <v>6084</v>
      </c>
      <c r="R284" s="469">
        <v>0.25161290322580643</v>
      </c>
      <c r="S284" s="447">
        <v>156</v>
      </c>
    </row>
    <row r="285" spans="1:19" ht="14.45" customHeight="1" x14ac:dyDescent="0.2">
      <c r="A285" s="441"/>
      <c r="B285" s="442" t="s">
        <v>1903</v>
      </c>
      <c r="C285" s="442" t="s">
        <v>1680</v>
      </c>
      <c r="D285" s="442" t="s">
        <v>1679</v>
      </c>
      <c r="E285" s="442" t="s">
        <v>1689</v>
      </c>
      <c r="F285" s="442" t="s">
        <v>1719</v>
      </c>
      <c r="G285" s="442"/>
      <c r="H285" s="446">
        <v>1</v>
      </c>
      <c r="I285" s="446">
        <v>2000</v>
      </c>
      <c r="J285" s="442">
        <v>0.5</v>
      </c>
      <c r="K285" s="442">
        <v>2000</v>
      </c>
      <c r="L285" s="446">
        <v>2</v>
      </c>
      <c r="M285" s="446">
        <v>4000</v>
      </c>
      <c r="N285" s="442">
        <v>1</v>
      </c>
      <c r="O285" s="442">
        <v>2000</v>
      </c>
      <c r="P285" s="446"/>
      <c r="Q285" s="446"/>
      <c r="R285" s="469"/>
      <c r="S285" s="447"/>
    </row>
    <row r="286" spans="1:19" ht="14.45" customHeight="1" x14ac:dyDescent="0.2">
      <c r="A286" s="441"/>
      <c r="B286" s="442" t="s">
        <v>1903</v>
      </c>
      <c r="C286" s="442" t="s">
        <v>1680</v>
      </c>
      <c r="D286" s="442" t="s">
        <v>1679</v>
      </c>
      <c r="E286" s="442" t="s">
        <v>1689</v>
      </c>
      <c r="F286" s="442" t="s">
        <v>1734</v>
      </c>
      <c r="G286" s="442"/>
      <c r="H286" s="446">
        <v>4</v>
      </c>
      <c r="I286" s="446">
        <v>4032</v>
      </c>
      <c r="J286" s="442">
        <v>1.3333333333333333</v>
      </c>
      <c r="K286" s="442">
        <v>1008</v>
      </c>
      <c r="L286" s="446">
        <v>3</v>
      </c>
      <c r="M286" s="446">
        <v>3024</v>
      </c>
      <c r="N286" s="442">
        <v>1</v>
      </c>
      <c r="O286" s="442">
        <v>1008</v>
      </c>
      <c r="P286" s="446">
        <v>3</v>
      </c>
      <c r="Q286" s="446">
        <v>3024</v>
      </c>
      <c r="R286" s="469">
        <v>1</v>
      </c>
      <c r="S286" s="447">
        <v>1008</v>
      </c>
    </row>
    <row r="287" spans="1:19" ht="14.45" customHeight="1" x14ac:dyDescent="0.2">
      <c r="A287" s="441"/>
      <c r="B287" s="442" t="s">
        <v>1903</v>
      </c>
      <c r="C287" s="442" t="s">
        <v>1680</v>
      </c>
      <c r="D287" s="442" t="s">
        <v>1679</v>
      </c>
      <c r="E287" s="442" t="s">
        <v>1689</v>
      </c>
      <c r="F287" s="442" t="s">
        <v>1918</v>
      </c>
      <c r="G287" s="442"/>
      <c r="H287" s="446">
        <v>226</v>
      </c>
      <c r="I287" s="446">
        <v>49042</v>
      </c>
      <c r="J287" s="442">
        <v>1.0558701315477856</v>
      </c>
      <c r="K287" s="442">
        <v>217</v>
      </c>
      <c r="L287" s="446">
        <v>215</v>
      </c>
      <c r="M287" s="446">
        <v>46447</v>
      </c>
      <c r="N287" s="442">
        <v>1</v>
      </c>
      <c r="O287" s="442">
        <v>216.03255813953487</v>
      </c>
      <c r="P287" s="446">
        <v>210</v>
      </c>
      <c r="Q287" s="446">
        <v>45570</v>
      </c>
      <c r="R287" s="469">
        <v>0.98111826382758849</v>
      </c>
      <c r="S287" s="447">
        <v>217</v>
      </c>
    </row>
    <row r="288" spans="1:19" ht="14.45" customHeight="1" x14ac:dyDescent="0.2">
      <c r="A288" s="441"/>
      <c r="B288" s="442" t="s">
        <v>1903</v>
      </c>
      <c r="C288" s="442" t="s">
        <v>1680</v>
      </c>
      <c r="D288" s="442" t="s">
        <v>1679</v>
      </c>
      <c r="E288" s="442" t="s">
        <v>1689</v>
      </c>
      <c r="F288" s="442" t="s">
        <v>1919</v>
      </c>
      <c r="G288" s="442"/>
      <c r="H288" s="446">
        <v>174</v>
      </c>
      <c r="I288" s="446">
        <v>181482</v>
      </c>
      <c r="J288" s="442">
        <v>1.0674846625766872</v>
      </c>
      <c r="K288" s="442">
        <v>1043</v>
      </c>
      <c r="L288" s="446">
        <v>163</v>
      </c>
      <c r="M288" s="446">
        <v>170009</v>
      </c>
      <c r="N288" s="442">
        <v>1</v>
      </c>
      <c r="O288" s="442">
        <v>1043</v>
      </c>
      <c r="P288" s="446">
        <v>128</v>
      </c>
      <c r="Q288" s="446">
        <v>133504</v>
      </c>
      <c r="R288" s="469">
        <v>0.78527607361963192</v>
      </c>
      <c r="S288" s="447">
        <v>1043</v>
      </c>
    </row>
    <row r="289" spans="1:19" ht="14.45" customHeight="1" x14ac:dyDescent="0.2">
      <c r="A289" s="441"/>
      <c r="B289" s="442" t="s">
        <v>1903</v>
      </c>
      <c r="C289" s="442" t="s">
        <v>1680</v>
      </c>
      <c r="D289" s="442" t="s">
        <v>1679</v>
      </c>
      <c r="E289" s="442" t="s">
        <v>1689</v>
      </c>
      <c r="F289" s="442" t="s">
        <v>1920</v>
      </c>
      <c r="G289" s="442"/>
      <c r="H289" s="446">
        <v>6</v>
      </c>
      <c r="I289" s="446">
        <v>7938</v>
      </c>
      <c r="J289" s="442">
        <v>1</v>
      </c>
      <c r="K289" s="442">
        <v>1323</v>
      </c>
      <c r="L289" s="446">
        <v>6</v>
      </c>
      <c r="M289" s="446">
        <v>7938</v>
      </c>
      <c r="N289" s="442">
        <v>1</v>
      </c>
      <c r="O289" s="442">
        <v>1323</v>
      </c>
      <c r="P289" s="446">
        <v>8</v>
      </c>
      <c r="Q289" s="446">
        <v>10584</v>
      </c>
      <c r="R289" s="469">
        <v>1.3333333333333333</v>
      </c>
      <c r="S289" s="447">
        <v>1323</v>
      </c>
    </row>
    <row r="290" spans="1:19" ht="14.45" customHeight="1" x14ac:dyDescent="0.2">
      <c r="A290" s="441"/>
      <c r="B290" s="442" t="s">
        <v>1903</v>
      </c>
      <c r="C290" s="442" t="s">
        <v>1680</v>
      </c>
      <c r="D290" s="442" t="s">
        <v>1679</v>
      </c>
      <c r="E290" s="442" t="s">
        <v>1689</v>
      </c>
      <c r="F290" s="442" t="s">
        <v>1921</v>
      </c>
      <c r="G290" s="442"/>
      <c r="H290" s="446">
        <v>14</v>
      </c>
      <c r="I290" s="446">
        <v>7588</v>
      </c>
      <c r="J290" s="442">
        <v>2.3333333333333335</v>
      </c>
      <c r="K290" s="442">
        <v>542</v>
      </c>
      <c r="L290" s="446">
        <v>6</v>
      </c>
      <c r="M290" s="446">
        <v>3252</v>
      </c>
      <c r="N290" s="442">
        <v>1</v>
      </c>
      <c r="O290" s="442">
        <v>542</v>
      </c>
      <c r="P290" s="446">
        <v>18</v>
      </c>
      <c r="Q290" s="446">
        <v>9756</v>
      </c>
      <c r="R290" s="469">
        <v>3</v>
      </c>
      <c r="S290" s="447">
        <v>542</v>
      </c>
    </row>
    <row r="291" spans="1:19" ht="14.45" customHeight="1" x14ac:dyDescent="0.2">
      <c r="A291" s="441"/>
      <c r="B291" s="442" t="s">
        <v>1903</v>
      </c>
      <c r="C291" s="442" t="s">
        <v>1680</v>
      </c>
      <c r="D291" s="442" t="s">
        <v>1679</v>
      </c>
      <c r="E291" s="442" t="s">
        <v>1689</v>
      </c>
      <c r="F291" s="442" t="s">
        <v>1922</v>
      </c>
      <c r="G291" s="442"/>
      <c r="H291" s="446">
        <v>77</v>
      </c>
      <c r="I291" s="446">
        <v>44583</v>
      </c>
      <c r="J291" s="442">
        <v>1.0405405405405406</v>
      </c>
      <c r="K291" s="442">
        <v>579</v>
      </c>
      <c r="L291" s="446">
        <v>74</v>
      </c>
      <c r="M291" s="446">
        <v>42846</v>
      </c>
      <c r="N291" s="442">
        <v>1</v>
      </c>
      <c r="O291" s="442">
        <v>579</v>
      </c>
      <c r="P291" s="446">
        <v>66</v>
      </c>
      <c r="Q291" s="446">
        <v>38214</v>
      </c>
      <c r="R291" s="469">
        <v>0.89189189189189189</v>
      </c>
      <c r="S291" s="447">
        <v>579</v>
      </c>
    </row>
    <row r="292" spans="1:19" ht="14.45" customHeight="1" x14ac:dyDescent="0.2">
      <c r="A292" s="441"/>
      <c r="B292" s="442" t="s">
        <v>1903</v>
      </c>
      <c r="C292" s="442" t="s">
        <v>1680</v>
      </c>
      <c r="D292" s="442" t="s">
        <v>1679</v>
      </c>
      <c r="E292" s="442" t="s">
        <v>1689</v>
      </c>
      <c r="F292" s="442" t="s">
        <v>1923</v>
      </c>
      <c r="G292" s="442"/>
      <c r="H292" s="446">
        <v>1</v>
      </c>
      <c r="I292" s="446">
        <v>678</v>
      </c>
      <c r="J292" s="442"/>
      <c r="K292" s="442">
        <v>678</v>
      </c>
      <c r="L292" s="446"/>
      <c r="M292" s="446"/>
      <c r="N292" s="442"/>
      <c r="O292" s="442"/>
      <c r="P292" s="446"/>
      <c r="Q292" s="446"/>
      <c r="R292" s="469"/>
      <c r="S292" s="447"/>
    </row>
    <row r="293" spans="1:19" ht="14.45" customHeight="1" x14ac:dyDescent="0.2">
      <c r="A293" s="441"/>
      <c r="B293" s="442" t="s">
        <v>1903</v>
      </c>
      <c r="C293" s="442" t="s">
        <v>1680</v>
      </c>
      <c r="D293" s="442" t="s">
        <v>1679</v>
      </c>
      <c r="E293" s="442" t="s">
        <v>1689</v>
      </c>
      <c r="F293" s="442" t="s">
        <v>1924</v>
      </c>
      <c r="G293" s="442"/>
      <c r="H293" s="446">
        <v>2</v>
      </c>
      <c r="I293" s="446">
        <v>2606</v>
      </c>
      <c r="J293" s="442">
        <v>1</v>
      </c>
      <c r="K293" s="442">
        <v>1303</v>
      </c>
      <c r="L293" s="446">
        <v>2</v>
      </c>
      <c r="M293" s="446">
        <v>2606</v>
      </c>
      <c r="N293" s="442">
        <v>1</v>
      </c>
      <c r="O293" s="442">
        <v>1303</v>
      </c>
      <c r="P293" s="446">
        <v>4</v>
      </c>
      <c r="Q293" s="446">
        <v>5212</v>
      </c>
      <c r="R293" s="469">
        <v>2</v>
      </c>
      <c r="S293" s="447">
        <v>1303</v>
      </c>
    </row>
    <row r="294" spans="1:19" ht="14.45" customHeight="1" x14ac:dyDescent="0.2">
      <c r="A294" s="441"/>
      <c r="B294" s="442" t="s">
        <v>1903</v>
      </c>
      <c r="C294" s="442" t="s">
        <v>1680</v>
      </c>
      <c r="D294" s="442" t="s">
        <v>1679</v>
      </c>
      <c r="E294" s="442" t="s">
        <v>1689</v>
      </c>
      <c r="F294" s="442" t="s">
        <v>1925</v>
      </c>
      <c r="G294" s="442"/>
      <c r="H294" s="446"/>
      <c r="I294" s="446"/>
      <c r="J294" s="442"/>
      <c r="K294" s="442"/>
      <c r="L294" s="446">
        <v>4</v>
      </c>
      <c r="M294" s="446">
        <v>544</v>
      </c>
      <c r="N294" s="442">
        <v>1</v>
      </c>
      <c r="O294" s="442">
        <v>136</v>
      </c>
      <c r="P294" s="446"/>
      <c r="Q294" s="446"/>
      <c r="R294" s="469"/>
      <c r="S294" s="447"/>
    </row>
    <row r="295" spans="1:19" ht="14.45" customHeight="1" x14ac:dyDescent="0.2">
      <c r="A295" s="441"/>
      <c r="B295" s="442" t="s">
        <v>1903</v>
      </c>
      <c r="C295" s="442" t="s">
        <v>1680</v>
      </c>
      <c r="D295" s="442" t="s">
        <v>1679</v>
      </c>
      <c r="E295" s="442" t="s">
        <v>1689</v>
      </c>
      <c r="F295" s="442" t="s">
        <v>1926</v>
      </c>
      <c r="G295" s="442"/>
      <c r="H295" s="446"/>
      <c r="I295" s="446"/>
      <c r="J295" s="442"/>
      <c r="K295" s="442"/>
      <c r="L295" s="446">
        <v>37</v>
      </c>
      <c r="M295" s="446">
        <v>8288</v>
      </c>
      <c r="N295" s="442">
        <v>1</v>
      </c>
      <c r="O295" s="442">
        <v>224</v>
      </c>
      <c r="P295" s="446"/>
      <c r="Q295" s="446"/>
      <c r="R295" s="469"/>
      <c r="S295" s="447"/>
    </row>
    <row r="296" spans="1:19" ht="14.45" customHeight="1" x14ac:dyDescent="0.2">
      <c r="A296" s="441"/>
      <c r="B296" s="442" t="s">
        <v>1903</v>
      </c>
      <c r="C296" s="442" t="s">
        <v>1680</v>
      </c>
      <c r="D296" s="442" t="s">
        <v>1679</v>
      </c>
      <c r="E296" s="442" t="s">
        <v>1689</v>
      </c>
      <c r="F296" s="442" t="s">
        <v>1927</v>
      </c>
      <c r="G296" s="442"/>
      <c r="H296" s="446">
        <v>7</v>
      </c>
      <c r="I296" s="446">
        <v>7581</v>
      </c>
      <c r="J296" s="442">
        <v>0.58333333333333337</v>
      </c>
      <c r="K296" s="442">
        <v>1083</v>
      </c>
      <c r="L296" s="446">
        <v>12</v>
      </c>
      <c r="M296" s="446">
        <v>12996</v>
      </c>
      <c r="N296" s="442">
        <v>1</v>
      </c>
      <c r="O296" s="442">
        <v>1083</v>
      </c>
      <c r="P296" s="446">
        <v>26</v>
      </c>
      <c r="Q296" s="446">
        <v>28158</v>
      </c>
      <c r="R296" s="469">
        <v>2.1666666666666665</v>
      </c>
      <c r="S296" s="447">
        <v>1083</v>
      </c>
    </row>
    <row r="297" spans="1:19" ht="14.45" customHeight="1" x14ac:dyDescent="0.2">
      <c r="A297" s="441"/>
      <c r="B297" s="442" t="s">
        <v>1903</v>
      </c>
      <c r="C297" s="442" t="s">
        <v>1680</v>
      </c>
      <c r="D297" s="442" t="s">
        <v>1679</v>
      </c>
      <c r="E297" s="442" t="s">
        <v>1689</v>
      </c>
      <c r="F297" s="442" t="s">
        <v>1928</v>
      </c>
      <c r="G297" s="442"/>
      <c r="H297" s="446">
        <v>1</v>
      </c>
      <c r="I297" s="446">
        <v>2450</v>
      </c>
      <c r="J297" s="442"/>
      <c r="K297" s="442">
        <v>2450</v>
      </c>
      <c r="L297" s="446"/>
      <c r="M297" s="446"/>
      <c r="N297" s="442"/>
      <c r="O297" s="442"/>
      <c r="P297" s="446"/>
      <c r="Q297" s="446"/>
      <c r="R297" s="469"/>
      <c r="S297" s="447"/>
    </row>
    <row r="298" spans="1:19" ht="14.45" customHeight="1" x14ac:dyDescent="0.2">
      <c r="A298" s="441"/>
      <c r="B298" s="442" t="s">
        <v>1903</v>
      </c>
      <c r="C298" s="442" t="s">
        <v>1680</v>
      </c>
      <c r="D298" s="442" t="s">
        <v>1679</v>
      </c>
      <c r="E298" s="442" t="s">
        <v>1689</v>
      </c>
      <c r="F298" s="442" t="s">
        <v>1929</v>
      </c>
      <c r="G298" s="442"/>
      <c r="H298" s="446"/>
      <c r="I298" s="446"/>
      <c r="J298" s="442"/>
      <c r="K298" s="442"/>
      <c r="L298" s="446">
        <v>4</v>
      </c>
      <c r="M298" s="446">
        <v>4332</v>
      </c>
      <c r="N298" s="442">
        <v>1</v>
      </c>
      <c r="O298" s="442">
        <v>1083</v>
      </c>
      <c r="P298" s="446"/>
      <c r="Q298" s="446"/>
      <c r="R298" s="469"/>
      <c r="S298" s="447"/>
    </row>
    <row r="299" spans="1:19" ht="14.45" customHeight="1" x14ac:dyDescent="0.2">
      <c r="A299" s="441"/>
      <c r="B299" s="442" t="s">
        <v>1903</v>
      </c>
      <c r="C299" s="442" t="s">
        <v>1680</v>
      </c>
      <c r="D299" s="442" t="s">
        <v>1679</v>
      </c>
      <c r="E299" s="442" t="s">
        <v>1689</v>
      </c>
      <c r="F299" s="442" t="s">
        <v>1930</v>
      </c>
      <c r="G299" s="442"/>
      <c r="H299" s="446"/>
      <c r="I299" s="446"/>
      <c r="J299" s="442"/>
      <c r="K299" s="442"/>
      <c r="L299" s="446">
        <v>1</v>
      </c>
      <c r="M299" s="446">
        <v>1654</v>
      </c>
      <c r="N299" s="442">
        <v>1</v>
      </c>
      <c r="O299" s="442">
        <v>1654</v>
      </c>
      <c r="P299" s="446">
        <v>1</v>
      </c>
      <c r="Q299" s="446">
        <v>1654</v>
      </c>
      <c r="R299" s="469">
        <v>1</v>
      </c>
      <c r="S299" s="447">
        <v>1654</v>
      </c>
    </row>
    <row r="300" spans="1:19" ht="14.45" customHeight="1" x14ac:dyDescent="0.2">
      <c r="A300" s="441"/>
      <c r="B300" s="442" t="s">
        <v>1903</v>
      </c>
      <c r="C300" s="442" t="s">
        <v>1680</v>
      </c>
      <c r="D300" s="442" t="s">
        <v>1679</v>
      </c>
      <c r="E300" s="442" t="s">
        <v>1689</v>
      </c>
      <c r="F300" s="442" t="s">
        <v>1931</v>
      </c>
      <c r="G300" s="442"/>
      <c r="H300" s="446">
        <v>1</v>
      </c>
      <c r="I300" s="446">
        <v>1289</v>
      </c>
      <c r="J300" s="442"/>
      <c r="K300" s="442">
        <v>1289</v>
      </c>
      <c r="L300" s="446"/>
      <c r="M300" s="446"/>
      <c r="N300" s="442"/>
      <c r="O300" s="442"/>
      <c r="P300" s="446"/>
      <c r="Q300" s="446"/>
      <c r="R300" s="469"/>
      <c r="S300" s="447"/>
    </row>
    <row r="301" spans="1:19" ht="14.45" customHeight="1" x14ac:dyDescent="0.2">
      <c r="A301" s="441"/>
      <c r="B301" s="442" t="s">
        <v>1903</v>
      </c>
      <c r="C301" s="442" t="s">
        <v>1680</v>
      </c>
      <c r="D301" s="442" t="s">
        <v>1679</v>
      </c>
      <c r="E301" s="442" t="s">
        <v>1773</v>
      </c>
      <c r="F301" s="442" t="s">
        <v>1778</v>
      </c>
      <c r="G301" s="442" t="s">
        <v>1779</v>
      </c>
      <c r="H301" s="446">
        <v>35</v>
      </c>
      <c r="I301" s="446">
        <v>2722.22</v>
      </c>
      <c r="J301" s="442">
        <v>0.5833324404768282</v>
      </c>
      <c r="K301" s="442">
        <v>77.777714285714282</v>
      </c>
      <c r="L301" s="446">
        <v>60</v>
      </c>
      <c r="M301" s="446">
        <v>4666.67</v>
      </c>
      <c r="N301" s="442">
        <v>1</v>
      </c>
      <c r="O301" s="442">
        <v>77.777833333333334</v>
      </c>
      <c r="P301" s="446">
        <v>50</v>
      </c>
      <c r="Q301" s="446">
        <v>4423.34</v>
      </c>
      <c r="R301" s="469">
        <v>0.94785789438721835</v>
      </c>
      <c r="S301" s="447">
        <v>88.466800000000006</v>
      </c>
    </row>
    <row r="302" spans="1:19" ht="14.45" customHeight="1" x14ac:dyDescent="0.2">
      <c r="A302" s="441"/>
      <c r="B302" s="442" t="s">
        <v>1903</v>
      </c>
      <c r="C302" s="442" t="s">
        <v>1680</v>
      </c>
      <c r="D302" s="442" t="s">
        <v>1679</v>
      </c>
      <c r="E302" s="442" t="s">
        <v>1773</v>
      </c>
      <c r="F302" s="442" t="s">
        <v>1780</v>
      </c>
      <c r="G302" s="442" t="s">
        <v>1781</v>
      </c>
      <c r="H302" s="446">
        <v>36</v>
      </c>
      <c r="I302" s="446">
        <v>9000</v>
      </c>
      <c r="J302" s="442">
        <v>1.3846153846153846</v>
      </c>
      <c r="K302" s="442">
        <v>250</v>
      </c>
      <c r="L302" s="446">
        <v>26</v>
      </c>
      <c r="M302" s="446">
        <v>6500</v>
      </c>
      <c r="N302" s="442">
        <v>1</v>
      </c>
      <c r="O302" s="442">
        <v>250</v>
      </c>
      <c r="P302" s="446">
        <v>40</v>
      </c>
      <c r="Q302" s="446">
        <v>10486.66</v>
      </c>
      <c r="R302" s="469">
        <v>1.6133323076923076</v>
      </c>
      <c r="S302" s="447">
        <v>262.16649999999998</v>
      </c>
    </row>
    <row r="303" spans="1:19" ht="14.45" customHeight="1" x14ac:dyDescent="0.2">
      <c r="A303" s="441"/>
      <c r="B303" s="442" t="s">
        <v>1903</v>
      </c>
      <c r="C303" s="442" t="s">
        <v>1680</v>
      </c>
      <c r="D303" s="442" t="s">
        <v>1679</v>
      </c>
      <c r="E303" s="442" t="s">
        <v>1773</v>
      </c>
      <c r="F303" s="442" t="s">
        <v>1782</v>
      </c>
      <c r="G303" s="442" t="s">
        <v>1783</v>
      </c>
      <c r="H303" s="446">
        <v>602</v>
      </c>
      <c r="I303" s="446">
        <v>180600</v>
      </c>
      <c r="J303" s="442">
        <v>1.0255536626916524</v>
      </c>
      <c r="K303" s="442">
        <v>300</v>
      </c>
      <c r="L303" s="446">
        <v>587</v>
      </c>
      <c r="M303" s="446">
        <v>176100</v>
      </c>
      <c r="N303" s="442">
        <v>1</v>
      </c>
      <c r="O303" s="442">
        <v>300</v>
      </c>
      <c r="P303" s="446">
        <v>585</v>
      </c>
      <c r="Q303" s="446">
        <v>187587.79</v>
      </c>
      <c r="R303" s="469">
        <v>1.0652344690516753</v>
      </c>
      <c r="S303" s="447">
        <v>320.66288888888892</v>
      </c>
    </row>
    <row r="304" spans="1:19" ht="14.45" customHeight="1" x14ac:dyDescent="0.2">
      <c r="A304" s="441"/>
      <c r="B304" s="442" t="s">
        <v>1903</v>
      </c>
      <c r="C304" s="442" t="s">
        <v>1680</v>
      </c>
      <c r="D304" s="442" t="s">
        <v>1679</v>
      </c>
      <c r="E304" s="442" t="s">
        <v>1773</v>
      </c>
      <c r="F304" s="442" t="s">
        <v>1786</v>
      </c>
      <c r="G304" s="442" t="s">
        <v>1787</v>
      </c>
      <c r="H304" s="446"/>
      <c r="I304" s="446"/>
      <c r="J304" s="442"/>
      <c r="K304" s="442"/>
      <c r="L304" s="446">
        <v>1</v>
      </c>
      <c r="M304" s="446">
        <v>550</v>
      </c>
      <c r="N304" s="442">
        <v>1</v>
      </c>
      <c r="O304" s="442">
        <v>550</v>
      </c>
      <c r="P304" s="446">
        <v>5</v>
      </c>
      <c r="Q304" s="446">
        <v>2860</v>
      </c>
      <c r="R304" s="469">
        <v>5.2</v>
      </c>
      <c r="S304" s="447">
        <v>572</v>
      </c>
    </row>
    <row r="305" spans="1:19" ht="14.45" customHeight="1" x14ac:dyDescent="0.2">
      <c r="A305" s="441"/>
      <c r="B305" s="442" t="s">
        <v>1903</v>
      </c>
      <c r="C305" s="442" t="s">
        <v>1680</v>
      </c>
      <c r="D305" s="442" t="s">
        <v>1679</v>
      </c>
      <c r="E305" s="442" t="s">
        <v>1773</v>
      </c>
      <c r="F305" s="442" t="s">
        <v>1800</v>
      </c>
      <c r="G305" s="442" t="s">
        <v>1801</v>
      </c>
      <c r="H305" s="446"/>
      <c r="I305" s="446"/>
      <c r="J305" s="442"/>
      <c r="K305" s="442"/>
      <c r="L305" s="446">
        <v>1</v>
      </c>
      <c r="M305" s="446">
        <v>466.67</v>
      </c>
      <c r="N305" s="442">
        <v>1</v>
      </c>
      <c r="O305" s="442">
        <v>466.67</v>
      </c>
      <c r="P305" s="446">
        <v>4</v>
      </c>
      <c r="Q305" s="446">
        <v>2022.22</v>
      </c>
      <c r="R305" s="469">
        <v>4.3332976193027193</v>
      </c>
      <c r="S305" s="447">
        <v>505.55500000000001</v>
      </c>
    </row>
    <row r="306" spans="1:19" ht="14.45" customHeight="1" x14ac:dyDescent="0.2">
      <c r="A306" s="441"/>
      <c r="B306" s="442" t="s">
        <v>1903</v>
      </c>
      <c r="C306" s="442" t="s">
        <v>1680</v>
      </c>
      <c r="D306" s="442" t="s">
        <v>1679</v>
      </c>
      <c r="E306" s="442" t="s">
        <v>1773</v>
      </c>
      <c r="F306" s="442" t="s">
        <v>1802</v>
      </c>
      <c r="G306" s="442" t="s">
        <v>1803</v>
      </c>
      <c r="H306" s="446"/>
      <c r="I306" s="446"/>
      <c r="J306" s="442"/>
      <c r="K306" s="442"/>
      <c r="L306" s="446">
        <v>1</v>
      </c>
      <c r="M306" s="446">
        <v>61.11</v>
      </c>
      <c r="N306" s="442">
        <v>1</v>
      </c>
      <c r="O306" s="442">
        <v>61.11</v>
      </c>
      <c r="P306" s="446"/>
      <c r="Q306" s="446"/>
      <c r="R306" s="469"/>
      <c r="S306" s="447"/>
    </row>
    <row r="307" spans="1:19" ht="14.45" customHeight="1" x14ac:dyDescent="0.2">
      <c r="A307" s="441"/>
      <c r="B307" s="442" t="s">
        <v>1903</v>
      </c>
      <c r="C307" s="442" t="s">
        <v>1680</v>
      </c>
      <c r="D307" s="442" t="s">
        <v>1679</v>
      </c>
      <c r="E307" s="442" t="s">
        <v>1773</v>
      </c>
      <c r="F307" s="442" t="s">
        <v>1932</v>
      </c>
      <c r="G307" s="442" t="s">
        <v>1933</v>
      </c>
      <c r="H307" s="446">
        <v>347</v>
      </c>
      <c r="I307" s="446">
        <v>231333.33000000002</v>
      </c>
      <c r="J307" s="442">
        <v>1.1157556288706694</v>
      </c>
      <c r="K307" s="442">
        <v>666.66665706051879</v>
      </c>
      <c r="L307" s="446">
        <v>311</v>
      </c>
      <c r="M307" s="446">
        <v>207333.33</v>
      </c>
      <c r="N307" s="442">
        <v>1</v>
      </c>
      <c r="O307" s="442">
        <v>666.66665594855306</v>
      </c>
      <c r="P307" s="446">
        <v>335</v>
      </c>
      <c r="Q307" s="446">
        <v>248267.78</v>
      </c>
      <c r="R307" s="469">
        <v>1.1974330417593737</v>
      </c>
      <c r="S307" s="447">
        <v>741.0978507462687</v>
      </c>
    </row>
    <row r="308" spans="1:19" ht="14.45" customHeight="1" x14ac:dyDescent="0.2">
      <c r="A308" s="441"/>
      <c r="B308" s="442" t="s">
        <v>1903</v>
      </c>
      <c r="C308" s="442" t="s">
        <v>1680</v>
      </c>
      <c r="D308" s="442" t="s">
        <v>1679</v>
      </c>
      <c r="E308" s="442" t="s">
        <v>1773</v>
      </c>
      <c r="F308" s="442" t="s">
        <v>1934</v>
      </c>
      <c r="G308" s="442" t="s">
        <v>1935</v>
      </c>
      <c r="H308" s="446">
        <v>644</v>
      </c>
      <c r="I308" s="446">
        <v>150266.67000000001</v>
      </c>
      <c r="J308" s="442">
        <v>0.88705236127508846</v>
      </c>
      <c r="K308" s="442">
        <v>233.3333385093168</v>
      </c>
      <c r="L308" s="446">
        <v>726</v>
      </c>
      <c r="M308" s="446">
        <v>169400.00000000003</v>
      </c>
      <c r="N308" s="442">
        <v>1</v>
      </c>
      <c r="O308" s="442">
        <v>233.33333333333337</v>
      </c>
      <c r="P308" s="446">
        <v>593</v>
      </c>
      <c r="Q308" s="446">
        <v>155985.56</v>
      </c>
      <c r="R308" s="469">
        <v>0.92081204250295146</v>
      </c>
      <c r="S308" s="447">
        <v>263.04478920741991</v>
      </c>
    </row>
    <row r="309" spans="1:19" ht="14.45" customHeight="1" x14ac:dyDescent="0.2">
      <c r="A309" s="441"/>
      <c r="B309" s="442" t="s">
        <v>1903</v>
      </c>
      <c r="C309" s="442" t="s">
        <v>1680</v>
      </c>
      <c r="D309" s="442" t="s">
        <v>1679</v>
      </c>
      <c r="E309" s="442" t="s">
        <v>1773</v>
      </c>
      <c r="F309" s="442" t="s">
        <v>1936</v>
      </c>
      <c r="G309" s="442" t="s">
        <v>1937</v>
      </c>
      <c r="H309" s="446">
        <v>396</v>
      </c>
      <c r="I309" s="446">
        <v>308000</v>
      </c>
      <c r="J309" s="442">
        <v>0.89390523223048446</v>
      </c>
      <c r="K309" s="442">
        <v>777.77777777777783</v>
      </c>
      <c r="L309" s="446">
        <v>443</v>
      </c>
      <c r="M309" s="446">
        <v>344555.54000000004</v>
      </c>
      <c r="N309" s="442">
        <v>1</v>
      </c>
      <c r="O309" s="442">
        <v>777.77774266365702</v>
      </c>
      <c r="P309" s="446">
        <v>359</v>
      </c>
      <c r="Q309" s="446">
        <v>309347.77</v>
      </c>
      <c r="R309" s="469">
        <v>0.89781685123971589</v>
      </c>
      <c r="S309" s="447">
        <v>861.69295264623963</v>
      </c>
    </row>
    <row r="310" spans="1:19" ht="14.45" customHeight="1" x14ac:dyDescent="0.2">
      <c r="A310" s="441"/>
      <c r="B310" s="442" t="s">
        <v>1903</v>
      </c>
      <c r="C310" s="442" t="s">
        <v>1680</v>
      </c>
      <c r="D310" s="442" t="s">
        <v>1679</v>
      </c>
      <c r="E310" s="442" t="s">
        <v>1773</v>
      </c>
      <c r="F310" s="442" t="s">
        <v>1938</v>
      </c>
      <c r="G310" s="442" t="s">
        <v>1939</v>
      </c>
      <c r="H310" s="446">
        <v>890</v>
      </c>
      <c r="I310" s="446">
        <v>217555.55000000002</v>
      </c>
      <c r="J310" s="442">
        <v>0.89808270117230771</v>
      </c>
      <c r="K310" s="442">
        <v>244.4444382022472</v>
      </c>
      <c r="L310" s="446">
        <v>991</v>
      </c>
      <c r="M310" s="446">
        <v>242244.44999999998</v>
      </c>
      <c r="N310" s="442">
        <v>1</v>
      </c>
      <c r="O310" s="442">
        <v>244.44445005045407</v>
      </c>
      <c r="P310" s="446">
        <v>852</v>
      </c>
      <c r="Q310" s="446">
        <v>235663.33000000002</v>
      </c>
      <c r="R310" s="469">
        <v>0.97283273156516081</v>
      </c>
      <c r="S310" s="447">
        <v>276.60015258215964</v>
      </c>
    </row>
    <row r="311" spans="1:19" ht="14.45" customHeight="1" x14ac:dyDescent="0.2">
      <c r="A311" s="441"/>
      <c r="B311" s="442" t="s">
        <v>1903</v>
      </c>
      <c r="C311" s="442" t="s">
        <v>1680</v>
      </c>
      <c r="D311" s="442" t="s">
        <v>1679</v>
      </c>
      <c r="E311" s="442" t="s">
        <v>1773</v>
      </c>
      <c r="F311" s="442" t="s">
        <v>1940</v>
      </c>
      <c r="G311" s="442" t="s">
        <v>1941</v>
      </c>
      <c r="H311" s="446">
        <v>24</v>
      </c>
      <c r="I311" s="446">
        <v>12613.319999999998</v>
      </c>
      <c r="J311" s="442">
        <v>0.59999942917541527</v>
      </c>
      <c r="K311" s="442">
        <v>525.55499999999995</v>
      </c>
      <c r="L311" s="446">
        <v>40</v>
      </c>
      <c r="M311" s="446">
        <v>21022.22</v>
      </c>
      <c r="N311" s="442">
        <v>1</v>
      </c>
      <c r="O311" s="442">
        <v>525.55550000000005</v>
      </c>
      <c r="P311" s="446">
        <v>38</v>
      </c>
      <c r="Q311" s="446">
        <v>22346.670000000002</v>
      </c>
      <c r="R311" s="469">
        <v>1.0630023850953896</v>
      </c>
      <c r="S311" s="447">
        <v>588.07026315789483</v>
      </c>
    </row>
    <row r="312" spans="1:19" ht="14.45" customHeight="1" x14ac:dyDescent="0.2">
      <c r="A312" s="441"/>
      <c r="B312" s="442" t="s">
        <v>1903</v>
      </c>
      <c r="C312" s="442" t="s">
        <v>1680</v>
      </c>
      <c r="D312" s="442" t="s">
        <v>1679</v>
      </c>
      <c r="E312" s="442" t="s">
        <v>1773</v>
      </c>
      <c r="F312" s="442" t="s">
        <v>1942</v>
      </c>
      <c r="G312" s="442" t="s">
        <v>1943</v>
      </c>
      <c r="H312" s="446">
        <v>13</v>
      </c>
      <c r="I312" s="446">
        <v>13000</v>
      </c>
      <c r="J312" s="442">
        <v>1.0833333333333333</v>
      </c>
      <c r="K312" s="442">
        <v>1000</v>
      </c>
      <c r="L312" s="446">
        <v>12</v>
      </c>
      <c r="M312" s="446">
        <v>12000</v>
      </c>
      <c r="N312" s="442">
        <v>1</v>
      </c>
      <c r="O312" s="442">
        <v>1000</v>
      </c>
      <c r="P312" s="446">
        <v>5</v>
      </c>
      <c r="Q312" s="446">
        <v>5744.4500000000007</v>
      </c>
      <c r="R312" s="469">
        <v>0.47870416666666671</v>
      </c>
      <c r="S312" s="447">
        <v>1148.8900000000001</v>
      </c>
    </row>
    <row r="313" spans="1:19" ht="14.45" customHeight="1" x14ac:dyDescent="0.2">
      <c r="A313" s="441"/>
      <c r="B313" s="442" t="s">
        <v>1903</v>
      </c>
      <c r="C313" s="442" t="s">
        <v>1680</v>
      </c>
      <c r="D313" s="442" t="s">
        <v>1679</v>
      </c>
      <c r="E313" s="442" t="s">
        <v>1773</v>
      </c>
      <c r="F313" s="442" t="s">
        <v>1855</v>
      </c>
      <c r="G313" s="442" t="s">
        <v>1856</v>
      </c>
      <c r="H313" s="446"/>
      <c r="I313" s="446"/>
      <c r="J313" s="442"/>
      <c r="K313" s="442"/>
      <c r="L313" s="446">
        <v>2</v>
      </c>
      <c r="M313" s="446">
        <v>0</v>
      </c>
      <c r="N313" s="442"/>
      <c r="O313" s="442">
        <v>0</v>
      </c>
      <c r="P313" s="446"/>
      <c r="Q313" s="446"/>
      <c r="R313" s="469"/>
      <c r="S313" s="447"/>
    </row>
    <row r="314" spans="1:19" ht="14.45" customHeight="1" x14ac:dyDescent="0.2">
      <c r="A314" s="441"/>
      <c r="B314" s="442" t="s">
        <v>1903</v>
      </c>
      <c r="C314" s="442" t="s">
        <v>1680</v>
      </c>
      <c r="D314" s="442" t="s">
        <v>1679</v>
      </c>
      <c r="E314" s="442" t="s">
        <v>1773</v>
      </c>
      <c r="F314" s="442" t="s">
        <v>1808</v>
      </c>
      <c r="G314" s="442" t="s">
        <v>1809</v>
      </c>
      <c r="H314" s="446">
        <v>1019</v>
      </c>
      <c r="I314" s="446">
        <v>0</v>
      </c>
      <c r="J314" s="442"/>
      <c r="K314" s="442">
        <v>0</v>
      </c>
      <c r="L314" s="446">
        <v>995</v>
      </c>
      <c r="M314" s="446">
        <v>0</v>
      </c>
      <c r="N314" s="442"/>
      <c r="O314" s="442">
        <v>0</v>
      </c>
      <c r="P314" s="446">
        <v>991</v>
      </c>
      <c r="Q314" s="446">
        <v>0</v>
      </c>
      <c r="R314" s="469"/>
      <c r="S314" s="447">
        <v>0</v>
      </c>
    </row>
    <row r="315" spans="1:19" ht="14.45" customHeight="1" x14ac:dyDescent="0.2">
      <c r="A315" s="441"/>
      <c r="B315" s="442" t="s">
        <v>1903</v>
      </c>
      <c r="C315" s="442" t="s">
        <v>1680</v>
      </c>
      <c r="D315" s="442" t="s">
        <v>1679</v>
      </c>
      <c r="E315" s="442" t="s">
        <v>1773</v>
      </c>
      <c r="F315" s="442" t="s">
        <v>1810</v>
      </c>
      <c r="G315" s="442" t="s">
        <v>1811</v>
      </c>
      <c r="H315" s="446">
        <v>715</v>
      </c>
      <c r="I315" s="446">
        <v>218472.22</v>
      </c>
      <c r="J315" s="442">
        <v>0.95973152917763749</v>
      </c>
      <c r="K315" s="442">
        <v>305.55555244755243</v>
      </c>
      <c r="L315" s="446">
        <v>745</v>
      </c>
      <c r="M315" s="446">
        <v>227638.88999999998</v>
      </c>
      <c r="N315" s="442">
        <v>1</v>
      </c>
      <c r="O315" s="442">
        <v>305.55555704697986</v>
      </c>
      <c r="P315" s="446">
        <v>785</v>
      </c>
      <c r="Q315" s="446">
        <v>255656.65999999997</v>
      </c>
      <c r="R315" s="469">
        <v>1.1230798920166936</v>
      </c>
      <c r="S315" s="447">
        <v>325.6772738853503</v>
      </c>
    </row>
    <row r="316" spans="1:19" ht="14.45" customHeight="1" x14ac:dyDescent="0.2">
      <c r="A316" s="441"/>
      <c r="B316" s="442" t="s">
        <v>1903</v>
      </c>
      <c r="C316" s="442" t="s">
        <v>1680</v>
      </c>
      <c r="D316" s="442" t="s">
        <v>1679</v>
      </c>
      <c r="E316" s="442" t="s">
        <v>1773</v>
      </c>
      <c r="F316" s="442" t="s">
        <v>1812</v>
      </c>
      <c r="G316" s="442" t="s">
        <v>1813</v>
      </c>
      <c r="H316" s="446">
        <v>1778</v>
      </c>
      <c r="I316" s="446">
        <v>59266.67</v>
      </c>
      <c r="J316" s="442">
        <v>3.650924979656053</v>
      </c>
      <c r="K316" s="442">
        <v>33.333335208098987</v>
      </c>
      <c r="L316" s="446">
        <v>487</v>
      </c>
      <c r="M316" s="446">
        <v>16233.33</v>
      </c>
      <c r="N316" s="442">
        <v>1</v>
      </c>
      <c r="O316" s="442">
        <v>33.333326488706362</v>
      </c>
      <c r="P316" s="446"/>
      <c r="Q316" s="446"/>
      <c r="R316" s="469"/>
      <c r="S316" s="447"/>
    </row>
    <row r="317" spans="1:19" ht="14.45" customHeight="1" x14ac:dyDescent="0.2">
      <c r="A317" s="441"/>
      <c r="B317" s="442" t="s">
        <v>1903</v>
      </c>
      <c r="C317" s="442" t="s">
        <v>1680</v>
      </c>
      <c r="D317" s="442" t="s">
        <v>1679</v>
      </c>
      <c r="E317" s="442" t="s">
        <v>1773</v>
      </c>
      <c r="F317" s="442" t="s">
        <v>1814</v>
      </c>
      <c r="G317" s="442" t="s">
        <v>1815</v>
      </c>
      <c r="H317" s="446">
        <v>832</v>
      </c>
      <c r="I317" s="446">
        <v>379022.22000000003</v>
      </c>
      <c r="J317" s="442">
        <v>0.98113207254122214</v>
      </c>
      <c r="K317" s="442">
        <v>455.55555288461539</v>
      </c>
      <c r="L317" s="446">
        <v>848</v>
      </c>
      <c r="M317" s="446">
        <v>386311.11</v>
      </c>
      <c r="N317" s="442">
        <v>1</v>
      </c>
      <c r="O317" s="442">
        <v>455.55555424528302</v>
      </c>
      <c r="P317" s="446">
        <v>748</v>
      </c>
      <c r="Q317" s="446">
        <v>363482.21</v>
      </c>
      <c r="R317" s="469">
        <v>0.94090540134866951</v>
      </c>
      <c r="S317" s="447">
        <v>485.93878342245995</v>
      </c>
    </row>
    <row r="318" spans="1:19" ht="14.45" customHeight="1" x14ac:dyDescent="0.2">
      <c r="A318" s="441"/>
      <c r="B318" s="442" t="s">
        <v>1903</v>
      </c>
      <c r="C318" s="442" t="s">
        <v>1680</v>
      </c>
      <c r="D318" s="442" t="s">
        <v>1679</v>
      </c>
      <c r="E318" s="442" t="s">
        <v>1773</v>
      </c>
      <c r="F318" s="442" t="s">
        <v>1818</v>
      </c>
      <c r="G318" s="442" t="s">
        <v>1819</v>
      </c>
      <c r="H318" s="446">
        <v>777</v>
      </c>
      <c r="I318" s="446">
        <v>60433.32</v>
      </c>
      <c r="J318" s="442">
        <v>0.91519405197435122</v>
      </c>
      <c r="K318" s="442">
        <v>77.77776061776062</v>
      </c>
      <c r="L318" s="446">
        <v>849</v>
      </c>
      <c r="M318" s="446">
        <v>66033.34</v>
      </c>
      <c r="N318" s="442">
        <v>1</v>
      </c>
      <c r="O318" s="442">
        <v>77.777785630153119</v>
      </c>
      <c r="P318" s="446">
        <v>903</v>
      </c>
      <c r="Q318" s="446">
        <v>89356.67</v>
      </c>
      <c r="R318" s="469">
        <v>1.3532053656531686</v>
      </c>
      <c r="S318" s="447">
        <v>98.955337763012182</v>
      </c>
    </row>
    <row r="319" spans="1:19" ht="14.45" customHeight="1" x14ac:dyDescent="0.2">
      <c r="A319" s="441"/>
      <c r="B319" s="442" t="s">
        <v>1903</v>
      </c>
      <c r="C319" s="442" t="s">
        <v>1680</v>
      </c>
      <c r="D319" s="442" t="s">
        <v>1679</v>
      </c>
      <c r="E319" s="442" t="s">
        <v>1773</v>
      </c>
      <c r="F319" s="442" t="s">
        <v>1944</v>
      </c>
      <c r="G319" s="442" t="s">
        <v>1945</v>
      </c>
      <c r="H319" s="446">
        <v>448</v>
      </c>
      <c r="I319" s="446">
        <v>647111.11</v>
      </c>
      <c r="J319" s="442">
        <v>1.0717703291432819</v>
      </c>
      <c r="K319" s="442">
        <v>1444.4444419642857</v>
      </c>
      <c r="L319" s="446">
        <v>418</v>
      </c>
      <c r="M319" s="446">
        <v>603777.77999999991</v>
      </c>
      <c r="N319" s="442">
        <v>1</v>
      </c>
      <c r="O319" s="442">
        <v>1444.4444497607653</v>
      </c>
      <c r="P319" s="446">
        <v>370</v>
      </c>
      <c r="Q319" s="446">
        <v>590604.43999999994</v>
      </c>
      <c r="R319" s="469">
        <v>0.97818180722053072</v>
      </c>
      <c r="S319" s="447">
        <v>1596.228216216216</v>
      </c>
    </row>
    <row r="320" spans="1:19" ht="14.45" customHeight="1" x14ac:dyDescent="0.2">
      <c r="A320" s="441"/>
      <c r="B320" s="442" t="s">
        <v>1903</v>
      </c>
      <c r="C320" s="442" t="s">
        <v>1680</v>
      </c>
      <c r="D320" s="442" t="s">
        <v>1679</v>
      </c>
      <c r="E320" s="442" t="s">
        <v>1773</v>
      </c>
      <c r="F320" s="442" t="s">
        <v>1820</v>
      </c>
      <c r="G320" s="442" t="s">
        <v>1821</v>
      </c>
      <c r="H320" s="446"/>
      <c r="I320" s="446"/>
      <c r="J320" s="442"/>
      <c r="K320" s="442"/>
      <c r="L320" s="446">
        <v>0</v>
      </c>
      <c r="M320" s="446">
        <v>0</v>
      </c>
      <c r="N320" s="442"/>
      <c r="O320" s="442"/>
      <c r="P320" s="446"/>
      <c r="Q320" s="446"/>
      <c r="R320" s="469"/>
      <c r="S320" s="447"/>
    </row>
    <row r="321" spans="1:19" ht="14.45" customHeight="1" x14ac:dyDescent="0.2">
      <c r="A321" s="441"/>
      <c r="B321" s="442" t="s">
        <v>1903</v>
      </c>
      <c r="C321" s="442" t="s">
        <v>1680</v>
      </c>
      <c r="D321" s="442" t="s">
        <v>1679</v>
      </c>
      <c r="E321" s="442" t="s">
        <v>1773</v>
      </c>
      <c r="F321" s="442" t="s">
        <v>1824</v>
      </c>
      <c r="G321" s="442" t="s">
        <v>1825</v>
      </c>
      <c r="H321" s="446">
        <v>6</v>
      </c>
      <c r="I321" s="446">
        <v>566.66</v>
      </c>
      <c r="J321" s="442">
        <v>0.42856710683547372</v>
      </c>
      <c r="K321" s="442">
        <v>94.443333333333328</v>
      </c>
      <c r="L321" s="446">
        <v>14</v>
      </c>
      <c r="M321" s="446">
        <v>1322.2199999999998</v>
      </c>
      <c r="N321" s="442">
        <v>1</v>
      </c>
      <c r="O321" s="442">
        <v>94.444285714285698</v>
      </c>
      <c r="P321" s="446">
        <v>11</v>
      </c>
      <c r="Q321" s="446">
        <v>1255.55</v>
      </c>
      <c r="R321" s="469">
        <v>0.94957722618021223</v>
      </c>
      <c r="S321" s="447">
        <v>114.14090909090909</v>
      </c>
    </row>
    <row r="322" spans="1:19" ht="14.45" customHeight="1" x14ac:dyDescent="0.2">
      <c r="A322" s="441"/>
      <c r="B322" s="442" t="s">
        <v>1903</v>
      </c>
      <c r="C322" s="442" t="s">
        <v>1680</v>
      </c>
      <c r="D322" s="442" t="s">
        <v>1679</v>
      </c>
      <c r="E322" s="442" t="s">
        <v>1773</v>
      </c>
      <c r="F322" s="442" t="s">
        <v>1828</v>
      </c>
      <c r="G322" s="442" t="s">
        <v>1829</v>
      </c>
      <c r="H322" s="446">
        <v>20</v>
      </c>
      <c r="I322" s="446">
        <v>1933.3399999999997</v>
      </c>
      <c r="J322" s="442">
        <v>2.2222298850574709</v>
      </c>
      <c r="K322" s="442">
        <v>96.666999999999987</v>
      </c>
      <c r="L322" s="446">
        <v>9</v>
      </c>
      <c r="M322" s="446">
        <v>870</v>
      </c>
      <c r="N322" s="442">
        <v>1</v>
      </c>
      <c r="O322" s="442">
        <v>96.666666666666671</v>
      </c>
      <c r="P322" s="446">
        <v>7</v>
      </c>
      <c r="Q322" s="446">
        <v>1072.22</v>
      </c>
      <c r="R322" s="469">
        <v>1.2324367816091955</v>
      </c>
      <c r="S322" s="447">
        <v>153.17428571428573</v>
      </c>
    </row>
    <row r="323" spans="1:19" ht="14.45" customHeight="1" x14ac:dyDescent="0.2">
      <c r="A323" s="441"/>
      <c r="B323" s="442" t="s">
        <v>1903</v>
      </c>
      <c r="C323" s="442" t="s">
        <v>1680</v>
      </c>
      <c r="D323" s="442" t="s">
        <v>1679</v>
      </c>
      <c r="E323" s="442" t="s">
        <v>1773</v>
      </c>
      <c r="F323" s="442" t="s">
        <v>1946</v>
      </c>
      <c r="G323" s="442" t="s">
        <v>1947</v>
      </c>
      <c r="H323" s="446">
        <v>411</v>
      </c>
      <c r="I323" s="446">
        <v>143850</v>
      </c>
      <c r="J323" s="442">
        <v>1.0458015267175573</v>
      </c>
      <c r="K323" s="442">
        <v>350</v>
      </c>
      <c r="L323" s="446">
        <v>393</v>
      </c>
      <c r="M323" s="446">
        <v>137550</v>
      </c>
      <c r="N323" s="442">
        <v>1</v>
      </c>
      <c r="O323" s="442">
        <v>350</v>
      </c>
      <c r="P323" s="446">
        <v>422</v>
      </c>
      <c r="Q323" s="446">
        <v>164863.33000000002</v>
      </c>
      <c r="R323" s="469">
        <v>1.1985701926572156</v>
      </c>
      <c r="S323" s="447">
        <v>390.67139810426545</v>
      </c>
    </row>
    <row r="324" spans="1:19" ht="14.45" customHeight="1" x14ac:dyDescent="0.2">
      <c r="A324" s="441"/>
      <c r="B324" s="442" t="s">
        <v>1903</v>
      </c>
      <c r="C324" s="442" t="s">
        <v>1680</v>
      </c>
      <c r="D324" s="442" t="s">
        <v>1679</v>
      </c>
      <c r="E324" s="442" t="s">
        <v>1773</v>
      </c>
      <c r="F324" s="442" t="s">
        <v>1948</v>
      </c>
      <c r="G324" s="442" t="s">
        <v>1949</v>
      </c>
      <c r="H324" s="446">
        <v>34</v>
      </c>
      <c r="I324" s="446">
        <v>2002.23</v>
      </c>
      <c r="J324" s="442">
        <v>1.3599980981232551</v>
      </c>
      <c r="K324" s="442">
        <v>58.889117647058825</v>
      </c>
      <c r="L324" s="446">
        <v>25</v>
      </c>
      <c r="M324" s="446">
        <v>1472.23</v>
      </c>
      <c r="N324" s="442">
        <v>1</v>
      </c>
      <c r="O324" s="442">
        <v>58.889200000000002</v>
      </c>
      <c r="P324" s="446">
        <v>37</v>
      </c>
      <c r="Q324" s="446">
        <v>2577.7799999999997</v>
      </c>
      <c r="R324" s="469">
        <v>1.750935655434273</v>
      </c>
      <c r="S324" s="447">
        <v>69.669729729729724</v>
      </c>
    </row>
    <row r="325" spans="1:19" ht="14.45" customHeight="1" x14ac:dyDescent="0.2">
      <c r="A325" s="441"/>
      <c r="B325" s="442" t="s">
        <v>1903</v>
      </c>
      <c r="C325" s="442" t="s">
        <v>1680</v>
      </c>
      <c r="D325" s="442" t="s">
        <v>1679</v>
      </c>
      <c r="E325" s="442" t="s">
        <v>1773</v>
      </c>
      <c r="F325" s="442" t="s">
        <v>1950</v>
      </c>
      <c r="G325" s="442" t="s">
        <v>1951</v>
      </c>
      <c r="H325" s="446">
        <v>603</v>
      </c>
      <c r="I325" s="446">
        <v>77720</v>
      </c>
      <c r="J325" s="442">
        <v>1.0272572100318038</v>
      </c>
      <c r="K325" s="442">
        <v>128.88888888888889</v>
      </c>
      <c r="L325" s="446">
        <v>587</v>
      </c>
      <c r="M325" s="446">
        <v>75657.78</v>
      </c>
      <c r="N325" s="442">
        <v>1</v>
      </c>
      <c r="O325" s="442">
        <v>128.8888926746167</v>
      </c>
      <c r="P325" s="446">
        <v>588</v>
      </c>
      <c r="Q325" s="446">
        <v>87047.77</v>
      </c>
      <c r="R325" s="469">
        <v>1.1505461830891681</v>
      </c>
      <c r="S325" s="447">
        <v>148.04042517006803</v>
      </c>
    </row>
    <row r="326" spans="1:19" ht="14.45" customHeight="1" x14ac:dyDescent="0.2">
      <c r="A326" s="441"/>
      <c r="B326" s="442" t="s">
        <v>1903</v>
      </c>
      <c r="C326" s="442" t="s">
        <v>1680</v>
      </c>
      <c r="D326" s="442" t="s">
        <v>1679</v>
      </c>
      <c r="E326" s="442" t="s">
        <v>1773</v>
      </c>
      <c r="F326" s="442" t="s">
        <v>1837</v>
      </c>
      <c r="G326" s="442" t="s">
        <v>1838</v>
      </c>
      <c r="H326" s="446">
        <v>1940</v>
      </c>
      <c r="I326" s="446">
        <v>94844.44</v>
      </c>
      <c r="J326" s="442">
        <v>0.9061186898771485</v>
      </c>
      <c r="K326" s="442">
        <v>48.888886597938146</v>
      </c>
      <c r="L326" s="446">
        <v>2141</v>
      </c>
      <c r="M326" s="446">
        <v>104671.1</v>
      </c>
      <c r="N326" s="442">
        <v>1</v>
      </c>
      <c r="O326" s="442">
        <v>48.888883699205984</v>
      </c>
      <c r="P326" s="446">
        <v>1844</v>
      </c>
      <c r="Q326" s="446">
        <v>140322.22</v>
      </c>
      <c r="R326" s="469">
        <v>1.3406013694324412</v>
      </c>
      <c r="S326" s="447">
        <v>76.096648590021687</v>
      </c>
    </row>
    <row r="327" spans="1:19" ht="14.45" customHeight="1" x14ac:dyDescent="0.2">
      <c r="A327" s="441"/>
      <c r="B327" s="442" t="s">
        <v>1903</v>
      </c>
      <c r="C327" s="442" t="s">
        <v>1680</v>
      </c>
      <c r="D327" s="442" t="s">
        <v>1679</v>
      </c>
      <c r="E327" s="442" t="s">
        <v>1773</v>
      </c>
      <c r="F327" s="442" t="s">
        <v>1952</v>
      </c>
      <c r="G327" s="442" t="s">
        <v>1953</v>
      </c>
      <c r="H327" s="446">
        <v>2032</v>
      </c>
      <c r="I327" s="446">
        <v>1806222.22</v>
      </c>
      <c r="J327" s="442">
        <v>0.95443870972739753</v>
      </c>
      <c r="K327" s="442">
        <v>888.88888779527554</v>
      </c>
      <c r="L327" s="446">
        <v>2129</v>
      </c>
      <c r="M327" s="446">
        <v>1892444.4299999997</v>
      </c>
      <c r="N327" s="442">
        <v>1</v>
      </c>
      <c r="O327" s="442">
        <v>888.88888210427422</v>
      </c>
      <c r="P327" s="446">
        <v>1980</v>
      </c>
      <c r="Q327" s="446">
        <v>1947888.89</v>
      </c>
      <c r="R327" s="469">
        <v>1.0292978008342364</v>
      </c>
      <c r="S327" s="447">
        <v>983.78226767676767</v>
      </c>
    </row>
    <row r="328" spans="1:19" ht="14.45" customHeight="1" x14ac:dyDescent="0.2">
      <c r="A328" s="441"/>
      <c r="B328" s="442" t="s">
        <v>1903</v>
      </c>
      <c r="C328" s="442" t="s">
        <v>1680</v>
      </c>
      <c r="D328" s="442" t="s">
        <v>1679</v>
      </c>
      <c r="E328" s="442" t="s">
        <v>1773</v>
      </c>
      <c r="F328" s="442" t="s">
        <v>1954</v>
      </c>
      <c r="G328" s="442" t="s">
        <v>1955</v>
      </c>
      <c r="H328" s="446">
        <v>32</v>
      </c>
      <c r="I328" s="446">
        <v>10666.66</v>
      </c>
      <c r="J328" s="442">
        <v>0.69565189035910657</v>
      </c>
      <c r="K328" s="442">
        <v>333.333125</v>
      </c>
      <c r="L328" s="446">
        <v>46</v>
      </c>
      <c r="M328" s="446">
        <v>15333.33</v>
      </c>
      <c r="N328" s="442">
        <v>1</v>
      </c>
      <c r="O328" s="442">
        <v>333.33326086956521</v>
      </c>
      <c r="P328" s="446">
        <v>175</v>
      </c>
      <c r="Q328" s="446">
        <v>66713.34</v>
      </c>
      <c r="R328" s="469">
        <v>4.3508709458415096</v>
      </c>
      <c r="S328" s="447">
        <v>381.21908571428571</v>
      </c>
    </row>
    <row r="329" spans="1:19" ht="14.45" customHeight="1" thickBot="1" x14ac:dyDescent="0.25">
      <c r="A329" s="448"/>
      <c r="B329" s="449" t="s">
        <v>1903</v>
      </c>
      <c r="C329" s="449" t="s">
        <v>1680</v>
      </c>
      <c r="D329" s="449" t="s">
        <v>1679</v>
      </c>
      <c r="E329" s="449" t="s">
        <v>1773</v>
      </c>
      <c r="F329" s="449" t="s">
        <v>1849</v>
      </c>
      <c r="G329" s="449" t="s">
        <v>1850</v>
      </c>
      <c r="H329" s="453"/>
      <c r="I329" s="453"/>
      <c r="J329" s="449"/>
      <c r="K329" s="449"/>
      <c r="L329" s="453"/>
      <c r="M329" s="453"/>
      <c r="N329" s="449"/>
      <c r="O329" s="449"/>
      <c r="P329" s="453">
        <v>6</v>
      </c>
      <c r="Q329" s="453">
        <v>373.33000000000004</v>
      </c>
      <c r="R329" s="461"/>
      <c r="S329" s="454">
        <v>62.221666666666671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F8CC7862-E065-4615-AC4E-5357A07EEEC7}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33" bestFit="1" customWidth="1"/>
    <col min="2" max="2" width="11.7109375" style="133" hidden="1" customWidth="1"/>
    <col min="3" max="4" width="11" style="135" customWidth="1"/>
    <col min="5" max="5" width="11" style="136" customWidth="1"/>
    <col min="6" max="16384" width="8.85546875" style="133"/>
  </cols>
  <sheetData>
    <row r="1" spans="1:5" ht="19.5" thickBot="1" x14ac:dyDescent="0.35">
      <c r="A1" s="304" t="s">
        <v>103</v>
      </c>
      <c r="B1" s="304"/>
      <c r="C1" s="305"/>
      <c r="D1" s="305"/>
      <c r="E1" s="305"/>
    </row>
    <row r="2" spans="1:5" ht="14.45" customHeight="1" thickBot="1" x14ac:dyDescent="0.25">
      <c r="A2" s="207" t="s">
        <v>242</v>
      </c>
      <c r="B2" s="134"/>
    </row>
    <row r="3" spans="1:5" ht="14.45" customHeight="1" thickBot="1" x14ac:dyDescent="0.25">
      <c r="A3" s="137"/>
      <c r="C3" s="138" t="s">
        <v>91</v>
      </c>
      <c r="D3" s="139" t="s">
        <v>59</v>
      </c>
      <c r="E3" s="140" t="s">
        <v>61</v>
      </c>
    </row>
    <row r="4" spans="1:5" ht="14.45" customHeight="1" thickBot="1" x14ac:dyDescent="0.25">
      <c r="A4" s="141" t="str">
        <f>HYPERLINK("#HI!A1","NÁKLADY CELKEM (v tisících Kč)")</f>
        <v>NÁKLADY CELKEM (v tisících Kč)</v>
      </c>
      <c r="B4" s="142"/>
      <c r="C4" s="143">
        <f ca="1">IF(ISERROR(VLOOKUP("Náklady celkem",INDIRECT("HI!$A:$G"),6,0)),0,VLOOKUP("Náklady celkem",INDIRECT("HI!$A:$G"),6,0))</f>
        <v>0</v>
      </c>
      <c r="D4" s="143">
        <f ca="1">IF(ISERROR(VLOOKUP("Náklady celkem",INDIRECT("HI!$A:$G"),5,0)),0,VLOOKUP("Náklady celkem",INDIRECT("HI!$A:$G"),5,0))</f>
        <v>34949.22178</v>
      </c>
      <c r="E4" s="144">
        <f ca="1">IF(C4=0,0,D4/C4)</f>
        <v>0</v>
      </c>
    </row>
    <row r="5" spans="1:5" ht="14.45" customHeight="1" x14ac:dyDescent="0.2">
      <c r="A5" s="145" t="s">
        <v>125</v>
      </c>
      <c r="B5" s="146"/>
      <c r="C5" s="147"/>
      <c r="D5" s="147"/>
      <c r="E5" s="148"/>
    </row>
    <row r="6" spans="1:5" ht="14.45" customHeight="1" x14ac:dyDescent="0.2">
      <c r="A6" s="149" t="s">
        <v>130</v>
      </c>
      <c r="B6" s="150"/>
      <c r="C6" s="151"/>
      <c r="D6" s="151"/>
      <c r="E6" s="148"/>
    </row>
    <row r="7" spans="1:5" ht="14.45" customHeight="1" x14ac:dyDescent="0.25">
      <c r="A7" s="23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0" t="s">
        <v>95</v>
      </c>
      <c r="C7" s="151">
        <f>IF(ISERROR(HI!F5),"",HI!F5)</f>
        <v>0</v>
      </c>
      <c r="D7" s="151">
        <f>IF(ISERROR(HI!E5),"",HI!E5)</f>
        <v>199.33816999999999</v>
      </c>
      <c r="E7" s="148">
        <f t="shared" ref="E7:E13" si="0">IF(C7=0,0,D7/C7)</f>
        <v>0</v>
      </c>
    </row>
    <row r="8" spans="1:5" ht="14.45" customHeight="1" x14ac:dyDescent="0.25">
      <c r="A8" s="232" t="str">
        <f>HYPERLINK("#'LŽ PL'!A1","Plnění pozitivního listu (min. 90%)")</f>
        <v>Plnění pozitivního listu (min. 90%)</v>
      </c>
      <c r="B8" s="150" t="s">
        <v>123</v>
      </c>
      <c r="C8" s="152">
        <v>0.9</v>
      </c>
      <c r="D8" s="152">
        <f>IF(ISERROR(VLOOKUP("celkem",'LŽ PL'!$A:$F,5,0)),0,VLOOKUP("celkem",'LŽ PL'!$A:$F,5,0))</f>
        <v>1</v>
      </c>
      <c r="E8" s="148">
        <f t="shared" si="0"/>
        <v>1.1111111111111112</v>
      </c>
    </row>
    <row r="9" spans="1:5" ht="14.45" customHeight="1" x14ac:dyDescent="0.25">
      <c r="A9" s="232" t="str">
        <f>HYPERLINK("#'LŽ Statim'!A1","Podíl statimových žádanek (max. 30%)")</f>
        <v>Podíl statimových žádanek (max. 30%)</v>
      </c>
      <c r="B9" s="230" t="s">
        <v>178</v>
      </c>
      <c r="C9" s="231">
        <v>0.3</v>
      </c>
      <c r="D9" s="231">
        <f>IF('LŽ Statim'!G3="",0,'LŽ Statim'!G3)</f>
        <v>4.6874999999999998E-3</v>
      </c>
      <c r="E9" s="148">
        <f>IF(C9=0,0,D9/C9)</f>
        <v>1.5625E-2</v>
      </c>
    </row>
    <row r="10" spans="1:5" ht="14.45" customHeight="1" x14ac:dyDescent="0.2">
      <c r="A10" s="153" t="s">
        <v>126</v>
      </c>
      <c r="B10" s="150"/>
      <c r="C10" s="151"/>
      <c r="D10" s="151"/>
      <c r="E10" s="148"/>
    </row>
    <row r="11" spans="1:5" ht="14.45" customHeight="1" x14ac:dyDescent="0.2">
      <c r="A11" s="153" t="s">
        <v>127</v>
      </c>
      <c r="B11" s="150"/>
      <c r="C11" s="151"/>
      <c r="D11" s="151"/>
      <c r="E11" s="148"/>
    </row>
    <row r="12" spans="1:5" ht="14.45" customHeight="1" x14ac:dyDescent="0.2">
      <c r="A12" s="154" t="s">
        <v>131</v>
      </c>
      <c r="B12" s="150"/>
      <c r="C12" s="147"/>
      <c r="D12" s="147"/>
      <c r="E12" s="148"/>
    </row>
    <row r="13" spans="1:5" ht="14.45" customHeight="1" x14ac:dyDescent="0.2">
      <c r="A13" s="15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0" t="s">
        <v>95</v>
      </c>
      <c r="C13" s="151">
        <f>IF(ISERROR(HI!F6),"",HI!F6)</f>
        <v>0</v>
      </c>
      <c r="D13" s="151">
        <f>IF(ISERROR(HI!E6),"",HI!E6)</f>
        <v>1880.1122899999987</v>
      </c>
      <c r="E13" s="148">
        <f t="shared" si="0"/>
        <v>0</v>
      </c>
    </row>
    <row r="14" spans="1:5" ht="14.45" customHeight="1" thickBot="1" x14ac:dyDescent="0.25">
      <c r="A14" s="156" t="str">
        <f>HYPERLINK("#HI!A1","Osobní náklady")</f>
        <v>Osobní náklady</v>
      </c>
      <c r="B14" s="150"/>
      <c r="C14" s="147">
        <f ca="1">IF(ISERROR(VLOOKUP("Osobní náklady (Kč) *",INDIRECT("HI!$A:$G"),6,0)),0,VLOOKUP("Osobní náklady (Kč) *",INDIRECT("HI!$A:$G"),6,0))</f>
        <v>0</v>
      </c>
      <c r="D14" s="147">
        <f ca="1">IF(ISERROR(VLOOKUP("Osobní náklady (Kč) *",INDIRECT("HI!$A:$G"),5,0)),0,VLOOKUP("Osobní náklady (Kč) *",INDIRECT("HI!$A:$G"),5,0))</f>
        <v>27453.899069999999</v>
      </c>
      <c r="E14" s="148">
        <f ca="1">IF(C14=0,0,D14/C14)</f>
        <v>0</v>
      </c>
    </row>
    <row r="15" spans="1:5" ht="14.45" customHeight="1" thickBot="1" x14ac:dyDescent="0.25">
      <c r="A15" s="160"/>
      <c r="B15" s="161"/>
      <c r="C15" s="162"/>
      <c r="D15" s="162"/>
      <c r="E15" s="163"/>
    </row>
    <row r="16" spans="1:5" ht="14.45" customHeight="1" thickBot="1" x14ac:dyDescent="0.25">
      <c r="A16" s="164" t="str">
        <f>HYPERLINK("#HI!A1","VÝNOSY CELKEM (v tisících)")</f>
        <v>VÝNOSY CELKEM (v tisících)</v>
      </c>
      <c r="B16" s="165"/>
      <c r="C16" s="166">
        <f ca="1">IF(ISERROR(VLOOKUP("Výnosy celkem",INDIRECT("HI!$A:$G"),6,0)),0,VLOOKUP("Výnosy celkem",INDIRECT("HI!$A:$G"),6,0))</f>
        <v>13151.187670000003</v>
      </c>
      <c r="D16" s="166">
        <f ca="1">IF(ISERROR(VLOOKUP("Výnosy celkem",INDIRECT("HI!$A:$G"),5,0)),0,VLOOKUP("Výnosy celkem",INDIRECT("HI!$A:$G"),5,0))</f>
        <v>14581.292109999995</v>
      </c>
      <c r="E16" s="167">
        <f t="shared" ref="E16:E19" ca="1" si="1">IF(C16=0,0,D16/C16)</f>
        <v>1.1087433679668561</v>
      </c>
    </row>
    <row r="17" spans="1:5" ht="14.45" customHeight="1" x14ac:dyDescent="0.2">
      <c r="A17" s="168" t="str">
        <f>HYPERLINK("#HI!A1","Ambulance (body za výkony + Kč za ZUM a ZULP)")</f>
        <v>Ambulance (body za výkony + Kč za ZUM a ZULP)</v>
      </c>
      <c r="B17" s="146"/>
      <c r="C17" s="147">
        <f ca="1">IF(ISERROR(VLOOKUP("Ambulance *",INDIRECT("HI!$A:$G"),6,0)),0,VLOOKUP("Ambulance *",INDIRECT("HI!$A:$G"),6,0))</f>
        <v>13151.187670000003</v>
      </c>
      <c r="D17" s="147">
        <f ca="1">IF(ISERROR(VLOOKUP("Ambulance *",INDIRECT("HI!$A:$G"),5,0)),0,VLOOKUP("Ambulance *",INDIRECT("HI!$A:$G"),5,0))</f>
        <v>14581.292109999995</v>
      </c>
      <c r="E17" s="148">
        <f t="shared" ca="1" si="1"/>
        <v>1.1087433679668561</v>
      </c>
    </row>
    <row r="18" spans="1:5" ht="14.45" customHeight="1" x14ac:dyDescent="0.25">
      <c r="A18" s="239" t="str">
        <f>HYPERLINK("#'ZV Vykáz.-A'!A1","Zdravotní výkony vykázané u ambulantních pacientů (min. 100 % 2016)")</f>
        <v>Zdravotní výkony vykázané u ambulantních pacientů (min. 100 % 2016)</v>
      </c>
      <c r="B18" s="240" t="s">
        <v>105</v>
      </c>
      <c r="C18" s="152">
        <v>1</v>
      </c>
      <c r="D18" s="152">
        <f>IF(ISERROR(VLOOKUP("Celkem:",'ZV Vykáz.-A'!$A:$AB,10,0)),"",VLOOKUP("Celkem:",'ZV Vykáz.-A'!$A:$AB,10,0))</f>
        <v>1.1087433679668561</v>
      </c>
      <c r="E18" s="148">
        <f t="shared" si="1"/>
        <v>1.1087433679668561</v>
      </c>
    </row>
    <row r="19" spans="1:5" ht="14.45" customHeight="1" x14ac:dyDescent="0.25">
      <c r="A19" s="238" t="str">
        <f>HYPERLINK("#'ZV Vykáz.-A'!A1","Specializovaná ambulantní péče")</f>
        <v>Specializovaná ambulantní péče</v>
      </c>
      <c r="B19" s="240" t="s">
        <v>105</v>
      </c>
      <c r="C19" s="152">
        <v>1</v>
      </c>
      <c r="D19" s="231">
        <f>IF(ISERROR(VLOOKUP("Specializovaná ambulantní péče",'ZV Vykáz.-A'!$A:$AB,10,0)),"",VLOOKUP("Specializovaná ambulantní péče",'ZV Vykáz.-A'!$A:$AB,10,0))</f>
        <v>1.1087433679668555</v>
      </c>
      <c r="E19" s="148">
        <f t="shared" si="1"/>
        <v>1.1087433679668555</v>
      </c>
    </row>
    <row r="20" spans="1:5" ht="14.45" customHeight="1" x14ac:dyDescent="0.25">
      <c r="A20" s="238" t="str">
        <f>HYPERLINK("#'ZV Vykáz.-A'!A1","Ambulantní péče ve vyjmenovaných odbornostech (§9)")</f>
        <v>Ambulantní péče ve vyjmenovaných odbornostech (§9)</v>
      </c>
      <c r="B20" s="240" t="s">
        <v>105</v>
      </c>
      <c r="C20" s="152">
        <v>1</v>
      </c>
      <c r="D20" s="231" t="str">
        <f>IF(ISERROR(VLOOKUP("Ambulantní péče ve vyjmenovaných odbornostech (§9) *",'ZV Vykáz.-A'!$A:$AB,10,0)),"",VLOOKUP("Ambulantní péče ve vyjmenovaných odbornostech (§9) *",'ZV Vykáz.-A'!$A:$AB,10,0))</f>
        <v/>
      </c>
      <c r="E20" s="148">
        <f>IF(OR(C20=0,D20=""),0,IF(C20="","",D20/C20))</f>
        <v>0</v>
      </c>
    </row>
    <row r="21" spans="1:5" ht="14.45" customHeight="1" x14ac:dyDescent="0.2">
      <c r="A21" s="169" t="str">
        <f>HYPERLINK("#HI!A1","Hospitalizace (casemix * 30000)")</f>
        <v>Hospitalizace (casemix * 30000)</v>
      </c>
      <c r="B21" s="150"/>
      <c r="C21" s="147">
        <f ca="1">IF(ISERROR(VLOOKUP("Hospitalizace *",INDIRECT("HI!$A:$G"),6,0)),0,VLOOKUP("Hospitalizace *",INDIRECT("HI!$A:$G"),6,0))</f>
        <v>0</v>
      </c>
      <c r="D21" s="147">
        <f ca="1">IF(ISERROR(VLOOKUP("Hospitalizace *",INDIRECT("HI!$A:$G"),5,0)),0,VLOOKUP("Hospitalizace *",INDIRECT("HI!$A:$G"),5,0))</f>
        <v>0</v>
      </c>
      <c r="E21" s="148">
        <f ca="1">IF(C21=0,0,D21/C21)</f>
        <v>0</v>
      </c>
    </row>
    <row r="22" spans="1:5" ht="14.45" customHeight="1" thickBot="1" x14ac:dyDescent="0.25">
      <c r="A22" s="170" t="s">
        <v>128</v>
      </c>
      <c r="B22" s="157"/>
      <c r="C22" s="158"/>
      <c r="D22" s="158"/>
      <c r="E22" s="159"/>
    </row>
    <row r="23" spans="1:5" ht="14.45" customHeight="1" thickBot="1" x14ac:dyDescent="0.25">
      <c r="A23" s="171"/>
      <c r="B23" s="172"/>
      <c r="C23" s="173"/>
      <c r="D23" s="173"/>
      <c r="E23" s="174"/>
    </row>
    <row r="24" spans="1:5" ht="14.45" customHeight="1" thickBot="1" x14ac:dyDescent="0.25">
      <c r="A24" s="175" t="s">
        <v>129</v>
      </c>
      <c r="B24" s="176"/>
      <c r="C24" s="177"/>
      <c r="D24" s="177"/>
      <c r="E24" s="178"/>
    </row>
  </sheetData>
  <mergeCells count="1">
    <mergeCell ref="A1:E1"/>
  </mergeCells>
  <conditionalFormatting sqref="E5">
    <cfRule type="cellIs" dxfId="58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7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6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5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1">
    <cfRule type="cellIs" dxfId="54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53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52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8 E18:E19">
    <cfRule type="cellIs" dxfId="51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 E20">
    <cfRule type="cellIs" dxfId="50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23F4284D-7211-4C3E-9880-61EC9F0FA2F1}"/>
  </hyperlinks>
  <pageMargins left="0.25" right="0.25" top="0.75" bottom="0.75" header="0.3" footer="0.3"/>
  <pageSetup paperSize="9" fitToHeight="0" orientation="landscape" r:id="rId1"/>
  <ignoredErrors>
    <ignoredError sqref="E18:E19" evalError="1"/>
    <ignoredError sqref="E2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14" bestFit="1" customWidth="1"/>
    <col min="2" max="2" width="9.5703125" style="114" hidden="1" customWidth="1" outlineLevel="1"/>
    <col min="3" max="3" width="9.5703125" style="114" customWidth="1" collapsed="1"/>
    <col min="4" max="4" width="2.28515625" style="114" customWidth="1"/>
    <col min="5" max="8" width="9.5703125" style="114" customWidth="1"/>
    <col min="9" max="10" width="9.7109375" style="114" hidden="1" customWidth="1" outlineLevel="1"/>
    <col min="11" max="11" width="8.85546875" style="114" collapsed="1"/>
    <col min="12" max="16384" width="8.85546875" style="114"/>
  </cols>
  <sheetData>
    <row r="1" spans="1:10" ht="18.600000000000001" customHeight="1" thickBot="1" x14ac:dyDescent="0.35">
      <c r="A1" s="315" t="s">
        <v>116</v>
      </c>
      <c r="B1" s="315"/>
      <c r="C1" s="315"/>
      <c r="D1" s="315"/>
      <c r="E1" s="315"/>
      <c r="F1" s="315"/>
      <c r="G1" s="315"/>
      <c r="H1" s="315"/>
      <c r="I1" s="315"/>
      <c r="J1" s="315"/>
    </row>
    <row r="2" spans="1:10" ht="14.45" customHeight="1" thickBot="1" x14ac:dyDescent="0.25">
      <c r="A2" s="207" t="s">
        <v>242</v>
      </c>
      <c r="B2" s="96"/>
      <c r="C2" s="96"/>
      <c r="D2" s="96"/>
      <c r="E2" s="96"/>
      <c r="F2" s="96"/>
    </row>
    <row r="3" spans="1:10" ht="14.45" customHeight="1" x14ac:dyDescent="0.2">
      <c r="A3" s="306"/>
      <c r="B3" s="92">
        <v>2018</v>
      </c>
      <c r="C3" s="40">
        <v>2019</v>
      </c>
      <c r="D3" s="7"/>
      <c r="E3" s="310">
        <v>2020</v>
      </c>
      <c r="F3" s="311"/>
      <c r="G3" s="311"/>
      <c r="H3" s="312"/>
      <c r="I3" s="313">
        <v>2017</v>
      </c>
      <c r="J3" s="314"/>
    </row>
    <row r="4" spans="1:10" ht="14.45" customHeight="1" thickBot="1" x14ac:dyDescent="0.25">
      <c r="A4" s="307"/>
      <c r="B4" s="308" t="s">
        <v>59</v>
      </c>
      <c r="C4" s="309"/>
      <c r="D4" s="7"/>
      <c r="E4" s="113" t="s">
        <v>59</v>
      </c>
      <c r="F4" s="94" t="s">
        <v>60</v>
      </c>
      <c r="G4" s="94" t="s">
        <v>54</v>
      </c>
      <c r="H4" s="95" t="s">
        <v>61</v>
      </c>
      <c r="I4" s="243" t="s">
        <v>239</v>
      </c>
      <c r="J4" s="244" t="s">
        <v>240</v>
      </c>
    </row>
    <row r="5" spans="1:10" ht="14.45" customHeight="1" x14ac:dyDescent="0.2">
      <c r="A5" s="97" t="str">
        <f>HYPERLINK("#'Léky Žádanky'!A1","Léky (Kč)")</f>
        <v>Léky (Kč)</v>
      </c>
      <c r="B5" s="27">
        <v>222.89494999999999</v>
      </c>
      <c r="C5" s="29">
        <v>246.01143999999999</v>
      </c>
      <c r="D5" s="8"/>
      <c r="E5" s="102">
        <v>199.33816999999999</v>
      </c>
      <c r="F5" s="28">
        <v>0</v>
      </c>
      <c r="G5" s="101">
        <f>E5-F5</f>
        <v>199.33816999999999</v>
      </c>
      <c r="H5" s="107" t="str">
        <f>IF(F5&lt;0.00000001,"",E5/F5)</f>
        <v/>
      </c>
    </row>
    <row r="6" spans="1:10" ht="14.45" customHeight="1" x14ac:dyDescent="0.2">
      <c r="A6" s="97" t="str">
        <f>HYPERLINK("#'Materiál Žádanky'!A1","Materiál - SZM (Kč)")</f>
        <v>Materiál - SZM (Kč)</v>
      </c>
      <c r="B6" s="10">
        <v>2313.600570000001</v>
      </c>
      <c r="C6" s="31">
        <v>2105.5773399999998</v>
      </c>
      <c r="D6" s="8"/>
      <c r="E6" s="103">
        <v>1880.1122899999987</v>
      </c>
      <c r="F6" s="30">
        <v>0</v>
      </c>
      <c r="G6" s="104">
        <f>E6-F6</f>
        <v>1880.1122899999987</v>
      </c>
      <c r="H6" s="108" t="str">
        <f>IF(F6&lt;0.00000001,"",E6/F6)</f>
        <v/>
      </c>
    </row>
    <row r="7" spans="1:10" ht="14.45" customHeight="1" x14ac:dyDescent="0.2">
      <c r="A7" s="97" t="str">
        <f>HYPERLINK("#'Osobní náklady'!A1","Osobní náklady (Kč) *")</f>
        <v>Osobní náklady (Kč) *</v>
      </c>
      <c r="B7" s="10">
        <v>24987.491309999998</v>
      </c>
      <c r="C7" s="31">
        <v>26976.395</v>
      </c>
      <c r="D7" s="8"/>
      <c r="E7" s="103">
        <v>27453.899069999999</v>
      </c>
      <c r="F7" s="30">
        <v>0</v>
      </c>
      <c r="G7" s="104">
        <f>E7-F7</f>
        <v>27453.899069999999</v>
      </c>
      <c r="H7" s="108" t="str">
        <f>IF(F7&lt;0.00000001,"",E7/F7)</f>
        <v/>
      </c>
    </row>
    <row r="8" spans="1:10" ht="14.45" customHeight="1" thickBot="1" x14ac:dyDescent="0.25">
      <c r="A8" s="1" t="s">
        <v>62</v>
      </c>
      <c r="B8" s="11">
        <v>5577.584150000006</v>
      </c>
      <c r="C8" s="33">
        <v>5398.5559400000002</v>
      </c>
      <c r="D8" s="8"/>
      <c r="E8" s="105">
        <v>5415.8722500000022</v>
      </c>
      <c r="F8" s="32">
        <v>0</v>
      </c>
      <c r="G8" s="106">
        <f>E8-F8</f>
        <v>5415.8722500000022</v>
      </c>
      <c r="H8" s="109" t="str">
        <f>IF(F8&lt;0.00000001,"",E8/F8)</f>
        <v/>
      </c>
    </row>
    <row r="9" spans="1:10" ht="14.45" customHeight="1" thickBot="1" x14ac:dyDescent="0.25">
      <c r="A9" s="2" t="s">
        <v>63</v>
      </c>
      <c r="B9" s="3">
        <v>33101.570980000004</v>
      </c>
      <c r="C9" s="35">
        <v>34726.539720000001</v>
      </c>
      <c r="D9" s="8"/>
      <c r="E9" s="3">
        <v>34949.22178</v>
      </c>
      <c r="F9" s="34">
        <v>0</v>
      </c>
      <c r="G9" s="34">
        <f>E9-F9</f>
        <v>34949.22178</v>
      </c>
      <c r="H9" s="110" t="str">
        <f>IF(F9&lt;0.00000001,"",E9/F9)</f>
        <v/>
      </c>
    </row>
    <row r="10" spans="1:10" ht="14.45" customHeight="1" thickBot="1" x14ac:dyDescent="0.25">
      <c r="A10" s="12"/>
      <c r="B10" s="12"/>
      <c r="C10" s="93"/>
      <c r="D10" s="8"/>
      <c r="E10" s="12"/>
      <c r="F10" s="13"/>
    </row>
    <row r="11" spans="1:10" ht="14.45" customHeight="1" x14ac:dyDescent="0.2">
      <c r="A11" s="117" t="str">
        <f>HYPERLINK("#'ZV Vykáz.-A'!A1","Ambulance *")</f>
        <v>Ambulance *</v>
      </c>
      <c r="B11" s="9">
        <f>IF(ISERROR(VLOOKUP("Celkem:",'ZV Vykáz.-A'!A:H,2,0)),0,VLOOKUP("Celkem:",'ZV Vykáz.-A'!A:H,2,0)/1000)</f>
        <v>13639.17887</v>
      </c>
      <c r="C11" s="29">
        <f>IF(ISERROR(VLOOKUP("Celkem:",'ZV Vykáz.-A'!A:H,5,0)),0,VLOOKUP("Celkem:",'ZV Vykáz.-A'!A:H,5,0)/1000)</f>
        <v>13151.187670000003</v>
      </c>
      <c r="D11" s="8"/>
      <c r="E11" s="102">
        <f>IF(ISERROR(VLOOKUP("Celkem:",'ZV Vykáz.-A'!A:H,8,0)),0,VLOOKUP("Celkem:",'ZV Vykáz.-A'!A:H,8,0)/1000)</f>
        <v>14581.292109999995</v>
      </c>
      <c r="F11" s="28">
        <f>C11</f>
        <v>13151.187670000003</v>
      </c>
      <c r="G11" s="101">
        <f>E11-F11</f>
        <v>1430.1044399999919</v>
      </c>
      <c r="H11" s="107">
        <f>IF(F11&lt;0.00000001,"",E11/F11)</f>
        <v>1.1087433679668561</v>
      </c>
      <c r="I11" s="101">
        <f>E11-B11</f>
        <v>942.11323999999513</v>
      </c>
      <c r="J11" s="107">
        <f>IF(B11&lt;0.00000001,"",E11/B11)</f>
        <v>1.069074043898069</v>
      </c>
    </row>
    <row r="12" spans="1:10" ht="14.45" customHeight="1" thickBot="1" x14ac:dyDescent="0.25">
      <c r="A12" s="118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5">
        <f>IF(ISERROR(VLOOKUP("Celkem",#REF!,4,0)),0,VLOOKUP("Celkem",#REF!,4,0)*30)</f>
        <v>0</v>
      </c>
      <c r="F12" s="32">
        <f>C12</f>
        <v>0</v>
      </c>
      <c r="G12" s="106">
        <f>E12-F12</f>
        <v>0</v>
      </c>
      <c r="H12" s="109" t="str">
        <f>IF(F12&lt;0.00000001,"",E12/F12)</f>
        <v/>
      </c>
      <c r="I12" s="106">
        <f>E12-B12</f>
        <v>0</v>
      </c>
      <c r="J12" s="109" t="str">
        <f>IF(B12&lt;0.00000001,"",E12/B12)</f>
        <v/>
      </c>
    </row>
    <row r="13" spans="1:10" ht="14.45" customHeight="1" thickBot="1" x14ac:dyDescent="0.25">
      <c r="A13" s="4" t="s">
        <v>66</v>
      </c>
      <c r="B13" s="5">
        <f>SUM(B11:B12)</f>
        <v>13639.17887</v>
      </c>
      <c r="C13" s="37">
        <f>SUM(C11:C12)</f>
        <v>13151.187670000003</v>
      </c>
      <c r="D13" s="8"/>
      <c r="E13" s="5">
        <f>SUM(E11:E12)</f>
        <v>14581.292109999995</v>
      </c>
      <c r="F13" s="36">
        <f>SUM(F11:F12)</f>
        <v>13151.187670000003</v>
      </c>
      <c r="G13" s="36">
        <f>E13-F13</f>
        <v>1430.1044399999919</v>
      </c>
      <c r="H13" s="111">
        <f>IF(F13&lt;0.00000001,"",E13/F13)</f>
        <v>1.1087433679668561</v>
      </c>
      <c r="I13" s="36">
        <f>SUM(I11:I12)</f>
        <v>942.11323999999513</v>
      </c>
      <c r="J13" s="111">
        <f>IF(B13&lt;0.00000001,"",E13/B13)</f>
        <v>1.069074043898069</v>
      </c>
    </row>
    <row r="14" spans="1:10" ht="14.45" customHeight="1" thickBot="1" x14ac:dyDescent="0.25">
      <c r="A14" s="12"/>
      <c r="B14" s="12"/>
      <c r="C14" s="93"/>
      <c r="D14" s="8"/>
      <c r="E14" s="12"/>
      <c r="F14" s="13"/>
    </row>
    <row r="15" spans="1:10" ht="14.45" customHeight="1" thickBot="1" x14ac:dyDescent="0.25">
      <c r="A15" s="119" t="str">
        <f>HYPERLINK("#'HI Graf'!A1","Hospodářský index (Výnosy / Náklady) *")</f>
        <v>Hospodářský index (Výnosy / Náklady) *</v>
      </c>
      <c r="B15" s="6">
        <f>IF(B9=0,"",B13/B9)</f>
        <v>0.41204022849069016</v>
      </c>
      <c r="C15" s="39">
        <f>IF(C9=0,"",C13/C9)</f>
        <v>0.3787071149627344</v>
      </c>
      <c r="D15" s="8"/>
      <c r="E15" s="6">
        <f>IF(E9=0,"",E13/E9)</f>
        <v>0.41721364217455242</v>
      </c>
      <c r="F15" s="38" t="str">
        <f>IF(F9=0,"",F13/F9)</f>
        <v/>
      </c>
      <c r="G15" s="38" t="str">
        <f>IF(ISERROR(F15-E15),"",E15-F15)</f>
        <v/>
      </c>
      <c r="H15" s="112" t="str">
        <f>IF(ISERROR(F15-E15),"",IF(F15&lt;0.00000001,"",E15/F15))</f>
        <v/>
      </c>
    </row>
    <row r="17" spans="1:8" ht="14.45" customHeight="1" x14ac:dyDescent="0.2">
      <c r="A17" s="98" t="s">
        <v>133</v>
      </c>
    </row>
    <row r="18" spans="1:8" ht="14.45" customHeight="1" x14ac:dyDescent="0.25">
      <c r="A18" s="210" t="s">
        <v>160</v>
      </c>
      <c r="B18" s="211"/>
      <c r="C18" s="211"/>
      <c r="D18" s="211"/>
      <c r="E18" s="211"/>
      <c r="F18" s="211"/>
      <c r="G18" s="211"/>
      <c r="H18" s="211"/>
    </row>
    <row r="19" spans="1:8" ht="15" x14ac:dyDescent="0.25">
      <c r="A19" s="209" t="s">
        <v>159</v>
      </c>
      <c r="B19" s="211"/>
      <c r="C19" s="211"/>
      <c r="D19" s="211"/>
      <c r="E19" s="211"/>
      <c r="F19" s="211"/>
      <c r="G19" s="211"/>
      <c r="H19" s="211"/>
    </row>
    <row r="20" spans="1:8" ht="14.45" customHeight="1" x14ac:dyDescent="0.2">
      <c r="A20" s="99" t="s">
        <v>179</v>
      </c>
    </row>
    <row r="21" spans="1:8" ht="14.45" customHeight="1" x14ac:dyDescent="0.2">
      <c r="A21" s="99" t="s">
        <v>134</v>
      </c>
    </row>
    <row r="22" spans="1:8" ht="14.45" customHeight="1" x14ac:dyDescent="0.2">
      <c r="A22" s="100" t="s">
        <v>218</v>
      </c>
    </row>
    <row r="23" spans="1:8" ht="14.45" customHeight="1" x14ac:dyDescent="0.2">
      <c r="A23" s="100" t="s">
        <v>135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9" priority="8" operator="greaterThan">
      <formula>0</formula>
    </cfRule>
  </conditionalFormatting>
  <conditionalFormatting sqref="G11:G13 G15">
    <cfRule type="cellIs" dxfId="48" priority="7" operator="lessThan">
      <formula>0</formula>
    </cfRule>
  </conditionalFormatting>
  <conditionalFormatting sqref="H5:H9">
    <cfRule type="cellIs" dxfId="47" priority="6" operator="greaterThan">
      <formula>1</formula>
    </cfRule>
  </conditionalFormatting>
  <conditionalFormatting sqref="H11:H13 H15">
    <cfRule type="cellIs" dxfId="46" priority="5" operator="lessThan">
      <formula>1</formula>
    </cfRule>
  </conditionalFormatting>
  <conditionalFormatting sqref="I11:I13">
    <cfRule type="cellIs" dxfId="45" priority="4" operator="lessThan">
      <formula>0</formula>
    </cfRule>
  </conditionalFormatting>
  <conditionalFormatting sqref="J11:J13">
    <cfRule type="cellIs" dxfId="44" priority="3" operator="lessThan">
      <formula>1</formula>
    </cfRule>
  </conditionalFormatting>
  <hyperlinks>
    <hyperlink ref="A2" location="Obsah!A1" display="Zpět na Obsah  KL 01  1.-4.měsíc" xr:uid="{6E9659CC-361D-4CC1-9BBC-6B8B682E05E1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14"/>
    <col min="2" max="13" width="8.85546875" style="114" customWidth="1"/>
    <col min="14" max="16384" width="8.85546875" style="114"/>
  </cols>
  <sheetData>
    <row r="1" spans="1:13" ht="18.600000000000001" customHeight="1" thickBot="1" x14ac:dyDescent="0.35">
      <c r="A1" s="304" t="s">
        <v>89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</row>
    <row r="2" spans="1:13" ht="14.45" customHeight="1" x14ac:dyDescent="0.2">
      <c r="A2" s="207" t="s">
        <v>242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</row>
    <row r="3" spans="1:13" ht="14.45" customHeight="1" x14ac:dyDescent="0.2">
      <c r="A3" s="180"/>
      <c r="B3" s="181" t="s">
        <v>68</v>
      </c>
      <c r="C3" s="182" t="s">
        <v>69</v>
      </c>
      <c r="D3" s="182" t="s">
        <v>70</v>
      </c>
      <c r="E3" s="181" t="s">
        <v>71</v>
      </c>
      <c r="F3" s="182" t="s">
        <v>72</v>
      </c>
      <c r="G3" s="182" t="s">
        <v>73</v>
      </c>
      <c r="H3" s="182" t="s">
        <v>74</v>
      </c>
      <c r="I3" s="182" t="s">
        <v>75</v>
      </c>
      <c r="J3" s="182" t="s">
        <v>76</v>
      </c>
      <c r="K3" s="182" t="s">
        <v>77</v>
      </c>
      <c r="L3" s="182" t="s">
        <v>78</v>
      </c>
      <c r="M3" s="182" t="s">
        <v>79</v>
      </c>
    </row>
    <row r="4" spans="1:13" ht="14.45" customHeight="1" x14ac:dyDescent="0.2">
      <c r="A4" s="180" t="s">
        <v>67</v>
      </c>
      <c r="B4" s="183">
        <f>(B10+B8)/B6</f>
        <v>0.60517631263241145</v>
      </c>
      <c r="C4" s="183">
        <f t="shared" ref="C4:M4" si="0">(C10+C8)/C6</f>
        <v>0.56215582785833973</v>
      </c>
      <c r="D4" s="183">
        <f t="shared" si="0"/>
        <v>0.47603818983008039</v>
      </c>
      <c r="E4" s="183">
        <f t="shared" si="0"/>
        <v>0.4061415386559617</v>
      </c>
      <c r="F4" s="183">
        <f t="shared" si="0"/>
        <v>0.40661195669566308</v>
      </c>
      <c r="G4" s="183">
        <f t="shared" si="0"/>
        <v>0.4214046432618882</v>
      </c>
      <c r="H4" s="183">
        <f t="shared" si="0"/>
        <v>0.4134951748944653</v>
      </c>
      <c r="I4" s="183">
        <f t="shared" si="0"/>
        <v>0.40670993539448208</v>
      </c>
      <c r="J4" s="183">
        <f t="shared" si="0"/>
        <v>0.41721363158776464</v>
      </c>
      <c r="K4" s="183">
        <f t="shared" si="0"/>
        <v>0.41721363158776464</v>
      </c>
      <c r="L4" s="183">
        <f t="shared" si="0"/>
        <v>0.41721363158776464</v>
      </c>
      <c r="M4" s="183">
        <f t="shared" si="0"/>
        <v>0.41721363158776464</v>
      </c>
    </row>
    <row r="5" spans="1:13" ht="14.45" customHeight="1" x14ac:dyDescent="0.2">
      <c r="A5" s="184" t="s">
        <v>40</v>
      </c>
      <c r="B5" s="183">
        <f>IF(ISERROR(VLOOKUP($A5,'Man Tab'!$A:$Q,COLUMN()+2,0)),0,VLOOKUP($A5,'Man Tab'!$A:$Q,COLUMN()+2,0))</f>
        <v>3656.8973599999999</v>
      </c>
      <c r="C5" s="183">
        <f>IF(ISERROR(VLOOKUP($A5,'Man Tab'!$A:$Q,COLUMN()+2,0)),0,VLOOKUP($A5,'Man Tab'!$A:$Q,COLUMN()+2,0))</f>
        <v>3989.59238</v>
      </c>
      <c r="D5" s="183">
        <f>IF(ISERROR(VLOOKUP($A5,'Man Tab'!$A:$Q,COLUMN()+2,0)),0,VLOOKUP($A5,'Man Tab'!$A:$Q,COLUMN()+2,0))</f>
        <v>3902.74206</v>
      </c>
      <c r="E5" s="183">
        <f>IF(ISERROR(VLOOKUP($A5,'Man Tab'!$A:$Q,COLUMN()+2,0)),0,VLOOKUP($A5,'Man Tab'!$A:$Q,COLUMN()+2,0))</f>
        <v>3380.9290499999997</v>
      </c>
      <c r="F5" s="183">
        <f>IF(ISERROR(VLOOKUP($A5,'Man Tab'!$A:$Q,COLUMN()+2,0)),0,VLOOKUP($A5,'Man Tab'!$A:$Q,COLUMN()+2,0))</f>
        <v>3468.3159700000001</v>
      </c>
      <c r="G5" s="183">
        <f>IF(ISERROR(VLOOKUP($A5,'Man Tab'!$A:$Q,COLUMN()+2,0)),0,VLOOKUP($A5,'Man Tab'!$A:$Q,COLUMN()+2,0))</f>
        <v>4058.1746699999999</v>
      </c>
      <c r="H5" s="183">
        <f>IF(ISERROR(VLOOKUP($A5,'Man Tab'!$A:$Q,COLUMN()+2,0)),0,VLOOKUP($A5,'Man Tab'!$A:$Q,COLUMN()+2,0))</f>
        <v>5019.1050599999999</v>
      </c>
      <c r="I5" s="183">
        <f>IF(ISERROR(VLOOKUP($A5,'Man Tab'!$A:$Q,COLUMN()+2,0)),0,VLOOKUP($A5,'Man Tab'!$A:$Q,COLUMN()+2,0))</f>
        <v>3837.4897999999998</v>
      </c>
      <c r="J5" s="183">
        <f>IF(ISERROR(VLOOKUP($A5,'Man Tab'!$A:$Q,COLUMN()+2,0)),0,VLOOKUP($A5,'Man Tab'!$A:$Q,COLUMN()+2,0))</f>
        <v>3635.97543</v>
      </c>
      <c r="K5" s="183">
        <f>IF(ISERROR(VLOOKUP($A5,'Man Tab'!$A:$Q,COLUMN()+2,0)),0,VLOOKUP($A5,'Man Tab'!$A:$Q,COLUMN()+2,0))</f>
        <v>0</v>
      </c>
      <c r="L5" s="183">
        <f>IF(ISERROR(VLOOKUP($A5,'Man Tab'!$A:$Q,COLUMN()+2,0)),0,VLOOKUP($A5,'Man Tab'!$A:$Q,COLUMN()+2,0))</f>
        <v>0</v>
      </c>
      <c r="M5" s="183">
        <f>IF(ISERROR(VLOOKUP($A5,'Man Tab'!$A:$Q,COLUMN()+2,0)),0,VLOOKUP($A5,'Man Tab'!$A:$Q,COLUMN()+2,0))</f>
        <v>0</v>
      </c>
    </row>
    <row r="6" spans="1:13" ht="14.45" customHeight="1" x14ac:dyDescent="0.2">
      <c r="A6" s="184" t="s">
        <v>63</v>
      </c>
      <c r="B6" s="185">
        <f>B5</f>
        <v>3656.8973599999999</v>
      </c>
      <c r="C6" s="185">
        <f t="shared" ref="C6:M6" si="1">C5+B6</f>
        <v>7646.48974</v>
      </c>
      <c r="D6" s="185">
        <f t="shared" si="1"/>
        <v>11549.2318</v>
      </c>
      <c r="E6" s="185">
        <f t="shared" si="1"/>
        <v>14930.16085</v>
      </c>
      <c r="F6" s="185">
        <f t="shared" si="1"/>
        <v>18398.47682</v>
      </c>
      <c r="G6" s="185">
        <f t="shared" si="1"/>
        <v>22456.65149</v>
      </c>
      <c r="H6" s="185">
        <f t="shared" si="1"/>
        <v>27475.756549999998</v>
      </c>
      <c r="I6" s="185">
        <f t="shared" si="1"/>
        <v>31313.246349999998</v>
      </c>
      <c r="J6" s="185">
        <f t="shared" si="1"/>
        <v>34949.22178</v>
      </c>
      <c r="K6" s="185">
        <f t="shared" si="1"/>
        <v>34949.22178</v>
      </c>
      <c r="L6" s="185">
        <f t="shared" si="1"/>
        <v>34949.22178</v>
      </c>
      <c r="M6" s="185">
        <f t="shared" si="1"/>
        <v>34949.22178</v>
      </c>
    </row>
    <row r="7" spans="1:13" ht="14.45" customHeight="1" x14ac:dyDescent="0.2">
      <c r="A7" s="184" t="s">
        <v>87</v>
      </c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</row>
    <row r="8" spans="1:13" ht="14.45" customHeight="1" x14ac:dyDescent="0.2">
      <c r="A8" s="184" t="s">
        <v>64</v>
      </c>
      <c r="B8" s="185">
        <f>B7*30</f>
        <v>0</v>
      </c>
      <c r="C8" s="185">
        <f t="shared" ref="C8:M8" si="2">C7*30</f>
        <v>0</v>
      </c>
      <c r="D8" s="185">
        <f t="shared" si="2"/>
        <v>0</v>
      </c>
      <c r="E8" s="185">
        <f t="shared" si="2"/>
        <v>0</v>
      </c>
      <c r="F8" s="185">
        <f t="shared" si="2"/>
        <v>0</v>
      </c>
      <c r="G8" s="185">
        <f t="shared" si="2"/>
        <v>0</v>
      </c>
      <c r="H8" s="185">
        <f t="shared" si="2"/>
        <v>0</v>
      </c>
      <c r="I8" s="185">
        <f t="shared" si="2"/>
        <v>0</v>
      </c>
      <c r="J8" s="185">
        <f t="shared" si="2"/>
        <v>0</v>
      </c>
      <c r="K8" s="185">
        <f t="shared" si="2"/>
        <v>0</v>
      </c>
      <c r="L8" s="185">
        <f t="shared" si="2"/>
        <v>0</v>
      </c>
      <c r="M8" s="185">
        <f t="shared" si="2"/>
        <v>0</v>
      </c>
    </row>
    <row r="9" spans="1:13" ht="14.45" customHeight="1" x14ac:dyDescent="0.2">
      <c r="A9" s="184" t="s">
        <v>88</v>
      </c>
      <c r="B9" s="184">
        <v>2213067.66</v>
      </c>
      <c r="C9" s="184">
        <v>2085451.1100000003</v>
      </c>
      <c r="D9" s="184">
        <v>1199356.6299999999</v>
      </c>
      <c r="E9" s="184">
        <v>565883.09999999986</v>
      </c>
      <c r="F9" s="184">
        <v>1417282.1599999997</v>
      </c>
      <c r="G9" s="184">
        <v>1982296.5499999998</v>
      </c>
      <c r="H9" s="184">
        <v>1897755.55</v>
      </c>
      <c r="I9" s="184">
        <v>1374315.6400000004</v>
      </c>
      <c r="J9" s="184">
        <v>1845883.3399999999</v>
      </c>
      <c r="K9" s="184">
        <v>0</v>
      </c>
      <c r="L9" s="184">
        <v>0</v>
      </c>
      <c r="M9" s="184">
        <v>0</v>
      </c>
    </row>
    <row r="10" spans="1:13" ht="14.45" customHeight="1" x14ac:dyDescent="0.2">
      <c r="A10" s="184" t="s">
        <v>65</v>
      </c>
      <c r="B10" s="185">
        <f>B9/1000</f>
        <v>2213.0676600000002</v>
      </c>
      <c r="C10" s="185">
        <f t="shared" ref="C10:M10" si="3">C9/1000+B10</f>
        <v>4298.5187700000006</v>
      </c>
      <c r="D10" s="185">
        <f t="shared" si="3"/>
        <v>5497.8754000000008</v>
      </c>
      <c r="E10" s="185">
        <f t="shared" si="3"/>
        <v>6063.7585000000008</v>
      </c>
      <c r="F10" s="185">
        <f t="shared" si="3"/>
        <v>7481.0406600000006</v>
      </c>
      <c r="G10" s="185">
        <f t="shared" si="3"/>
        <v>9463.3372099999997</v>
      </c>
      <c r="H10" s="185">
        <f t="shared" si="3"/>
        <v>11361.09276</v>
      </c>
      <c r="I10" s="185">
        <f t="shared" si="3"/>
        <v>12735.4084</v>
      </c>
      <c r="J10" s="185">
        <f t="shared" si="3"/>
        <v>14581.291740000001</v>
      </c>
      <c r="K10" s="185">
        <f t="shared" si="3"/>
        <v>14581.291740000001</v>
      </c>
      <c r="L10" s="185">
        <f t="shared" si="3"/>
        <v>14581.291740000001</v>
      </c>
      <c r="M10" s="185">
        <f t="shared" si="3"/>
        <v>14581.291740000001</v>
      </c>
    </row>
    <row r="11" spans="1:13" ht="14.45" customHeight="1" x14ac:dyDescent="0.2">
      <c r="A11" s="180"/>
      <c r="B11" s="180" t="s">
        <v>80</v>
      </c>
      <c r="C11" s="180">
        <f ca="1">IF(MONTH(TODAY())=1,12,MONTH(TODAY())-1)</f>
        <v>9</v>
      </c>
      <c r="D11" s="180"/>
      <c r="E11" s="180"/>
      <c r="F11" s="180"/>
      <c r="G11" s="180"/>
      <c r="H11" s="180"/>
      <c r="I11" s="180"/>
      <c r="J11" s="180"/>
      <c r="K11" s="180"/>
      <c r="L11" s="180"/>
      <c r="M11" s="180"/>
    </row>
    <row r="12" spans="1:13" ht="14.45" customHeight="1" x14ac:dyDescent="0.2">
      <c r="A12" s="180">
        <v>0</v>
      </c>
      <c r="B12" s="183" t="str">
        <f>IF(ISERROR(HI!F15),#REF!,HI!F15)</f>
        <v/>
      </c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</row>
    <row r="13" spans="1:13" ht="14.45" customHeight="1" x14ac:dyDescent="0.2">
      <c r="A13" s="180">
        <v>1</v>
      </c>
      <c r="B13" s="183" t="str">
        <f>IF(ISERROR(HI!F15),#REF!,HI!F15)</f>
        <v/>
      </c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</row>
  </sheetData>
  <mergeCells count="1">
    <mergeCell ref="A1:M1"/>
  </mergeCells>
  <hyperlinks>
    <hyperlink ref="A2" location="Obsah!A1" display="Zpět na Obsah  KL 01  1.-4.měsíc" xr:uid="{2B39D512-1959-4CF2-9285-B0081B6BF26A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14" bestFit="1" customWidth="1"/>
    <col min="2" max="2" width="12.7109375" style="114" bestFit="1" customWidth="1"/>
    <col min="3" max="3" width="13.7109375" style="114" bestFit="1" customWidth="1"/>
    <col min="4" max="15" width="7.7109375" style="114" bestFit="1" customWidth="1"/>
    <col min="16" max="16" width="8.85546875" style="114" customWidth="1"/>
    <col min="17" max="17" width="6.7109375" style="114" bestFit="1" customWidth="1"/>
    <col min="18" max="16384" width="8.85546875" style="114"/>
  </cols>
  <sheetData>
    <row r="1" spans="1:17" s="186" customFormat="1" ht="18.600000000000001" customHeight="1" thickBot="1" x14ac:dyDescent="0.35">
      <c r="A1" s="316" t="s">
        <v>244</v>
      </c>
      <c r="B1" s="316"/>
      <c r="C1" s="316"/>
      <c r="D1" s="316"/>
      <c r="E1" s="316"/>
      <c r="F1" s="316"/>
      <c r="G1" s="316"/>
      <c r="H1" s="304"/>
      <c r="I1" s="304"/>
      <c r="J1" s="304"/>
      <c r="K1" s="304"/>
      <c r="L1" s="304"/>
      <c r="M1" s="304"/>
      <c r="N1" s="304"/>
      <c r="O1" s="304"/>
      <c r="P1" s="304"/>
      <c r="Q1" s="304"/>
    </row>
    <row r="2" spans="1:17" s="186" customFormat="1" ht="14.45" customHeight="1" thickBot="1" x14ac:dyDescent="0.25">
      <c r="A2" s="207" t="s">
        <v>242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</row>
    <row r="3" spans="1:17" ht="14.45" customHeight="1" x14ac:dyDescent="0.2">
      <c r="A3" s="68"/>
      <c r="B3" s="317" t="s">
        <v>16</v>
      </c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122"/>
      <c r="Q3" s="124"/>
    </row>
    <row r="4" spans="1:17" ht="14.45" customHeight="1" x14ac:dyDescent="0.2">
      <c r="A4" s="69"/>
      <c r="B4" s="20">
        <v>2020</v>
      </c>
      <c r="C4" s="123" t="s">
        <v>17</v>
      </c>
      <c r="D4" s="237" t="s">
        <v>219</v>
      </c>
      <c r="E4" s="237" t="s">
        <v>220</v>
      </c>
      <c r="F4" s="237" t="s">
        <v>221</v>
      </c>
      <c r="G4" s="237" t="s">
        <v>222</v>
      </c>
      <c r="H4" s="237" t="s">
        <v>223</v>
      </c>
      <c r="I4" s="237" t="s">
        <v>224</v>
      </c>
      <c r="J4" s="237" t="s">
        <v>225</v>
      </c>
      <c r="K4" s="237" t="s">
        <v>226</v>
      </c>
      <c r="L4" s="237" t="s">
        <v>227</v>
      </c>
      <c r="M4" s="237" t="s">
        <v>228</v>
      </c>
      <c r="N4" s="237" t="s">
        <v>229</v>
      </c>
      <c r="O4" s="237" t="s">
        <v>230</v>
      </c>
      <c r="P4" s="319" t="s">
        <v>3</v>
      </c>
      <c r="Q4" s="320"/>
    </row>
    <row r="5" spans="1:17" ht="14.45" customHeight="1" thickBot="1" x14ac:dyDescent="0.2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5" customHeight="1" x14ac:dyDescent="0.2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243</v>
      </c>
    </row>
    <row r="7" spans="1:17" ht="14.45" customHeight="1" x14ac:dyDescent="0.2">
      <c r="A7" s="15" t="s">
        <v>22</v>
      </c>
      <c r="B7" s="51">
        <v>383.00000010000002</v>
      </c>
      <c r="C7" s="52">
        <v>31.916666675000002</v>
      </c>
      <c r="D7" s="52">
        <v>0.59524999999999995</v>
      </c>
      <c r="E7" s="52">
        <v>28.70861</v>
      </c>
      <c r="F7" s="52">
        <v>49.04645</v>
      </c>
      <c r="G7" s="52">
        <v>5.9284999999999997</v>
      </c>
      <c r="H7" s="52">
        <v>12.306329999999999</v>
      </c>
      <c r="I7" s="52">
        <v>35.39143</v>
      </c>
      <c r="J7" s="52">
        <v>32.634839999999997</v>
      </c>
      <c r="K7" s="52">
        <v>8.1189999999999998</v>
      </c>
      <c r="L7" s="52">
        <v>26.607759999999999</v>
      </c>
      <c r="M7" s="52">
        <v>0</v>
      </c>
      <c r="N7" s="52">
        <v>0</v>
      </c>
      <c r="O7" s="52">
        <v>0</v>
      </c>
      <c r="P7" s="53">
        <v>199.33816999999999</v>
      </c>
      <c r="Q7" s="81">
        <v>0.52046519568656258</v>
      </c>
    </row>
    <row r="8" spans="1:17" ht="14.45" customHeight="1" x14ac:dyDescent="0.2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243</v>
      </c>
    </row>
    <row r="9" spans="1:17" ht="14.45" customHeight="1" x14ac:dyDescent="0.2">
      <c r="A9" s="15" t="s">
        <v>24</v>
      </c>
      <c r="B9" s="51">
        <v>3679.9999999000001</v>
      </c>
      <c r="C9" s="52">
        <v>306.66666665833333</v>
      </c>
      <c r="D9" s="52">
        <v>152.64520999999999</v>
      </c>
      <c r="E9" s="52">
        <v>274.19453000000004</v>
      </c>
      <c r="F9" s="52">
        <v>226.95050000000001</v>
      </c>
      <c r="G9" s="52">
        <v>73.631119999999996</v>
      </c>
      <c r="H9" s="52">
        <v>182.28704999999999</v>
      </c>
      <c r="I9" s="52">
        <v>265.82165000000003</v>
      </c>
      <c r="J9" s="52">
        <v>190.11762999999999</v>
      </c>
      <c r="K9" s="52">
        <v>322.33634000000001</v>
      </c>
      <c r="L9" s="52">
        <v>192.12826000000001</v>
      </c>
      <c r="M9" s="52">
        <v>0</v>
      </c>
      <c r="N9" s="52">
        <v>0</v>
      </c>
      <c r="O9" s="52">
        <v>0</v>
      </c>
      <c r="P9" s="53">
        <v>1880.11229</v>
      </c>
      <c r="Q9" s="81">
        <v>0.51090007881823096</v>
      </c>
    </row>
    <row r="10" spans="1:17" ht="14.45" customHeight="1" x14ac:dyDescent="0.2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243</v>
      </c>
    </row>
    <row r="11" spans="1:17" ht="14.45" customHeight="1" x14ac:dyDescent="0.2">
      <c r="A11" s="15" t="s">
        <v>26</v>
      </c>
      <c r="B11" s="51">
        <v>466.67154399999998</v>
      </c>
      <c r="C11" s="52">
        <v>38.88929533333333</v>
      </c>
      <c r="D11" s="52">
        <v>28.83944</v>
      </c>
      <c r="E11" s="52">
        <v>32.880919999999996</v>
      </c>
      <c r="F11" s="52">
        <v>37.279780000000002</v>
      </c>
      <c r="G11" s="52">
        <v>27.710519999999999</v>
      </c>
      <c r="H11" s="52">
        <v>24.909779999999998</v>
      </c>
      <c r="I11" s="52">
        <v>48.20946</v>
      </c>
      <c r="J11" s="52">
        <v>61.146790000000003</v>
      </c>
      <c r="K11" s="52">
        <v>15.018469999999999</v>
      </c>
      <c r="L11" s="52">
        <v>31.917439999999999</v>
      </c>
      <c r="M11" s="52">
        <v>0</v>
      </c>
      <c r="N11" s="52">
        <v>0</v>
      </c>
      <c r="O11" s="52">
        <v>0</v>
      </c>
      <c r="P11" s="53">
        <v>307.9126</v>
      </c>
      <c r="Q11" s="81">
        <v>0.65980581837233265</v>
      </c>
    </row>
    <row r="12" spans="1:17" ht="14.45" customHeight="1" x14ac:dyDescent="0.2">
      <c r="A12" s="15" t="s">
        <v>27</v>
      </c>
      <c r="B12" s="51">
        <v>68.8304969</v>
      </c>
      <c r="C12" s="52">
        <v>5.7358747416666667</v>
      </c>
      <c r="D12" s="52">
        <v>2.6829999999999998</v>
      </c>
      <c r="E12" s="52">
        <v>0.84699999999999998</v>
      </c>
      <c r="F12" s="52">
        <v>1.694</v>
      </c>
      <c r="G12" s="52">
        <v>0.84699999999999998</v>
      </c>
      <c r="H12" s="52">
        <v>0.86829999999999996</v>
      </c>
      <c r="I12" s="52">
        <v>1.1445000000000001</v>
      </c>
      <c r="J12" s="52">
        <v>1.851</v>
      </c>
      <c r="K12" s="52">
        <v>1.694</v>
      </c>
      <c r="L12" s="52">
        <v>1.7535000000000001</v>
      </c>
      <c r="M12" s="52">
        <v>0</v>
      </c>
      <c r="N12" s="52">
        <v>0</v>
      </c>
      <c r="O12" s="52">
        <v>0</v>
      </c>
      <c r="P12" s="53">
        <v>13.382299999999999</v>
      </c>
      <c r="Q12" s="81">
        <v>0.19442399231030394</v>
      </c>
    </row>
    <row r="13" spans="1:17" ht="14.45" customHeight="1" x14ac:dyDescent="0.2">
      <c r="A13" s="15" t="s">
        <v>28</v>
      </c>
      <c r="B13" s="51">
        <v>50.000000099999994</v>
      </c>
      <c r="C13" s="52">
        <v>4.1666666749999992</v>
      </c>
      <c r="D13" s="52">
        <v>6.23855</v>
      </c>
      <c r="E13" s="52">
        <v>6.5203299999999995</v>
      </c>
      <c r="F13" s="52">
        <v>36.99098</v>
      </c>
      <c r="G13" s="52">
        <v>86.579970000000003</v>
      </c>
      <c r="H13" s="52">
        <v>28.163460000000001</v>
      </c>
      <c r="I13" s="52">
        <v>27.899639999999998</v>
      </c>
      <c r="J13" s="52">
        <v>7.0462499999999997</v>
      </c>
      <c r="K13" s="52">
        <v>19.605049999999999</v>
      </c>
      <c r="L13" s="52">
        <v>5.6490200000000002</v>
      </c>
      <c r="M13" s="52">
        <v>0</v>
      </c>
      <c r="N13" s="52">
        <v>0</v>
      </c>
      <c r="O13" s="52">
        <v>0</v>
      </c>
      <c r="P13" s="53">
        <v>224.69325000000001</v>
      </c>
      <c r="Q13" s="81">
        <v>4.4938649910122708</v>
      </c>
    </row>
    <row r="14" spans="1:17" ht="14.45" customHeight="1" x14ac:dyDescent="0.2">
      <c r="A14" s="15" t="s">
        <v>29</v>
      </c>
      <c r="B14" s="51">
        <v>1408.3024846000001</v>
      </c>
      <c r="C14" s="52">
        <v>117.35854038333333</v>
      </c>
      <c r="D14" s="52">
        <v>157.66593</v>
      </c>
      <c r="E14" s="52">
        <v>161.11998</v>
      </c>
      <c r="F14" s="52">
        <v>153.97082</v>
      </c>
      <c r="G14" s="52">
        <v>119.87730999999999</v>
      </c>
      <c r="H14" s="52">
        <v>88.417270000000002</v>
      </c>
      <c r="I14" s="52">
        <v>77.038049999999998</v>
      </c>
      <c r="J14" s="52">
        <v>84.68977000000001</v>
      </c>
      <c r="K14" s="52">
        <v>73.509270000000001</v>
      </c>
      <c r="L14" s="52">
        <v>73.974710000000002</v>
      </c>
      <c r="M14" s="52">
        <v>0</v>
      </c>
      <c r="N14" s="52">
        <v>0</v>
      </c>
      <c r="O14" s="52">
        <v>0</v>
      </c>
      <c r="P14" s="53">
        <v>990.2631100000001</v>
      </c>
      <c r="Q14" s="81">
        <v>0.70316080588415941</v>
      </c>
    </row>
    <row r="15" spans="1:17" ht="14.45" customHeight="1" x14ac:dyDescent="0.2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243</v>
      </c>
    </row>
    <row r="16" spans="1:17" ht="14.45" customHeight="1" x14ac:dyDescent="0.2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243</v>
      </c>
    </row>
    <row r="17" spans="1:17" ht="14.45" customHeight="1" x14ac:dyDescent="0.2">
      <c r="A17" s="15" t="s">
        <v>32</v>
      </c>
      <c r="B17" s="51">
        <v>590.52176499999996</v>
      </c>
      <c r="C17" s="52">
        <v>49.210147083333332</v>
      </c>
      <c r="D17" s="52">
        <v>55.133569999999999</v>
      </c>
      <c r="E17" s="52">
        <v>98.984390000000005</v>
      </c>
      <c r="F17" s="52">
        <v>28.13644</v>
      </c>
      <c r="G17" s="52">
        <v>69.000550000000004</v>
      </c>
      <c r="H17" s="52">
        <v>36.836320000000001</v>
      </c>
      <c r="I17" s="52">
        <v>158.23060999999998</v>
      </c>
      <c r="J17" s="52">
        <v>31.075130000000001</v>
      </c>
      <c r="K17" s="52">
        <v>51.518480000000004</v>
      </c>
      <c r="L17" s="52">
        <v>13.281610000000001</v>
      </c>
      <c r="M17" s="52">
        <v>0</v>
      </c>
      <c r="N17" s="52">
        <v>0</v>
      </c>
      <c r="O17" s="52">
        <v>0</v>
      </c>
      <c r="P17" s="53">
        <v>542.19709999999998</v>
      </c>
      <c r="Q17" s="81">
        <v>0.91816615768599152</v>
      </c>
    </row>
    <row r="18" spans="1:17" ht="14.45" customHeight="1" x14ac:dyDescent="0.2">
      <c r="A18" s="15" t="s">
        <v>33</v>
      </c>
      <c r="B18" s="51">
        <v>0</v>
      </c>
      <c r="C18" s="52">
        <v>0</v>
      </c>
      <c r="D18" s="52">
        <v>3.8730000000000002</v>
      </c>
      <c r="E18" s="52">
        <v>0</v>
      </c>
      <c r="F18" s="52">
        <v>0</v>
      </c>
      <c r="G18" s="52">
        <v>0</v>
      </c>
      <c r="H18" s="52">
        <v>0</v>
      </c>
      <c r="I18" s="52">
        <v>2.9820000000000002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6.8550000000000004</v>
      </c>
      <c r="Q18" s="81" t="s">
        <v>243</v>
      </c>
    </row>
    <row r="19" spans="1:17" ht="14.45" customHeight="1" x14ac:dyDescent="0.2">
      <c r="A19" s="15" t="s">
        <v>34</v>
      </c>
      <c r="B19" s="51">
        <v>1580.8220267000002</v>
      </c>
      <c r="C19" s="52">
        <v>131.73516889166669</v>
      </c>
      <c r="D19" s="52">
        <v>168.90148000000002</v>
      </c>
      <c r="E19" s="52">
        <v>236.43544</v>
      </c>
      <c r="F19" s="52">
        <v>478.76153000000005</v>
      </c>
      <c r="G19" s="52">
        <v>179.41024999999999</v>
      </c>
      <c r="H19" s="52">
        <v>128.90572</v>
      </c>
      <c r="I19" s="52">
        <v>345.22141999999997</v>
      </c>
      <c r="J19" s="52">
        <v>214.89929999999998</v>
      </c>
      <c r="K19" s="52">
        <v>223.38813000000002</v>
      </c>
      <c r="L19" s="52">
        <v>172.02703</v>
      </c>
      <c r="M19" s="52">
        <v>0</v>
      </c>
      <c r="N19" s="52">
        <v>0</v>
      </c>
      <c r="O19" s="52">
        <v>0</v>
      </c>
      <c r="P19" s="53">
        <v>2147.9503</v>
      </c>
      <c r="Q19" s="81">
        <v>1.3587552954862934</v>
      </c>
    </row>
    <row r="20" spans="1:17" ht="14.45" customHeight="1" x14ac:dyDescent="0.2">
      <c r="A20" s="15" t="s">
        <v>35</v>
      </c>
      <c r="B20" s="51">
        <v>40320.443253199999</v>
      </c>
      <c r="C20" s="52">
        <v>3360.0369377666666</v>
      </c>
      <c r="D20" s="52">
        <v>2966.6501600000001</v>
      </c>
      <c r="E20" s="52">
        <v>2994.56194</v>
      </c>
      <c r="F20" s="52">
        <v>2776.0741200000002</v>
      </c>
      <c r="G20" s="52">
        <v>2704.2722000000003</v>
      </c>
      <c r="H20" s="52">
        <v>2851.9498100000001</v>
      </c>
      <c r="I20" s="52">
        <v>2955.3360299999999</v>
      </c>
      <c r="J20" s="52">
        <v>4272.17346</v>
      </c>
      <c r="K20" s="52">
        <v>2982.7370000000001</v>
      </c>
      <c r="L20" s="52">
        <v>2950.14435</v>
      </c>
      <c r="M20" s="52">
        <v>0</v>
      </c>
      <c r="N20" s="52">
        <v>0</v>
      </c>
      <c r="O20" s="52">
        <v>0</v>
      </c>
      <c r="P20" s="53">
        <v>27453.899070000003</v>
      </c>
      <c r="Q20" s="81">
        <v>0.68089278923840069</v>
      </c>
    </row>
    <row r="21" spans="1:17" ht="14.45" customHeight="1" x14ac:dyDescent="0.2">
      <c r="A21" s="16" t="s">
        <v>36</v>
      </c>
      <c r="B21" s="51">
        <v>1611.2164886</v>
      </c>
      <c r="C21" s="52">
        <v>134.26804071666666</v>
      </c>
      <c r="D21" s="52">
        <v>113.67160000000001</v>
      </c>
      <c r="E21" s="52">
        <v>113.67160000000001</v>
      </c>
      <c r="F21" s="52">
        <v>113.67160000000001</v>
      </c>
      <c r="G21" s="52">
        <v>113.67160000000001</v>
      </c>
      <c r="H21" s="52">
        <v>113.67160000000001</v>
      </c>
      <c r="I21" s="52">
        <v>113.67160000000001</v>
      </c>
      <c r="J21" s="52">
        <v>113.67160000000001</v>
      </c>
      <c r="K21" s="52">
        <v>113.67160000000001</v>
      </c>
      <c r="L21" s="52">
        <v>157.25460000000001</v>
      </c>
      <c r="M21" s="52">
        <v>0</v>
      </c>
      <c r="N21" s="52">
        <v>0</v>
      </c>
      <c r="O21" s="52">
        <v>0</v>
      </c>
      <c r="P21" s="53">
        <v>1066.6274000000001</v>
      </c>
      <c r="Q21" s="81">
        <v>0.66200129377201311</v>
      </c>
    </row>
    <row r="22" spans="1:17" ht="14.45" customHeight="1" x14ac:dyDescent="0.2">
      <c r="A22" s="15" t="s">
        <v>37</v>
      </c>
      <c r="B22" s="51">
        <v>0</v>
      </c>
      <c r="C22" s="52">
        <v>0</v>
      </c>
      <c r="D22" s="52">
        <v>0</v>
      </c>
      <c r="E22" s="52">
        <v>40.796900000000001</v>
      </c>
      <c r="F22" s="52">
        <v>0</v>
      </c>
      <c r="G22" s="52">
        <v>0</v>
      </c>
      <c r="H22" s="52">
        <v>0</v>
      </c>
      <c r="I22" s="52">
        <v>14.036</v>
      </c>
      <c r="J22" s="52">
        <v>9.7240000000000002</v>
      </c>
      <c r="K22" s="52">
        <v>25.894380000000002</v>
      </c>
      <c r="L22" s="52">
        <v>10.858639999999999</v>
      </c>
      <c r="M22" s="52">
        <v>0</v>
      </c>
      <c r="N22" s="52">
        <v>0</v>
      </c>
      <c r="O22" s="52">
        <v>0</v>
      </c>
      <c r="P22" s="53">
        <v>101.30991999999999</v>
      </c>
      <c r="Q22" s="81" t="s">
        <v>243</v>
      </c>
    </row>
    <row r="23" spans="1:17" ht="14.45" customHeight="1" x14ac:dyDescent="0.2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 t="s">
        <v>243</v>
      </c>
    </row>
    <row r="24" spans="1:17" ht="14.45" customHeight="1" x14ac:dyDescent="0.2">
      <c r="A24" s="16" t="s">
        <v>39</v>
      </c>
      <c r="B24" s="51">
        <v>80.678482799994526</v>
      </c>
      <c r="C24" s="52">
        <v>6.7232068999995436</v>
      </c>
      <c r="D24" s="52">
        <v>1.6999999979816494E-4</v>
      </c>
      <c r="E24" s="52">
        <v>0.87074000000029628</v>
      </c>
      <c r="F24" s="52">
        <v>0.16583999999966181</v>
      </c>
      <c r="G24" s="52">
        <v>2.9999999242136255E-5</v>
      </c>
      <c r="H24" s="52">
        <v>3.2999999984895112E-4</v>
      </c>
      <c r="I24" s="52">
        <v>13.192279999999755</v>
      </c>
      <c r="J24" s="52">
        <v>7.5289999999768042E-2</v>
      </c>
      <c r="K24" s="52">
        <v>-1.9200000006094342E-3</v>
      </c>
      <c r="L24" s="52">
        <v>0.37850999999955093</v>
      </c>
      <c r="M24" s="52">
        <v>0</v>
      </c>
      <c r="N24" s="52">
        <v>0</v>
      </c>
      <c r="O24" s="52">
        <v>0</v>
      </c>
      <c r="P24" s="53">
        <v>14.681269999997312</v>
      </c>
      <c r="Q24" s="81">
        <v>0.18197255935504911</v>
      </c>
    </row>
    <row r="25" spans="1:17" ht="14.45" customHeight="1" x14ac:dyDescent="0.2">
      <c r="A25" s="17" t="s">
        <v>40</v>
      </c>
      <c r="B25" s="54">
        <v>50240.486541899998</v>
      </c>
      <c r="C25" s="55">
        <v>4186.7072118249998</v>
      </c>
      <c r="D25" s="55">
        <v>3656.8973599999999</v>
      </c>
      <c r="E25" s="55">
        <v>3989.59238</v>
      </c>
      <c r="F25" s="55">
        <v>3902.74206</v>
      </c>
      <c r="G25" s="55">
        <v>3380.9290499999997</v>
      </c>
      <c r="H25" s="55">
        <v>3468.3159700000001</v>
      </c>
      <c r="I25" s="55">
        <v>4058.1746699999999</v>
      </c>
      <c r="J25" s="55">
        <v>5019.1050599999999</v>
      </c>
      <c r="K25" s="55">
        <v>3837.4897999999998</v>
      </c>
      <c r="L25" s="55">
        <v>3635.97543</v>
      </c>
      <c r="M25" s="55">
        <v>0</v>
      </c>
      <c r="N25" s="55">
        <v>0</v>
      </c>
      <c r="O25" s="55">
        <v>0</v>
      </c>
      <c r="P25" s="56">
        <v>34949.22178</v>
      </c>
      <c r="Q25" s="82">
        <v>0.6956386011678598</v>
      </c>
    </row>
    <row r="26" spans="1:17" ht="14.45" customHeight="1" x14ac:dyDescent="0.2">
      <c r="A26" s="15" t="s">
        <v>41</v>
      </c>
      <c r="B26" s="51">
        <v>0</v>
      </c>
      <c r="C26" s="52">
        <v>0</v>
      </c>
      <c r="D26" s="52">
        <v>666.25706000000002</v>
      </c>
      <c r="E26" s="52">
        <v>410.67182000000003</v>
      </c>
      <c r="F26" s="52">
        <v>441.95621999999997</v>
      </c>
      <c r="G26" s="52">
        <v>462.27528000000001</v>
      </c>
      <c r="H26" s="52">
        <v>249.31307000000001</v>
      </c>
      <c r="I26" s="52">
        <v>902.94942000000003</v>
      </c>
      <c r="J26" s="52">
        <v>493.61725000000001</v>
      </c>
      <c r="K26" s="52">
        <v>531.77468999999996</v>
      </c>
      <c r="L26" s="52">
        <v>557.57212000000004</v>
      </c>
      <c r="M26" s="52">
        <v>0</v>
      </c>
      <c r="N26" s="52">
        <v>0</v>
      </c>
      <c r="O26" s="52">
        <v>0</v>
      </c>
      <c r="P26" s="53">
        <v>4716.3869299999997</v>
      </c>
      <c r="Q26" s="81" t="s">
        <v>243</v>
      </c>
    </row>
    <row r="27" spans="1:17" ht="14.45" customHeight="1" x14ac:dyDescent="0.2">
      <c r="A27" s="18" t="s">
        <v>42</v>
      </c>
      <c r="B27" s="54">
        <v>50240.486541899998</v>
      </c>
      <c r="C27" s="55">
        <v>4186.7072118249998</v>
      </c>
      <c r="D27" s="55">
        <v>4323.1544199999998</v>
      </c>
      <c r="E27" s="55">
        <v>4400.2641999999996</v>
      </c>
      <c r="F27" s="55">
        <v>4344.6982799999996</v>
      </c>
      <c r="G27" s="55">
        <v>3843.2043299999996</v>
      </c>
      <c r="H27" s="55">
        <v>3717.6290400000003</v>
      </c>
      <c r="I27" s="55">
        <v>4961.1240900000003</v>
      </c>
      <c r="J27" s="55">
        <v>5512.7223100000001</v>
      </c>
      <c r="K27" s="55">
        <v>4369.2644899999996</v>
      </c>
      <c r="L27" s="55">
        <v>4193.5475500000002</v>
      </c>
      <c r="M27" s="55">
        <v>0</v>
      </c>
      <c r="N27" s="55">
        <v>0</v>
      </c>
      <c r="O27" s="55">
        <v>0</v>
      </c>
      <c r="P27" s="56">
        <v>39665.608710000008</v>
      </c>
      <c r="Q27" s="82">
        <v>0.7895148204211625</v>
      </c>
    </row>
    <row r="28" spans="1:17" ht="14.45" customHeight="1" x14ac:dyDescent="0.2">
      <c r="A28" s="16" t="s">
        <v>43</v>
      </c>
      <c r="B28" s="51">
        <v>11856.653207400001</v>
      </c>
      <c r="C28" s="52">
        <v>988.05443395000009</v>
      </c>
      <c r="D28" s="52">
        <v>798.96094999999991</v>
      </c>
      <c r="E28" s="52">
        <v>1049.4322199999999</v>
      </c>
      <c r="F28" s="52">
        <v>711.79300000000001</v>
      </c>
      <c r="G28" s="52">
        <v>43.514000000000003</v>
      </c>
      <c r="H28" s="52">
        <v>657.76099999999997</v>
      </c>
      <c r="I28" s="52">
        <v>1243.7149999999999</v>
      </c>
      <c r="J28" s="52">
        <v>798.28599999999994</v>
      </c>
      <c r="K28" s="52">
        <v>622.00666000000001</v>
      </c>
      <c r="L28" s="52">
        <v>756.12603000000001</v>
      </c>
      <c r="M28" s="52">
        <v>0</v>
      </c>
      <c r="N28" s="52">
        <v>0</v>
      </c>
      <c r="O28" s="52">
        <v>0</v>
      </c>
      <c r="P28" s="53">
        <v>6681.5948600000002</v>
      </c>
      <c r="Q28" s="81">
        <v>0.56353127169392692</v>
      </c>
    </row>
    <row r="29" spans="1:17" ht="14.45" customHeight="1" x14ac:dyDescent="0.2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243</v>
      </c>
    </row>
    <row r="30" spans="1:17" ht="14.45" customHeight="1" x14ac:dyDescent="0.2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 t="s">
        <v>243</v>
      </c>
    </row>
    <row r="31" spans="1:17" ht="14.45" customHeight="1" thickBot="1" x14ac:dyDescent="0.2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3" t="s">
        <v>243</v>
      </c>
    </row>
    <row r="32" spans="1:17" ht="14.45" customHeight="1" x14ac:dyDescent="0.2"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</row>
    <row r="33" spans="1:17" ht="14.45" customHeight="1" x14ac:dyDescent="0.2">
      <c r="A33" s="98" t="s">
        <v>133</v>
      </c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</row>
    <row r="34" spans="1:17" ht="14.45" customHeight="1" x14ac:dyDescent="0.2">
      <c r="A34" s="120" t="s">
        <v>217</v>
      </c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</row>
    <row r="35" spans="1:17" ht="14.45" customHeight="1" x14ac:dyDescent="0.2">
      <c r="A35" s="121" t="s">
        <v>47</v>
      </c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80FB3BF9-1CAE-4A80-85E3-F77C1437A0FC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14" customWidth="1"/>
    <col min="2" max="11" width="10" style="114" customWidth="1"/>
    <col min="12" max="16384" width="8.85546875" style="114"/>
  </cols>
  <sheetData>
    <row r="1" spans="1:13" s="60" customFormat="1" ht="18.600000000000001" customHeight="1" thickBot="1" x14ac:dyDescent="0.35">
      <c r="A1" s="316" t="s">
        <v>48</v>
      </c>
      <c r="B1" s="316"/>
      <c r="C1" s="316"/>
      <c r="D1" s="316"/>
      <c r="E1" s="316"/>
      <c r="F1" s="316"/>
      <c r="G1" s="316"/>
      <c r="H1" s="321"/>
      <c r="I1" s="321"/>
      <c r="J1" s="321"/>
      <c r="K1" s="321"/>
    </row>
    <row r="2" spans="1:13" s="60" customFormat="1" ht="14.45" customHeight="1" thickBot="1" x14ac:dyDescent="0.25">
      <c r="A2" s="207" t="s">
        <v>242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68"/>
      <c r="B3" s="317" t="s">
        <v>49</v>
      </c>
      <c r="C3" s="318"/>
      <c r="D3" s="318"/>
      <c r="E3" s="318"/>
      <c r="F3" s="324" t="s">
        <v>50</v>
      </c>
      <c r="G3" s="318"/>
      <c r="H3" s="318"/>
      <c r="I3" s="318"/>
      <c r="J3" s="318"/>
      <c r="K3" s="325"/>
    </row>
    <row r="4" spans="1:13" ht="14.45" customHeight="1" x14ac:dyDescent="0.2">
      <c r="A4" s="69"/>
      <c r="B4" s="322"/>
      <c r="C4" s="323"/>
      <c r="D4" s="323"/>
      <c r="E4" s="323"/>
      <c r="F4" s="326" t="s">
        <v>235</v>
      </c>
      <c r="G4" s="328" t="s">
        <v>51</v>
      </c>
      <c r="H4" s="125" t="s">
        <v>120</v>
      </c>
      <c r="I4" s="326" t="s">
        <v>52</v>
      </c>
      <c r="J4" s="328" t="s">
        <v>237</v>
      </c>
      <c r="K4" s="329" t="s">
        <v>238</v>
      </c>
    </row>
    <row r="5" spans="1:13" ht="39" thickBot="1" x14ac:dyDescent="0.25">
      <c r="A5" s="70"/>
      <c r="B5" s="24" t="s">
        <v>231</v>
      </c>
      <c r="C5" s="25" t="s">
        <v>232</v>
      </c>
      <c r="D5" s="26" t="s">
        <v>233</v>
      </c>
      <c r="E5" s="26" t="s">
        <v>234</v>
      </c>
      <c r="F5" s="327"/>
      <c r="G5" s="327"/>
      <c r="H5" s="25" t="s">
        <v>236</v>
      </c>
      <c r="I5" s="327"/>
      <c r="J5" s="327"/>
      <c r="K5" s="330"/>
    </row>
    <row r="6" spans="1:13" ht="14.45" customHeight="1" x14ac:dyDescent="0.2">
      <c r="A6" s="420" t="s">
        <v>53</v>
      </c>
      <c r="B6" s="416">
        <v>-19975.354121</v>
      </c>
      <c r="C6" s="417">
        <v>-22318.145329999999</v>
      </c>
      <c r="D6" s="417">
        <v>-2342.7912089999991</v>
      </c>
      <c r="E6" s="418">
        <v>1.1172840889232112</v>
      </c>
      <c r="F6" s="416">
        <v>-38012.264841199998</v>
      </c>
      <c r="G6" s="417">
        <v>-28509.198630899999</v>
      </c>
      <c r="H6" s="417">
        <v>-1463.5328400000001</v>
      </c>
      <c r="I6" s="417">
        <v>-18237.631440000001</v>
      </c>
      <c r="J6" s="417">
        <v>10271.567190899998</v>
      </c>
      <c r="K6" s="419">
        <v>0.47978281526211375</v>
      </c>
      <c r="L6" s="133"/>
      <c r="M6" s="415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420" t="s">
        <v>245</v>
      </c>
      <c r="B7" s="416">
        <v>44968.626144000002</v>
      </c>
      <c r="C7" s="417">
        <v>47589.792420000005</v>
      </c>
      <c r="D7" s="417">
        <v>2621.1662760000036</v>
      </c>
      <c r="E7" s="418">
        <v>1.0582887782163151</v>
      </c>
      <c r="F7" s="416">
        <v>50240.486541899998</v>
      </c>
      <c r="G7" s="417">
        <v>37680.364906424998</v>
      </c>
      <c r="H7" s="417">
        <v>3635.97543</v>
      </c>
      <c r="I7" s="417">
        <v>34949.22178</v>
      </c>
      <c r="J7" s="417">
        <v>-2731.1431264249986</v>
      </c>
      <c r="K7" s="419">
        <v>0.6956386011678598</v>
      </c>
      <c r="L7" s="133"/>
      <c r="M7" s="415" t="str">
        <f t="shared" si="0"/>
        <v/>
      </c>
    </row>
    <row r="8" spans="1:13" ht="14.45" customHeight="1" x14ac:dyDescent="0.2">
      <c r="A8" s="420" t="s">
        <v>246</v>
      </c>
      <c r="B8" s="416">
        <v>6365.9498869999998</v>
      </c>
      <c r="C8" s="417">
        <v>5613.3733499999998</v>
      </c>
      <c r="D8" s="417">
        <v>-752.57653699999992</v>
      </c>
      <c r="E8" s="418">
        <v>0.88178095172617565</v>
      </c>
      <c r="F8" s="416">
        <v>6056.8045256000005</v>
      </c>
      <c r="G8" s="417">
        <v>4542.6033942000004</v>
      </c>
      <c r="H8" s="417">
        <v>332.03095000000002</v>
      </c>
      <c r="I8" s="417">
        <v>3615.6999900000001</v>
      </c>
      <c r="J8" s="417">
        <v>-926.9034042000003</v>
      </c>
      <c r="K8" s="419">
        <v>0.59696494656839216</v>
      </c>
      <c r="L8" s="133"/>
      <c r="M8" s="415" t="str">
        <f t="shared" si="0"/>
        <v/>
      </c>
    </row>
    <row r="9" spans="1:13" ht="14.45" customHeight="1" x14ac:dyDescent="0.2">
      <c r="A9" s="420" t="s">
        <v>247</v>
      </c>
      <c r="B9" s="416">
        <v>4658.5899869999994</v>
      </c>
      <c r="C9" s="417">
        <v>4133.6914200000001</v>
      </c>
      <c r="D9" s="417">
        <v>-524.89856699999928</v>
      </c>
      <c r="E9" s="418">
        <v>0.88732673009113228</v>
      </c>
      <c r="F9" s="416">
        <v>4648.5020410000006</v>
      </c>
      <c r="G9" s="417">
        <v>3486.3765307500007</v>
      </c>
      <c r="H9" s="417">
        <v>258.05624</v>
      </c>
      <c r="I9" s="417">
        <v>2625.4368799999997</v>
      </c>
      <c r="J9" s="417">
        <v>-860.93965075000096</v>
      </c>
      <c r="K9" s="419">
        <v>0.56479202479498258</v>
      </c>
      <c r="L9" s="133"/>
      <c r="M9" s="415" t="str">
        <f t="shared" si="0"/>
        <v/>
      </c>
    </row>
    <row r="10" spans="1:13" ht="14.45" customHeight="1" x14ac:dyDescent="0.2">
      <c r="A10" s="420" t="s">
        <v>248</v>
      </c>
      <c r="B10" s="416">
        <v>0</v>
      </c>
      <c r="C10" s="417">
        <v>-4.3E-3</v>
      </c>
      <c r="D10" s="417">
        <v>-4.3E-3</v>
      </c>
      <c r="E10" s="418">
        <v>0</v>
      </c>
      <c r="F10" s="416">
        <v>0</v>
      </c>
      <c r="G10" s="417">
        <v>0</v>
      </c>
      <c r="H10" s="417">
        <v>2.6000000000000003E-4</v>
      </c>
      <c r="I10" s="417">
        <v>-1.73E-3</v>
      </c>
      <c r="J10" s="417">
        <v>-1.73E-3</v>
      </c>
      <c r="K10" s="419">
        <v>0</v>
      </c>
      <c r="L10" s="133"/>
      <c r="M10" s="415" t="str">
        <f t="shared" si="0"/>
        <v>X</v>
      </c>
    </row>
    <row r="11" spans="1:13" ht="14.45" customHeight="1" x14ac:dyDescent="0.2">
      <c r="A11" s="420" t="s">
        <v>249</v>
      </c>
      <c r="B11" s="416">
        <v>0</v>
      </c>
      <c r="C11" s="417">
        <v>-4.3E-3</v>
      </c>
      <c r="D11" s="417">
        <v>-4.3E-3</v>
      </c>
      <c r="E11" s="418">
        <v>0</v>
      </c>
      <c r="F11" s="416">
        <v>0</v>
      </c>
      <c r="G11" s="417">
        <v>0</v>
      </c>
      <c r="H11" s="417">
        <v>2.6000000000000003E-4</v>
      </c>
      <c r="I11" s="417">
        <v>-1.73E-3</v>
      </c>
      <c r="J11" s="417">
        <v>-1.73E-3</v>
      </c>
      <c r="K11" s="419">
        <v>0</v>
      </c>
      <c r="L11" s="133"/>
      <c r="M11" s="415" t="str">
        <f t="shared" si="0"/>
        <v/>
      </c>
    </row>
    <row r="12" spans="1:13" ht="14.45" customHeight="1" x14ac:dyDescent="0.2">
      <c r="A12" s="420" t="s">
        <v>250</v>
      </c>
      <c r="B12" s="416">
        <v>380.00000399999999</v>
      </c>
      <c r="C12" s="417">
        <v>326.98965000000004</v>
      </c>
      <c r="D12" s="417">
        <v>-53.01035399999995</v>
      </c>
      <c r="E12" s="418">
        <v>0.86049906988948366</v>
      </c>
      <c r="F12" s="416">
        <v>383.00000010000002</v>
      </c>
      <c r="G12" s="417">
        <v>287.250000075</v>
      </c>
      <c r="H12" s="417">
        <v>26.607759999999999</v>
      </c>
      <c r="I12" s="417">
        <v>199.33817000000002</v>
      </c>
      <c r="J12" s="417">
        <v>-87.911830074999983</v>
      </c>
      <c r="K12" s="419">
        <v>0.52046519568656269</v>
      </c>
      <c r="L12" s="133"/>
      <c r="M12" s="415" t="str">
        <f t="shared" si="0"/>
        <v>X</v>
      </c>
    </row>
    <row r="13" spans="1:13" ht="14.45" customHeight="1" x14ac:dyDescent="0.2">
      <c r="A13" s="420" t="s">
        <v>251</v>
      </c>
      <c r="B13" s="416">
        <v>268.000001</v>
      </c>
      <c r="C13" s="417">
        <v>238.44514000000001</v>
      </c>
      <c r="D13" s="417">
        <v>-29.554860999999988</v>
      </c>
      <c r="E13" s="418">
        <v>0.88972066832193786</v>
      </c>
      <c r="F13" s="416">
        <v>270</v>
      </c>
      <c r="G13" s="417">
        <v>202.5</v>
      </c>
      <c r="H13" s="417">
        <v>26.44042</v>
      </c>
      <c r="I13" s="417">
        <v>148.89256</v>
      </c>
      <c r="J13" s="417">
        <v>-53.607439999999997</v>
      </c>
      <c r="K13" s="419">
        <v>0.5514539259259259</v>
      </c>
      <c r="L13" s="133"/>
      <c r="M13" s="415" t="str">
        <f t="shared" si="0"/>
        <v/>
      </c>
    </row>
    <row r="14" spans="1:13" ht="14.45" customHeight="1" x14ac:dyDescent="0.2">
      <c r="A14" s="420" t="s">
        <v>252</v>
      </c>
      <c r="B14" s="416">
        <v>2</v>
      </c>
      <c r="C14" s="417">
        <v>1.77701</v>
      </c>
      <c r="D14" s="417">
        <v>-0.22299000000000002</v>
      </c>
      <c r="E14" s="418">
        <v>0.88850499999999999</v>
      </c>
      <c r="F14" s="416">
        <v>3.0000001000000003</v>
      </c>
      <c r="G14" s="417">
        <v>2.250000075</v>
      </c>
      <c r="H14" s="417">
        <v>0.16734000000000002</v>
      </c>
      <c r="I14" s="417">
        <v>1.1451099999999999</v>
      </c>
      <c r="J14" s="417">
        <v>-1.1048900750000001</v>
      </c>
      <c r="K14" s="419">
        <v>0.38170332060988921</v>
      </c>
      <c r="L14" s="133"/>
      <c r="M14" s="415" t="str">
        <f t="shared" si="0"/>
        <v/>
      </c>
    </row>
    <row r="15" spans="1:13" ht="14.45" customHeight="1" x14ac:dyDescent="0.2">
      <c r="A15" s="420" t="s">
        <v>253</v>
      </c>
      <c r="B15" s="416">
        <v>110.00000299999999</v>
      </c>
      <c r="C15" s="417">
        <v>86.767499999999998</v>
      </c>
      <c r="D15" s="417">
        <v>-23.232502999999994</v>
      </c>
      <c r="E15" s="418">
        <v>0.78879543303285182</v>
      </c>
      <c r="F15" s="416">
        <v>110</v>
      </c>
      <c r="G15" s="417">
        <v>82.5</v>
      </c>
      <c r="H15" s="417">
        <v>0</v>
      </c>
      <c r="I15" s="417">
        <v>49.3005</v>
      </c>
      <c r="J15" s="417">
        <v>-33.1995</v>
      </c>
      <c r="K15" s="419">
        <v>0.4481863636363636</v>
      </c>
      <c r="L15" s="133"/>
      <c r="M15" s="415" t="str">
        <f t="shared" si="0"/>
        <v/>
      </c>
    </row>
    <row r="16" spans="1:13" ht="14.45" customHeight="1" x14ac:dyDescent="0.2">
      <c r="A16" s="420" t="s">
        <v>254</v>
      </c>
      <c r="B16" s="416">
        <v>3671.9999980000002</v>
      </c>
      <c r="C16" s="417">
        <v>3189.6981299999998</v>
      </c>
      <c r="D16" s="417">
        <v>-482.30186800000047</v>
      </c>
      <c r="E16" s="418">
        <v>0.86865417530972433</v>
      </c>
      <c r="F16" s="416">
        <v>3679.9999999000001</v>
      </c>
      <c r="G16" s="417">
        <v>2759.9999999249999</v>
      </c>
      <c r="H16" s="417">
        <v>192.12826000000001</v>
      </c>
      <c r="I16" s="417">
        <v>1880.11229</v>
      </c>
      <c r="J16" s="417">
        <v>-879.88770992499985</v>
      </c>
      <c r="K16" s="419">
        <v>0.51090007881823096</v>
      </c>
      <c r="L16" s="133"/>
      <c r="M16" s="415" t="str">
        <f t="shared" si="0"/>
        <v>X</v>
      </c>
    </row>
    <row r="17" spans="1:13" ht="14.45" customHeight="1" x14ac:dyDescent="0.2">
      <c r="A17" s="420" t="s">
        <v>255</v>
      </c>
      <c r="B17" s="416">
        <v>0</v>
      </c>
      <c r="C17" s="417">
        <v>0.24137</v>
      </c>
      <c r="D17" s="417">
        <v>0.24137</v>
      </c>
      <c r="E17" s="418">
        <v>0</v>
      </c>
      <c r="F17" s="416">
        <v>1</v>
      </c>
      <c r="G17" s="417">
        <v>0.75</v>
      </c>
      <c r="H17" s="417">
        <v>0</v>
      </c>
      <c r="I17" s="417">
        <v>0</v>
      </c>
      <c r="J17" s="417">
        <v>-0.75</v>
      </c>
      <c r="K17" s="419">
        <v>0</v>
      </c>
      <c r="L17" s="133"/>
      <c r="M17" s="415" t="str">
        <f t="shared" si="0"/>
        <v/>
      </c>
    </row>
    <row r="18" spans="1:13" ht="14.45" customHeight="1" x14ac:dyDescent="0.2">
      <c r="A18" s="420" t="s">
        <v>256</v>
      </c>
      <c r="B18" s="416">
        <v>1</v>
      </c>
      <c r="C18" s="417">
        <v>1.23468</v>
      </c>
      <c r="D18" s="417">
        <v>0.23468</v>
      </c>
      <c r="E18" s="418">
        <v>1.23468</v>
      </c>
      <c r="F18" s="416">
        <v>3</v>
      </c>
      <c r="G18" s="417">
        <v>2.25</v>
      </c>
      <c r="H18" s="417">
        <v>0</v>
      </c>
      <c r="I18" s="417">
        <v>0</v>
      </c>
      <c r="J18" s="417">
        <v>-2.25</v>
      </c>
      <c r="K18" s="419">
        <v>0</v>
      </c>
      <c r="L18" s="133"/>
      <c r="M18" s="415" t="str">
        <f t="shared" si="0"/>
        <v/>
      </c>
    </row>
    <row r="19" spans="1:13" ht="14.45" customHeight="1" x14ac:dyDescent="0.2">
      <c r="A19" s="420" t="s">
        <v>257</v>
      </c>
      <c r="B19" s="416">
        <v>39.999999000000003</v>
      </c>
      <c r="C19" s="417">
        <v>26.059609999999999</v>
      </c>
      <c r="D19" s="417">
        <v>-13.940389000000003</v>
      </c>
      <c r="E19" s="418">
        <v>0.65149026628725659</v>
      </c>
      <c r="F19" s="416">
        <v>40.000000099999994</v>
      </c>
      <c r="G19" s="417">
        <v>30.000000074999996</v>
      </c>
      <c r="H19" s="417">
        <v>6.5015400000000003</v>
      </c>
      <c r="I19" s="417">
        <v>25.750169999999997</v>
      </c>
      <c r="J19" s="417">
        <v>-4.2498300749999984</v>
      </c>
      <c r="K19" s="419">
        <v>0.64375424839061435</v>
      </c>
      <c r="L19" s="133"/>
      <c r="M19" s="415" t="str">
        <f t="shared" si="0"/>
        <v/>
      </c>
    </row>
    <row r="20" spans="1:13" ht="14.45" customHeight="1" x14ac:dyDescent="0.2">
      <c r="A20" s="420" t="s">
        <v>258</v>
      </c>
      <c r="B20" s="416">
        <v>89.999999000000003</v>
      </c>
      <c r="C20" s="417">
        <v>69.920770000000005</v>
      </c>
      <c r="D20" s="417">
        <v>-20.079228999999998</v>
      </c>
      <c r="E20" s="418">
        <v>0.77689745307663838</v>
      </c>
      <c r="F20" s="416">
        <v>90</v>
      </c>
      <c r="G20" s="417">
        <v>67.5</v>
      </c>
      <c r="H20" s="417">
        <v>3.2943000000000002</v>
      </c>
      <c r="I20" s="417">
        <v>38.449080000000002</v>
      </c>
      <c r="J20" s="417">
        <v>-29.050919999999998</v>
      </c>
      <c r="K20" s="419">
        <v>0.42721200000000004</v>
      </c>
      <c r="L20" s="133"/>
      <c r="M20" s="415" t="str">
        <f t="shared" si="0"/>
        <v/>
      </c>
    </row>
    <row r="21" spans="1:13" ht="14.45" customHeight="1" x14ac:dyDescent="0.2">
      <c r="A21" s="420" t="s">
        <v>259</v>
      </c>
      <c r="B21" s="416">
        <v>54.999999000000003</v>
      </c>
      <c r="C21" s="417">
        <v>68.78152</v>
      </c>
      <c r="D21" s="417">
        <v>13.781520999999998</v>
      </c>
      <c r="E21" s="418">
        <v>1.2505731136467839</v>
      </c>
      <c r="F21" s="416">
        <v>60.000000099999994</v>
      </c>
      <c r="G21" s="417">
        <v>45.000000074999996</v>
      </c>
      <c r="H21" s="417">
        <v>9.3046499999999988</v>
      </c>
      <c r="I21" s="417">
        <v>36.678910000000002</v>
      </c>
      <c r="J21" s="417">
        <v>-8.3210900749999936</v>
      </c>
      <c r="K21" s="419">
        <v>0.61131516564780819</v>
      </c>
      <c r="L21" s="133"/>
      <c r="M21" s="415" t="str">
        <f t="shared" si="0"/>
        <v/>
      </c>
    </row>
    <row r="22" spans="1:13" ht="14.45" customHeight="1" x14ac:dyDescent="0.2">
      <c r="A22" s="420" t="s">
        <v>260</v>
      </c>
      <c r="B22" s="416">
        <v>15.000001000000001</v>
      </c>
      <c r="C22" s="417">
        <v>12.56223</v>
      </c>
      <c r="D22" s="417">
        <v>-2.4377710000000015</v>
      </c>
      <c r="E22" s="418">
        <v>0.83748194416787025</v>
      </c>
      <c r="F22" s="416">
        <v>15</v>
      </c>
      <c r="G22" s="417">
        <v>11.25</v>
      </c>
      <c r="H22" s="417">
        <v>0.81599999999999995</v>
      </c>
      <c r="I22" s="417">
        <v>7.6303900000000002</v>
      </c>
      <c r="J22" s="417">
        <v>-3.6196099999999998</v>
      </c>
      <c r="K22" s="419">
        <v>0.50869266666666668</v>
      </c>
      <c r="L22" s="133"/>
      <c r="M22" s="415" t="str">
        <f t="shared" si="0"/>
        <v/>
      </c>
    </row>
    <row r="23" spans="1:13" ht="14.45" customHeight="1" x14ac:dyDescent="0.2">
      <c r="A23" s="420" t="s">
        <v>261</v>
      </c>
      <c r="B23" s="416">
        <v>170</v>
      </c>
      <c r="C23" s="417">
        <v>147.68545</v>
      </c>
      <c r="D23" s="417">
        <v>-22.314549999999997</v>
      </c>
      <c r="E23" s="418">
        <v>0.86873794117647063</v>
      </c>
      <c r="F23" s="416">
        <v>170.00000009999999</v>
      </c>
      <c r="G23" s="417">
        <v>127.500000075</v>
      </c>
      <c r="H23" s="417">
        <v>9.1688799999999997</v>
      </c>
      <c r="I23" s="417">
        <v>103.70437</v>
      </c>
      <c r="J23" s="417">
        <v>-23.795630075000005</v>
      </c>
      <c r="K23" s="419">
        <v>0.61002570552351432</v>
      </c>
      <c r="L23" s="133"/>
      <c r="M23" s="415" t="str">
        <f t="shared" si="0"/>
        <v/>
      </c>
    </row>
    <row r="24" spans="1:13" ht="14.45" customHeight="1" x14ac:dyDescent="0.2">
      <c r="A24" s="420" t="s">
        <v>262</v>
      </c>
      <c r="B24" s="416">
        <v>1</v>
      </c>
      <c r="C24" s="417">
        <v>0</v>
      </c>
      <c r="D24" s="417">
        <v>-1</v>
      </c>
      <c r="E24" s="418">
        <v>0</v>
      </c>
      <c r="F24" s="416">
        <v>0.99999959999999999</v>
      </c>
      <c r="G24" s="417">
        <v>0.74999970000000005</v>
      </c>
      <c r="H24" s="417">
        <v>0</v>
      </c>
      <c r="I24" s="417">
        <v>0</v>
      </c>
      <c r="J24" s="417">
        <v>-0.74999970000000005</v>
      </c>
      <c r="K24" s="419">
        <v>0</v>
      </c>
      <c r="L24" s="133"/>
      <c r="M24" s="415" t="str">
        <f t="shared" si="0"/>
        <v/>
      </c>
    </row>
    <row r="25" spans="1:13" ht="14.45" customHeight="1" x14ac:dyDescent="0.2">
      <c r="A25" s="420" t="s">
        <v>263</v>
      </c>
      <c r="B25" s="416">
        <v>3300</v>
      </c>
      <c r="C25" s="417">
        <v>2863.2125000000001</v>
      </c>
      <c r="D25" s="417">
        <v>-436.78749999999991</v>
      </c>
      <c r="E25" s="418">
        <v>0.8676401515151515</v>
      </c>
      <c r="F25" s="416">
        <v>3300</v>
      </c>
      <c r="G25" s="417">
        <v>2475</v>
      </c>
      <c r="H25" s="417">
        <v>163.04289</v>
      </c>
      <c r="I25" s="417">
        <v>1667.8993700000001</v>
      </c>
      <c r="J25" s="417">
        <v>-807.10062999999991</v>
      </c>
      <c r="K25" s="419">
        <v>0.50542405151515157</v>
      </c>
      <c r="L25" s="133"/>
      <c r="M25" s="415" t="str">
        <f t="shared" si="0"/>
        <v/>
      </c>
    </row>
    <row r="26" spans="1:13" ht="14.45" customHeight="1" x14ac:dyDescent="0.2">
      <c r="A26" s="420" t="s">
        <v>264</v>
      </c>
      <c r="B26" s="416">
        <v>471.65880099999998</v>
      </c>
      <c r="C26" s="417">
        <v>482.12873999999999</v>
      </c>
      <c r="D26" s="417">
        <v>10.469939000000011</v>
      </c>
      <c r="E26" s="418">
        <v>1.0221981207131128</v>
      </c>
      <c r="F26" s="416">
        <v>466.67154399999998</v>
      </c>
      <c r="G26" s="417">
        <v>350.00365799999997</v>
      </c>
      <c r="H26" s="417">
        <v>31.917439999999999</v>
      </c>
      <c r="I26" s="417">
        <v>307.9126</v>
      </c>
      <c r="J26" s="417">
        <v>-42.091057999999975</v>
      </c>
      <c r="K26" s="419">
        <v>0.65980581837233254</v>
      </c>
      <c r="L26" s="133"/>
      <c r="M26" s="415" t="str">
        <f t="shared" si="0"/>
        <v>X</v>
      </c>
    </row>
    <row r="27" spans="1:13" ht="14.45" customHeight="1" x14ac:dyDescent="0.2">
      <c r="A27" s="420" t="s">
        <v>265</v>
      </c>
      <c r="B27" s="416">
        <v>0</v>
      </c>
      <c r="C27" s="417">
        <v>7.8658400000000004</v>
      </c>
      <c r="D27" s="417">
        <v>7.8658400000000004</v>
      </c>
      <c r="E27" s="418">
        <v>0</v>
      </c>
      <c r="F27" s="416">
        <v>0</v>
      </c>
      <c r="G27" s="417">
        <v>0</v>
      </c>
      <c r="H27" s="417">
        <v>-6.9696400000000001</v>
      </c>
      <c r="I27" s="417">
        <v>4.22905</v>
      </c>
      <c r="J27" s="417">
        <v>4.22905</v>
      </c>
      <c r="K27" s="419">
        <v>0</v>
      </c>
      <c r="L27" s="133"/>
      <c r="M27" s="415" t="str">
        <f t="shared" si="0"/>
        <v/>
      </c>
    </row>
    <row r="28" spans="1:13" ht="14.45" customHeight="1" x14ac:dyDescent="0.2">
      <c r="A28" s="420" t="s">
        <v>266</v>
      </c>
      <c r="B28" s="416">
        <v>30</v>
      </c>
      <c r="C28" s="417">
        <v>32.977359999999997</v>
      </c>
      <c r="D28" s="417">
        <v>2.9773599999999973</v>
      </c>
      <c r="E28" s="418">
        <v>1.0992453333333332</v>
      </c>
      <c r="F28" s="416">
        <v>35</v>
      </c>
      <c r="G28" s="417">
        <v>26.25</v>
      </c>
      <c r="H28" s="417">
        <v>1.94204</v>
      </c>
      <c r="I28" s="417">
        <v>18.657340000000001</v>
      </c>
      <c r="J28" s="417">
        <v>-7.5926599999999986</v>
      </c>
      <c r="K28" s="419">
        <v>0.53306685714285718</v>
      </c>
      <c r="L28" s="133"/>
      <c r="M28" s="415" t="str">
        <f t="shared" si="0"/>
        <v/>
      </c>
    </row>
    <row r="29" spans="1:13" ht="14.45" customHeight="1" x14ac:dyDescent="0.2">
      <c r="A29" s="420" t="s">
        <v>267</v>
      </c>
      <c r="B29" s="416">
        <v>180</v>
      </c>
      <c r="C29" s="417">
        <v>198.01220000000001</v>
      </c>
      <c r="D29" s="417">
        <v>18.012200000000007</v>
      </c>
      <c r="E29" s="418">
        <v>1.1000677777777779</v>
      </c>
      <c r="F29" s="416">
        <v>200</v>
      </c>
      <c r="G29" s="417">
        <v>150</v>
      </c>
      <c r="H29" s="417">
        <v>17.782859999999999</v>
      </c>
      <c r="I29" s="417">
        <v>138.19022000000001</v>
      </c>
      <c r="J29" s="417">
        <v>-11.809779999999989</v>
      </c>
      <c r="K29" s="419">
        <v>0.69095110000000004</v>
      </c>
      <c r="L29" s="133"/>
      <c r="M29" s="415" t="str">
        <f t="shared" si="0"/>
        <v/>
      </c>
    </row>
    <row r="30" spans="1:13" ht="14.45" customHeight="1" x14ac:dyDescent="0.2">
      <c r="A30" s="420" t="s">
        <v>268</v>
      </c>
      <c r="B30" s="416">
        <v>40</v>
      </c>
      <c r="C30" s="417">
        <v>41.578379999999996</v>
      </c>
      <c r="D30" s="417">
        <v>1.5783799999999957</v>
      </c>
      <c r="E30" s="418">
        <v>1.0394595</v>
      </c>
      <c r="F30" s="416">
        <v>39.999999900000006</v>
      </c>
      <c r="G30" s="417">
        <v>29.999999925000004</v>
      </c>
      <c r="H30" s="417">
        <v>3.6785399999999999</v>
      </c>
      <c r="I30" s="417">
        <v>26.180009999999999</v>
      </c>
      <c r="J30" s="417">
        <v>-3.8199899250000051</v>
      </c>
      <c r="K30" s="419">
        <v>0.65450025163625047</v>
      </c>
      <c r="L30" s="133"/>
      <c r="M30" s="415" t="str">
        <f t="shared" si="0"/>
        <v/>
      </c>
    </row>
    <row r="31" spans="1:13" ht="14.45" customHeight="1" x14ac:dyDescent="0.2">
      <c r="A31" s="420" t="s">
        <v>269</v>
      </c>
      <c r="B31" s="416">
        <v>48.671982000000007</v>
      </c>
      <c r="C31" s="417">
        <v>30.615279999999998</v>
      </c>
      <c r="D31" s="417">
        <v>-18.056702000000008</v>
      </c>
      <c r="E31" s="418">
        <v>0.62901239567355183</v>
      </c>
      <c r="F31" s="416">
        <v>27.404401799999999</v>
      </c>
      <c r="G31" s="417">
        <v>20.553301350000002</v>
      </c>
      <c r="H31" s="417">
        <v>0.15718000000000001</v>
      </c>
      <c r="I31" s="417">
        <v>22.56859</v>
      </c>
      <c r="J31" s="417">
        <v>2.0152886499999987</v>
      </c>
      <c r="K31" s="419">
        <v>0.82353886666484366</v>
      </c>
      <c r="L31" s="133"/>
      <c r="M31" s="415" t="str">
        <f t="shared" si="0"/>
        <v/>
      </c>
    </row>
    <row r="32" spans="1:13" ht="14.45" customHeight="1" x14ac:dyDescent="0.2">
      <c r="A32" s="420" t="s">
        <v>270</v>
      </c>
      <c r="B32" s="416">
        <v>0</v>
      </c>
      <c r="C32" s="417">
        <v>2.5999999999999999E-2</v>
      </c>
      <c r="D32" s="417">
        <v>2.5999999999999999E-2</v>
      </c>
      <c r="E32" s="418">
        <v>0</v>
      </c>
      <c r="F32" s="416">
        <v>0</v>
      </c>
      <c r="G32" s="417">
        <v>0</v>
      </c>
      <c r="H32" s="417">
        <v>0</v>
      </c>
      <c r="I32" s="417">
        <v>0</v>
      </c>
      <c r="J32" s="417">
        <v>0</v>
      </c>
      <c r="K32" s="419">
        <v>0</v>
      </c>
      <c r="L32" s="133"/>
      <c r="M32" s="415" t="str">
        <f t="shared" si="0"/>
        <v/>
      </c>
    </row>
    <row r="33" spans="1:13" ht="14.45" customHeight="1" x14ac:dyDescent="0.2">
      <c r="A33" s="420" t="s">
        <v>271</v>
      </c>
      <c r="B33" s="416">
        <v>0</v>
      </c>
      <c r="C33" s="417">
        <v>0.10672</v>
      </c>
      <c r="D33" s="417">
        <v>0.10672</v>
      </c>
      <c r="E33" s="418">
        <v>0</v>
      </c>
      <c r="F33" s="416">
        <v>0</v>
      </c>
      <c r="G33" s="417">
        <v>0</v>
      </c>
      <c r="H33" s="417">
        <v>0</v>
      </c>
      <c r="I33" s="417">
        <v>0.61199999999999999</v>
      </c>
      <c r="J33" s="417">
        <v>0.61199999999999999</v>
      </c>
      <c r="K33" s="419">
        <v>0</v>
      </c>
      <c r="L33" s="133"/>
      <c r="M33" s="415" t="str">
        <f t="shared" si="0"/>
        <v/>
      </c>
    </row>
    <row r="34" spans="1:13" ht="14.45" customHeight="1" x14ac:dyDescent="0.2">
      <c r="A34" s="420" t="s">
        <v>272</v>
      </c>
      <c r="B34" s="416">
        <v>75</v>
      </c>
      <c r="C34" s="417">
        <v>49.230239999999995</v>
      </c>
      <c r="D34" s="417">
        <v>-25.769760000000005</v>
      </c>
      <c r="E34" s="418">
        <v>0.65640319999999996</v>
      </c>
      <c r="F34" s="416">
        <v>60</v>
      </c>
      <c r="G34" s="417">
        <v>45</v>
      </c>
      <c r="H34" s="417">
        <v>9.6980799999999991</v>
      </c>
      <c r="I34" s="417">
        <v>43.776890000000002</v>
      </c>
      <c r="J34" s="417">
        <v>-1.2231099999999984</v>
      </c>
      <c r="K34" s="419">
        <v>0.72961483333333332</v>
      </c>
      <c r="L34" s="133"/>
      <c r="M34" s="415" t="str">
        <f t="shared" si="0"/>
        <v/>
      </c>
    </row>
    <row r="35" spans="1:13" ht="14.45" customHeight="1" x14ac:dyDescent="0.2">
      <c r="A35" s="420" t="s">
        <v>273</v>
      </c>
      <c r="B35" s="416">
        <v>7.9868190000000006</v>
      </c>
      <c r="C35" s="417">
        <v>4.5491599999999996</v>
      </c>
      <c r="D35" s="417">
        <v>-3.4376590000000009</v>
      </c>
      <c r="E35" s="418">
        <v>0.56958345994819704</v>
      </c>
      <c r="F35" s="416">
        <v>4.2671422000000003</v>
      </c>
      <c r="G35" s="417">
        <v>3.2003566500000002</v>
      </c>
      <c r="H35" s="417">
        <v>0.30249999999999999</v>
      </c>
      <c r="I35" s="417">
        <v>2.6499000000000001</v>
      </c>
      <c r="J35" s="417">
        <v>-0.5504566500000001</v>
      </c>
      <c r="K35" s="419">
        <v>0.62100109998677799</v>
      </c>
      <c r="L35" s="133"/>
      <c r="M35" s="415" t="str">
        <f t="shared" si="0"/>
        <v/>
      </c>
    </row>
    <row r="36" spans="1:13" ht="14.45" customHeight="1" x14ac:dyDescent="0.2">
      <c r="A36" s="420" t="s">
        <v>274</v>
      </c>
      <c r="B36" s="416">
        <v>0</v>
      </c>
      <c r="C36" s="417">
        <v>9.7536900000000006</v>
      </c>
      <c r="D36" s="417">
        <v>9.7536900000000006</v>
      </c>
      <c r="E36" s="418">
        <v>0</v>
      </c>
      <c r="F36" s="416">
        <v>0</v>
      </c>
      <c r="G36" s="417">
        <v>0</v>
      </c>
      <c r="H36" s="417">
        <v>0</v>
      </c>
      <c r="I36" s="417">
        <v>0.70179999999999998</v>
      </c>
      <c r="J36" s="417">
        <v>0.70179999999999998</v>
      </c>
      <c r="K36" s="419">
        <v>0</v>
      </c>
      <c r="L36" s="133"/>
      <c r="M36" s="415" t="str">
        <f t="shared" si="0"/>
        <v/>
      </c>
    </row>
    <row r="37" spans="1:13" ht="14.45" customHeight="1" x14ac:dyDescent="0.2">
      <c r="A37" s="420" t="s">
        <v>275</v>
      </c>
      <c r="B37" s="416">
        <v>0</v>
      </c>
      <c r="C37" s="417">
        <v>4.3258000000000001</v>
      </c>
      <c r="D37" s="417">
        <v>4.3258000000000001</v>
      </c>
      <c r="E37" s="418">
        <v>0</v>
      </c>
      <c r="F37" s="416">
        <v>0</v>
      </c>
      <c r="G37" s="417">
        <v>0</v>
      </c>
      <c r="H37" s="417">
        <v>0</v>
      </c>
      <c r="I37" s="417">
        <v>0</v>
      </c>
      <c r="J37" s="417">
        <v>0</v>
      </c>
      <c r="K37" s="419">
        <v>0</v>
      </c>
      <c r="L37" s="133"/>
      <c r="M37" s="415" t="str">
        <f t="shared" si="0"/>
        <v/>
      </c>
    </row>
    <row r="38" spans="1:13" ht="14.45" customHeight="1" x14ac:dyDescent="0.2">
      <c r="A38" s="420" t="s">
        <v>276</v>
      </c>
      <c r="B38" s="416">
        <v>0</v>
      </c>
      <c r="C38" s="417">
        <v>1.21</v>
      </c>
      <c r="D38" s="417">
        <v>1.21</v>
      </c>
      <c r="E38" s="418">
        <v>0</v>
      </c>
      <c r="F38" s="416">
        <v>0</v>
      </c>
      <c r="G38" s="417">
        <v>0</v>
      </c>
      <c r="H38" s="417">
        <v>0</v>
      </c>
      <c r="I38" s="417">
        <v>2.4999000000000002</v>
      </c>
      <c r="J38" s="417">
        <v>2.4999000000000002</v>
      </c>
      <c r="K38" s="419">
        <v>0</v>
      </c>
      <c r="L38" s="133"/>
      <c r="M38" s="415" t="str">
        <f t="shared" si="0"/>
        <v/>
      </c>
    </row>
    <row r="39" spans="1:13" ht="14.45" customHeight="1" x14ac:dyDescent="0.2">
      <c r="A39" s="420" t="s">
        <v>277</v>
      </c>
      <c r="B39" s="416">
        <v>0</v>
      </c>
      <c r="C39" s="417">
        <v>4.6528999999999998</v>
      </c>
      <c r="D39" s="417">
        <v>4.6528999999999998</v>
      </c>
      <c r="E39" s="418">
        <v>0</v>
      </c>
      <c r="F39" s="416">
        <v>0</v>
      </c>
      <c r="G39" s="417">
        <v>0</v>
      </c>
      <c r="H39" s="417">
        <v>0</v>
      </c>
      <c r="I39" s="417">
        <v>0</v>
      </c>
      <c r="J39" s="417">
        <v>0</v>
      </c>
      <c r="K39" s="419">
        <v>0</v>
      </c>
      <c r="L39" s="133"/>
      <c r="M39" s="415" t="str">
        <f t="shared" si="0"/>
        <v/>
      </c>
    </row>
    <row r="40" spans="1:13" ht="14.45" customHeight="1" x14ac:dyDescent="0.2">
      <c r="A40" s="420" t="s">
        <v>278</v>
      </c>
      <c r="B40" s="416">
        <v>90</v>
      </c>
      <c r="C40" s="417">
        <v>97.225169999999991</v>
      </c>
      <c r="D40" s="417">
        <v>7.2251699999999914</v>
      </c>
      <c r="E40" s="418">
        <v>1.0802796666666665</v>
      </c>
      <c r="F40" s="416">
        <v>100.00000010000001</v>
      </c>
      <c r="G40" s="417">
        <v>75.000000075000017</v>
      </c>
      <c r="H40" s="417">
        <v>5.3258799999999997</v>
      </c>
      <c r="I40" s="417">
        <v>47.846899999999998</v>
      </c>
      <c r="J40" s="417">
        <v>-27.153100075000019</v>
      </c>
      <c r="K40" s="419">
        <v>0.47846899952153094</v>
      </c>
      <c r="L40" s="133"/>
      <c r="M40" s="415" t="str">
        <f t="shared" si="0"/>
        <v/>
      </c>
    </row>
    <row r="41" spans="1:13" ht="14.45" customHeight="1" x14ac:dyDescent="0.2">
      <c r="A41" s="420" t="s">
        <v>279</v>
      </c>
      <c r="B41" s="416">
        <v>64.931184000000002</v>
      </c>
      <c r="C41" s="417">
        <v>61.265430000000002</v>
      </c>
      <c r="D41" s="417">
        <v>-3.6657539999999997</v>
      </c>
      <c r="E41" s="418">
        <v>0.94354401422897205</v>
      </c>
      <c r="F41" s="416">
        <v>68.8304969</v>
      </c>
      <c r="G41" s="417">
        <v>51.622872674999996</v>
      </c>
      <c r="H41" s="417">
        <v>1.7535000000000001</v>
      </c>
      <c r="I41" s="417">
        <v>13.382299999999999</v>
      </c>
      <c r="J41" s="417">
        <v>-38.240572674999996</v>
      </c>
      <c r="K41" s="419">
        <v>0.19442399231030394</v>
      </c>
      <c r="L41" s="133"/>
      <c r="M41" s="415" t="str">
        <f t="shared" si="0"/>
        <v>X</v>
      </c>
    </row>
    <row r="42" spans="1:13" ht="14.45" customHeight="1" x14ac:dyDescent="0.2">
      <c r="A42" s="420" t="s">
        <v>280</v>
      </c>
      <c r="B42" s="416">
        <v>23.221996999999998</v>
      </c>
      <c r="C42" s="417">
        <v>34.395050000000005</v>
      </c>
      <c r="D42" s="417">
        <v>11.173053000000007</v>
      </c>
      <c r="E42" s="418">
        <v>1.4811409199648078</v>
      </c>
      <c r="F42" s="416">
        <v>32.450477200000002</v>
      </c>
      <c r="G42" s="417">
        <v>24.337857899999999</v>
      </c>
      <c r="H42" s="417">
        <v>1.694</v>
      </c>
      <c r="I42" s="417">
        <v>12.705</v>
      </c>
      <c r="J42" s="417">
        <v>-11.632857899999999</v>
      </c>
      <c r="K42" s="419">
        <v>0.39151966615763661</v>
      </c>
      <c r="L42" s="133"/>
      <c r="M42" s="415" t="str">
        <f t="shared" si="0"/>
        <v/>
      </c>
    </row>
    <row r="43" spans="1:13" ht="14.45" customHeight="1" x14ac:dyDescent="0.2">
      <c r="A43" s="420" t="s">
        <v>281</v>
      </c>
      <c r="B43" s="416">
        <v>2.3498860000000001</v>
      </c>
      <c r="C43" s="417">
        <v>0.39900000000000002</v>
      </c>
      <c r="D43" s="417">
        <v>-1.9508860000000001</v>
      </c>
      <c r="E43" s="418">
        <v>0.16979547092922806</v>
      </c>
      <c r="F43" s="416">
        <v>3.6041200000000002E-2</v>
      </c>
      <c r="G43" s="417">
        <v>2.70309E-2</v>
      </c>
      <c r="H43" s="417">
        <v>0</v>
      </c>
      <c r="I43" s="417">
        <v>0</v>
      </c>
      <c r="J43" s="417">
        <v>-2.70309E-2</v>
      </c>
      <c r="K43" s="419">
        <v>0</v>
      </c>
      <c r="L43" s="133"/>
      <c r="M43" s="415" t="str">
        <f t="shared" si="0"/>
        <v/>
      </c>
    </row>
    <row r="44" spans="1:13" ht="14.45" customHeight="1" x14ac:dyDescent="0.2">
      <c r="A44" s="420" t="s">
        <v>282</v>
      </c>
      <c r="B44" s="416">
        <v>16.554731</v>
      </c>
      <c r="C44" s="417">
        <v>21.206499999999998</v>
      </c>
      <c r="D44" s="417">
        <v>4.651768999999998</v>
      </c>
      <c r="E44" s="418">
        <v>1.28099333054702</v>
      </c>
      <c r="F44" s="416">
        <v>21.3439783</v>
      </c>
      <c r="G44" s="417">
        <v>16.007983724999999</v>
      </c>
      <c r="H44" s="417">
        <v>0</v>
      </c>
      <c r="I44" s="417">
        <v>0</v>
      </c>
      <c r="J44" s="417">
        <v>-16.007983724999999</v>
      </c>
      <c r="K44" s="419">
        <v>0</v>
      </c>
      <c r="L44" s="133"/>
      <c r="M44" s="415" t="str">
        <f t="shared" si="0"/>
        <v/>
      </c>
    </row>
    <row r="45" spans="1:13" ht="14.45" customHeight="1" x14ac:dyDescent="0.2">
      <c r="A45" s="420" t="s">
        <v>283</v>
      </c>
      <c r="B45" s="416">
        <v>0.26375799999999999</v>
      </c>
      <c r="C45" s="417">
        <v>0</v>
      </c>
      <c r="D45" s="417">
        <v>-0.26375799999999999</v>
      </c>
      <c r="E45" s="418">
        <v>0</v>
      </c>
      <c r="F45" s="416">
        <v>0</v>
      </c>
      <c r="G45" s="417">
        <v>0</v>
      </c>
      <c r="H45" s="417">
        <v>0</v>
      </c>
      <c r="I45" s="417">
        <v>0</v>
      </c>
      <c r="J45" s="417">
        <v>0</v>
      </c>
      <c r="K45" s="419">
        <v>0</v>
      </c>
      <c r="L45" s="133"/>
      <c r="M45" s="415" t="str">
        <f t="shared" si="0"/>
        <v/>
      </c>
    </row>
    <row r="46" spans="1:13" ht="14.45" customHeight="1" x14ac:dyDescent="0.2">
      <c r="A46" s="420" t="s">
        <v>284</v>
      </c>
      <c r="B46" s="416">
        <v>17.057744</v>
      </c>
      <c r="C46" s="417">
        <v>5.2648799999999998</v>
      </c>
      <c r="D46" s="417">
        <v>-11.792864</v>
      </c>
      <c r="E46" s="418">
        <v>0.3086504288023082</v>
      </c>
      <c r="F46" s="416">
        <v>15.000000200000001</v>
      </c>
      <c r="G46" s="417">
        <v>11.25000015</v>
      </c>
      <c r="H46" s="417">
        <v>5.9499999999999997E-2</v>
      </c>
      <c r="I46" s="417">
        <v>0.6772999999999999</v>
      </c>
      <c r="J46" s="417">
        <v>-10.572700149999999</v>
      </c>
      <c r="K46" s="419">
        <v>4.5153332731288888E-2</v>
      </c>
      <c r="L46" s="133"/>
      <c r="M46" s="415" t="str">
        <f t="shared" si="0"/>
        <v/>
      </c>
    </row>
    <row r="47" spans="1:13" ht="14.45" customHeight="1" x14ac:dyDescent="0.2">
      <c r="A47" s="420" t="s">
        <v>285</v>
      </c>
      <c r="B47" s="416">
        <v>5.4830680000000003</v>
      </c>
      <c r="C47" s="417">
        <v>0</v>
      </c>
      <c r="D47" s="417">
        <v>-5.4830680000000003</v>
      </c>
      <c r="E47" s="418">
        <v>0</v>
      </c>
      <c r="F47" s="416">
        <v>0</v>
      </c>
      <c r="G47" s="417">
        <v>0</v>
      </c>
      <c r="H47" s="417">
        <v>0</v>
      </c>
      <c r="I47" s="417">
        <v>0</v>
      </c>
      <c r="J47" s="417">
        <v>0</v>
      </c>
      <c r="K47" s="419">
        <v>0</v>
      </c>
      <c r="L47" s="133"/>
      <c r="M47" s="415" t="str">
        <f t="shared" si="0"/>
        <v/>
      </c>
    </row>
    <row r="48" spans="1:13" ht="14.45" customHeight="1" x14ac:dyDescent="0.2">
      <c r="A48" s="420" t="s">
        <v>286</v>
      </c>
      <c r="B48" s="416">
        <v>70</v>
      </c>
      <c r="C48" s="417">
        <v>73.613770000000002</v>
      </c>
      <c r="D48" s="417">
        <v>3.6137700000000024</v>
      </c>
      <c r="E48" s="418">
        <v>1.0516252857142858</v>
      </c>
      <c r="F48" s="416">
        <v>50.000000099999994</v>
      </c>
      <c r="G48" s="417">
        <v>37.500000074999996</v>
      </c>
      <c r="H48" s="417">
        <v>5.6490200000000002</v>
      </c>
      <c r="I48" s="417">
        <v>224.69325000000001</v>
      </c>
      <c r="J48" s="417">
        <v>187.193249925</v>
      </c>
      <c r="K48" s="419">
        <v>4.4938649910122708</v>
      </c>
      <c r="L48" s="133"/>
      <c r="M48" s="415" t="str">
        <f t="shared" si="0"/>
        <v>X</v>
      </c>
    </row>
    <row r="49" spans="1:13" ht="14.45" customHeight="1" x14ac:dyDescent="0.2">
      <c r="A49" s="420" t="s">
        <v>287</v>
      </c>
      <c r="B49" s="416">
        <v>0</v>
      </c>
      <c r="C49" s="417">
        <v>15.833780000000001</v>
      </c>
      <c r="D49" s="417">
        <v>15.833780000000001</v>
      </c>
      <c r="E49" s="418">
        <v>0</v>
      </c>
      <c r="F49" s="416">
        <v>0</v>
      </c>
      <c r="G49" s="417">
        <v>0</v>
      </c>
      <c r="H49" s="417">
        <v>1.5109900000000001</v>
      </c>
      <c r="I49" s="417">
        <v>14.59436</v>
      </c>
      <c r="J49" s="417">
        <v>14.59436</v>
      </c>
      <c r="K49" s="419">
        <v>0</v>
      </c>
      <c r="L49" s="133"/>
      <c r="M49" s="415" t="str">
        <f t="shared" si="0"/>
        <v/>
      </c>
    </row>
    <row r="50" spans="1:13" ht="14.45" customHeight="1" x14ac:dyDescent="0.2">
      <c r="A50" s="420" t="s">
        <v>288</v>
      </c>
      <c r="B50" s="416">
        <v>0</v>
      </c>
      <c r="C50" s="417">
        <v>13.391920000000001</v>
      </c>
      <c r="D50" s="417">
        <v>13.391920000000001</v>
      </c>
      <c r="E50" s="418">
        <v>0</v>
      </c>
      <c r="F50" s="416">
        <v>0</v>
      </c>
      <c r="G50" s="417">
        <v>0</v>
      </c>
      <c r="H50" s="417">
        <v>2.2320100000000003</v>
      </c>
      <c r="I50" s="417">
        <v>16.740069999999999</v>
      </c>
      <c r="J50" s="417">
        <v>16.740069999999999</v>
      </c>
      <c r="K50" s="419">
        <v>0</v>
      </c>
      <c r="L50" s="133"/>
      <c r="M50" s="415" t="str">
        <f t="shared" si="0"/>
        <v/>
      </c>
    </row>
    <row r="51" spans="1:13" ht="14.45" customHeight="1" x14ac:dyDescent="0.2">
      <c r="A51" s="420" t="s">
        <v>289</v>
      </c>
      <c r="B51" s="416">
        <v>0</v>
      </c>
      <c r="C51" s="417">
        <v>0</v>
      </c>
      <c r="D51" s="417">
        <v>0</v>
      </c>
      <c r="E51" s="418">
        <v>0</v>
      </c>
      <c r="F51" s="416">
        <v>0</v>
      </c>
      <c r="G51" s="417">
        <v>0</v>
      </c>
      <c r="H51" s="417">
        <v>0</v>
      </c>
      <c r="I51" s="417">
        <v>0.27177999999999997</v>
      </c>
      <c r="J51" s="417">
        <v>0.27177999999999997</v>
      </c>
      <c r="K51" s="419">
        <v>0</v>
      </c>
      <c r="L51" s="133"/>
      <c r="M51" s="415" t="str">
        <f t="shared" si="0"/>
        <v/>
      </c>
    </row>
    <row r="52" spans="1:13" ht="14.45" customHeight="1" x14ac:dyDescent="0.2">
      <c r="A52" s="420" t="s">
        <v>290</v>
      </c>
      <c r="B52" s="416">
        <v>20</v>
      </c>
      <c r="C52" s="417">
        <v>15.60149</v>
      </c>
      <c r="D52" s="417">
        <v>-4.3985099999999999</v>
      </c>
      <c r="E52" s="418">
        <v>0.7800745</v>
      </c>
      <c r="F52" s="416">
        <v>16.000000099999998</v>
      </c>
      <c r="G52" s="417">
        <v>12.000000074999997</v>
      </c>
      <c r="H52" s="417">
        <v>0.99153000000000002</v>
      </c>
      <c r="I52" s="417">
        <v>29.7454</v>
      </c>
      <c r="J52" s="417">
        <v>17.745399925000001</v>
      </c>
      <c r="K52" s="419">
        <v>1.8590874883807034</v>
      </c>
      <c r="L52" s="133"/>
      <c r="M52" s="415" t="str">
        <f t="shared" si="0"/>
        <v/>
      </c>
    </row>
    <row r="53" spans="1:13" ht="14.45" customHeight="1" x14ac:dyDescent="0.2">
      <c r="A53" s="420" t="s">
        <v>291</v>
      </c>
      <c r="B53" s="416">
        <v>19.999998999999999</v>
      </c>
      <c r="C53" s="417">
        <v>15.060219999999999</v>
      </c>
      <c r="D53" s="417">
        <v>-4.9397789999999997</v>
      </c>
      <c r="E53" s="418">
        <v>0.75301103765055188</v>
      </c>
      <c r="F53" s="416">
        <v>15.999999900000001</v>
      </c>
      <c r="G53" s="417">
        <v>11.999999925000001</v>
      </c>
      <c r="H53" s="417">
        <v>0.91449000000000003</v>
      </c>
      <c r="I53" s="417">
        <v>19.795080000000002</v>
      </c>
      <c r="J53" s="417">
        <v>7.7950800750000013</v>
      </c>
      <c r="K53" s="419">
        <v>1.2371925077324533</v>
      </c>
      <c r="L53" s="133"/>
      <c r="M53" s="415" t="str">
        <f t="shared" si="0"/>
        <v/>
      </c>
    </row>
    <row r="54" spans="1:13" ht="14.45" customHeight="1" x14ac:dyDescent="0.2">
      <c r="A54" s="420" t="s">
        <v>292</v>
      </c>
      <c r="B54" s="416">
        <v>30.000001000000001</v>
      </c>
      <c r="C54" s="417">
        <v>13.726360000000001</v>
      </c>
      <c r="D54" s="417">
        <v>-16.273640999999998</v>
      </c>
      <c r="E54" s="418">
        <v>0.45754531808182275</v>
      </c>
      <c r="F54" s="416">
        <v>18.000000100000001</v>
      </c>
      <c r="G54" s="417">
        <v>13.500000075000001</v>
      </c>
      <c r="H54" s="417">
        <v>0</v>
      </c>
      <c r="I54" s="417">
        <v>4.1837399999999993</v>
      </c>
      <c r="J54" s="417">
        <v>-9.3162600750000024</v>
      </c>
      <c r="K54" s="419">
        <v>0.23242999870872219</v>
      </c>
      <c r="L54" s="133"/>
      <c r="M54" s="415" t="str">
        <f t="shared" si="0"/>
        <v/>
      </c>
    </row>
    <row r="55" spans="1:13" ht="14.45" customHeight="1" x14ac:dyDescent="0.2">
      <c r="A55" s="420" t="s">
        <v>293</v>
      </c>
      <c r="B55" s="416">
        <v>0</v>
      </c>
      <c r="C55" s="417">
        <v>0</v>
      </c>
      <c r="D55" s="417">
        <v>0</v>
      </c>
      <c r="E55" s="418">
        <v>0</v>
      </c>
      <c r="F55" s="416">
        <v>0</v>
      </c>
      <c r="G55" s="417">
        <v>0</v>
      </c>
      <c r="H55" s="417">
        <v>0</v>
      </c>
      <c r="I55" s="417">
        <v>64.251000000000005</v>
      </c>
      <c r="J55" s="417">
        <v>64.251000000000005</v>
      </c>
      <c r="K55" s="419">
        <v>0</v>
      </c>
      <c r="L55" s="133"/>
      <c r="M55" s="415" t="str">
        <f t="shared" si="0"/>
        <v/>
      </c>
    </row>
    <row r="56" spans="1:13" ht="14.45" customHeight="1" x14ac:dyDescent="0.2">
      <c r="A56" s="420" t="s">
        <v>294</v>
      </c>
      <c r="B56" s="416">
        <v>0</v>
      </c>
      <c r="C56" s="417">
        <v>0</v>
      </c>
      <c r="D56" s="417">
        <v>0</v>
      </c>
      <c r="E56" s="418">
        <v>0</v>
      </c>
      <c r="F56" s="416">
        <v>0</v>
      </c>
      <c r="G56" s="417">
        <v>0</v>
      </c>
      <c r="H56" s="417">
        <v>0</v>
      </c>
      <c r="I56" s="417">
        <v>58.514800000000001</v>
      </c>
      <c r="J56" s="417">
        <v>58.514800000000001</v>
      </c>
      <c r="K56" s="419">
        <v>0</v>
      </c>
      <c r="L56" s="133"/>
      <c r="M56" s="415" t="str">
        <f t="shared" si="0"/>
        <v/>
      </c>
    </row>
    <row r="57" spans="1:13" ht="14.45" customHeight="1" x14ac:dyDescent="0.2">
      <c r="A57" s="420" t="s">
        <v>295</v>
      </c>
      <c r="B57" s="416">
        <v>0</v>
      </c>
      <c r="C57" s="417">
        <v>0</v>
      </c>
      <c r="D57" s="417">
        <v>0</v>
      </c>
      <c r="E57" s="418">
        <v>0</v>
      </c>
      <c r="F57" s="416">
        <v>0</v>
      </c>
      <c r="G57" s="417">
        <v>0</v>
      </c>
      <c r="H57" s="417">
        <v>0</v>
      </c>
      <c r="I57" s="417">
        <v>0.16452</v>
      </c>
      <c r="J57" s="417">
        <v>0.16452</v>
      </c>
      <c r="K57" s="419">
        <v>0</v>
      </c>
      <c r="L57" s="133"/>
      <c r="M57" s="415" t="str">
        <f t="shared" si="0"/>
        <v/>
      </c>
    </row>
    <row r="58" spans="1:13" ht="14.45" customHeight="1" x14ac:dyDescent="0.2">
      <c r="A58" s="420" t="s">
        <v>296</v>
      </c>
      <c r="B58" s="416">
        <v>0</v>
      </c>
      <c r="C58" s="417">
        <v>0</v>
      </c>
      <c r="D58" s="417">
        <v>0</v>
      </c>
      <c r="E58" s="418">
        <v>0</v>
      </c>
      <c r="F58" s="416">
        <v>0</v>
      </c>
      <c r="G58" s="417">
        <v>0</v>
      </c>
      <c r="H58" s="417">
        <v>0</v>
      </c>
      <c r="I58" s="417">
        <v>9.9824999999999999</v>
      </c>
      <c r="J58" s="417">
        <v>9.9824999999999999</v>
      </c>
      <c r="K58" s="419">
        <v>0</v>
      </c>
      <c r="L58" s="133"/>
      <c r="M58" s="415" t="str">
        <f t="shared" si="0"/>
        <v/>
      </c>
    </row>
    <row r="59" spans="1:13" ht="14.45" customHeight="1" x14ac:dyDescent="0.2">
      <c r="A59" s="420" t="s">
        <v>297</v>
      </c>
      <c r="B59" s="416">
        <v>0</v>
      </c>
      <c r="C59" s="417">
        <v>0</v>
      </c>
      <c r="D59" s="417">
        <v>0</v>
      </c>
      <c r="E59" s="418">
        <v>0</v>
      </c>
      <c r="F59" s="416">
        <v>0</v>
      </c>
      <c r="G59" s="417">
        <v>0</v>
      </c>
      <c r="H59" s="417">
        <v>0</v>
      </c>
      <c r="I59" s="417">
        <v>6.45</v>
      </c>
      <c r="J59" s="417">
        <v>6.45</v>
      </c>
      <c r="K59" s="419">
        <v>0</v>
      </c>
      <c r="L59" s="133"/>
      <c r="M59" s="415" t="str">
        <f t="shared" si="0"/>
        <v/>
      </c>
    </row>
    <row r="60" spans="1:13" ht="14.45" customHeight="1" x14ac:dyDescent="0.2">
      <c r="A60" s="420" t="s">
        <v>298</v>
      </c>
      <c r="B60" s="416">
        <v>1707.3598999999999</v>
      </c>
      <c r="C60" s="417">
        <v>1479.68193</v>
      </c>
      <c r="D60" s="417">
        <v>-227.67796999999996</v>
      </c>
      <c r="E60" s="418">
        <v>0.86664910544051088</v>
      </c>
      <c r="F60" s="416">
        <v>1408.3024846000001</v>
      </c>
      <c r="G60" s="417">
        <v>1056.2268634500001</v>
      </c>
      <c r="H60" s="417">
        <v>73.974710000000002</v>
      </c>
      <c r="I60" s="417">
        <v>990.26310999999998</v>
      </c>
      <c r="J60" s="417">
        <v>-65.963753450000127</v>
      </c>
      <c r="K60" s="419">
        <v>0.70316080588415941</v>
      </c>
      <c r="L60" s="133"/>
      <c r="M60" s="415" t="str">
        <f t="shared" si="0"/>
        <v/>
      </c>
    </row>
    <row r="61" spans="1:13" ht="14.45" customHeight="1" x14ac:dyDescent="0.2">
      <c r="A61" s="420" t="s">
        <v>299</v>
      </c>
      <c r="B61" s="416">
        <v>1707.3598999999999</v>
      </c>
      <c r="C61" s="417">
        <v>1479.68193</v>
      </c>
      <c r="D61" s="417">
        <v>-227.67796999999996</v>
      </c>
      <c r="E61" s="418">
        <v>0.86664910544051088</v>
      </c>
      <c r="F61" s="416">
        <v>1408.3024846000001</v>
      </c>
      <c r="G61" s="417">
        <v>1056.2268634500001</v>
      </c>
      <c r="H61" s="417">
        <v>73.974710000000002</v>
      </c>
      <c r="I61" s="417">
        <v>990.26310999999998</v>
      </c>
      <c r="J61" s="417">
        <v>-65.963753450000127</v>
      </c>
      <c r="K61" s="419">
        <v>0.70316080588415941</v>
      </c>
      <c r="L61" s="133"/>
      <c r="M61" s="415" t="str">
        <f t="shared" si="0"/>
        <v>X</v>
      </c>
    </row>
    <row r="62" spans="1:13" ht="14.45" customHeight="1" x14ac:dyDescent="0.2">
      <c r="A62" s="420" t="s">
        <v>300</v>
      </c>
      <c r="B62" s="416">
        <v>792.31348000000003</v>
      </c>
      <c r="C62" s="417">
        <v>617.92600000000004</v>
      </c>
      <c r="D62" s="417">
        <v>-174.38747999999998</v>
      </c>
      <c r="E62" s="418">
        <v>0.77990090487921526</v>
      </c>
      <c r="F62" s="416">
        <v>515.41770299999996</v>
      </c>
      <c r="G62" s="417">
        <v>386.56327724999994</v>
      </c>
      <c r="H62" s="417">
        <v>40.104889999999997</v>
      </c>
      <c r="I62" s="417">
        <v>371.21171999999996</v>
      </c>
      <c r="J62" s="417">
        <v>-15.351557249999985</v>
      </c>
      <c r="K62" s="419">
        <v>0.72021530855334237</v>
      </c>
      <c r="L62" s="133"/>
      <c r="M62" s="415" t="str">
        <f t="shared" si="0"/>
        <v/>
      </c>
    </row>
    <row r="63" spans="1:13" ht="14.45" customHeight="1" x14ac:dyDescent="0.2">
      <c r="A63" s="420" t="s">
        <v>301</v>
      </c>
      <c r="B63" s="416">
        <v>218.75724700000001</v>
      </c>
      <c r="C63" s="417">
        <v>209.90100000000001</v>
      </c>
      <c r="D63" s="417">
        <v>-8.8562469999999962</v>
      </c>
      <c r="E63" s="418">
        <v>0.95951564064069617</v>
      </c>
      <c r="F63" s="416">
        <v>228.55914580000001</v>
      </c>
      <c r="G63" s="417">
        <v>171.41935935000001</v>
      </c>
      <c r="H63" s="417">
        <v>16.719000000000001</v>
      </c>
      <c r="I63" s="417">
        <v>156.232</v>
      </c>
      <c r="J63" s="417">
        <v>-15.187359350000008</v>
      </c>
      <c r="K63" s="419">
        <v>0.68355173210487208</v>
      </c>
      <c r="L63" s="133"/>
      <c r="M63" s="415" t="str">
        <f t="shared" si="0"/>
        <v/>
      </c>
    </row>
    <row r="64" spans="1:13" ht="14.45" customHeight="1" x14ac:dyDescent="0.2">
      <c r="A64" s="420" t="s">
        <v>302</v>
      </c>
      <c r="B64" s="416">
        <v>688.60967700000003</v>
      </c>
      <c r="C64" s="417">
        <v>646.82838000000004</v>
      </c>
      <c r="D64" s="417">
        <v>-41.781296999999995</v>
      </c>
      <c r="E64" s="418">
        <v>0.93932513817983998</v>
      </c>
      <c r="F64" s="416">
        <v>657.98669480000001</v>
      </c>
      <c r="G64" s="417">
        <v>493.49002110000004</v>
      </c>
      <c r="H64" s="417">
        <v>16.850819999999999</v>
      </c>
      <c r="I64" s="417">
        <v>459.96153000000004</v>
      </c>
      <c r="J64" s="417">
        <v>-33.528491099999997</v>
      </c>
      <c r="K64" s="419">
        <v>0.69904381598446885</v>
      </c>
      <c r="L64" s="133"/>
      <c r="M64" s="415" t="str">
        <f t="shared" si="0"/>
        <v/>
      </c>
    </row>
    <row r="65" spans="1:13" ht="14.45" customHeight="1" x14ac:dyDescent="0.2">
      <c r="A65" s="420" t="s">
        <v>303</v>
      </c>
      <c r="B65" s="416">
        <v>7.6794960000000003</v>
      </c>
      <c r="C65" s="417">
        <v>5.0265500000000003</v>
      </c>
      <c r="D65" s="417">
        <v>-2.652946</v>
      </c>
      <c r="E65" s="418">
        <v>0.65454165221259308</v>
      </c>
      <c r="F65" s="416">
        <v>6.3389410000000002</v>
      </c>
      <c r="G65" s="417">
        <v>4.7542057499999997</v>
      </c>
      <c r="H65" s="417">
        <v>0.3</v>
      </c>
      <c r="I65" s="417">
        <v>2.8578600000000001</v>
      </c>
      <c r="J65" s="417">
        <v>-1.8963457499999996</v>
      </c>
      <c r="K65" s="419">
        <v>0.45084186775046492</v>
      </c>
      <c r="L65" s="133"/>
      <c r="M65" s="415" t="str">
        <f t="shared" si="0"/>
        <v/>
      </c>
    </row>
    <row r="66" spans="1:13" ht="14.45" customHeight="1" x14ac:dyDescent="0.2">
      <c r="A66" s="420" t="s">
        <v>304</v>
      </c>
      <c r="B66" s="416">
        <v>2407.9604470000004</v>
      </c>
      <c r="C66" s="417">
        <v>3507.82098</v>
      </c>
      <c r="D66" s="417">
        <v>1099.8605329999996</v>
      </c>
      <c r="E66" s="418">
        <v>1.4567602156299038</v>
      </c>
      <c r="F66" s="416">
        <v>2171.3437917000001</v>
      </c>
      <c r="G66" s="417">
        <v>1628.5078437750001</v>
      </c>
      <c r="H66" s="417">
        <v>185.30864000000003</v>
      </c>
      <c r="I66" s="417">
        <v>2697.0023999999999</v>
      </c>
      <c r="J66" s="417">
        <v>1068.4945562249998</v>
      </c>
      <c r="K66" s="419">
        <v>1.242089074198816</v>
      </c>
      <c r="L66" s="133"/>
      <c r="M66" s="415" t="str">
        <f t="shared" si="0"/>
        <v/>
      </c>
    </row>
    <row r="67" spans="1:13" ht="14.45" customHeight="1" x14ac:dyDescent="0.2">
      <c r="A67" s="420" t="s">
        <v>305</v>
      </c>
      <c r="B67" s="416">
        <v>1041.171353</v>
      </c>
      <c r="C67" s="417">
        <v>1018.8511500000001</v>
      </c>
      <c r="D67" s="417">
        <v>-22.320202999999879</v>
      </c>
      <c r="E67" s="418">
        <v>0.9785624115226691</v>
      </c>
      <c r="F67" s="416">
        <v>590.52176499999996</v>
      </c>
      <c r="G67" s="417">
        <v>442.89132374999997</v>
      </c>
      <c r="H67" s="417">
        <v>13.281610000000001</v>
      </c>
      <c r="I67" s="417">
        <v>542.19709999999998</v>
      </c>
      <c r="J67" s="417">
        <v>99.305776250000008</v>
      </c>
      <c r="K67" s="419">
        <v>0.91816615768599152</v>
      </c>
      <c r="L67" s="133"/>
      <c r="M67" s="415" t="str">
        <f t="shared" si="0"/>
        <v/>
      </c>
    </row>
    <row r="68" spans="1:13" ht="14.45" customHeight="1" x14ac:dyDescent="0.2">
      <c r="A68" s="420" t="s">
        <v>306</v>
      </c>
      <c r="B68" s="416">
        <v>1041.171353</v>
      </c>
      <c r="C68" s="417">
        <v>1018.8511500000001</v>
      </c>
      <c r="D68" s="417">
        <v>-22.320202999999879</v>
      </c>
      <c r="E68" s="418">
        <v>0.9785624115226691</v>
      </c>
      <c r="F68" s="416">
        <v>590.52176499999996</v>
      </c>
      <c r="G68" s="417">
        <v>442.89132374999997</v>
      </c>
      <c r="H68" s="417">
        <v>13.281610000000001</v>
      </c>
      <c r="I68" s="417">
        <v>542.19709999999998</v>
      </c>
      <c r="J68" s="417">
        <v>99.305776250000008</v>
      </c>
      <c r="K68" s="419">
        <v>0.91816615768599152</v>
      </c>
      <c r="L68" s="133"/>
      <c r="M68" s="415" t="str">
        <f t="shared" si="0"/>
        <v>X</v>
      </c>
    </row>
    <row r="69" spans="1:13" ht="14.45" customHeight="1" x14ac:dyDescent="0.2">
      <c r="A69" s="420" t="s">
        <v>307</v>
      </c>
      <c r="B69" s="416">
        <v>719.41754000000003</v>
      </c>
      <c r="C69" s="417">
        <v>278.97521</v>
      </c>
      <c r="D69" s="417">
        <v>-440.44233000000003</v>
      </c>
      <c r="E69" s="418">
        <v>0.38777927210393004</v>
      </c>
      <c r="F69" s="416">
        <v>285.60664450000002</v>
      </c>
      <c r="G69" s="417">
        <v>214.20498337500001</v>
      </c>
      <c r="H69" s="417">
        <v>6.4119999999999999</v>
      </c>
      <c r="I69" s="417">
        <v>176.6525</v>
      </c>
      <c r="J69" s="417">
        <v>-37.552483375000008</v>
      </c>
      <c r="K69" s="419">
        <v>0.61851677263761973</v>
      </c>
      <c r="L69" s="133"/>
      <c r="M69" s="415" t="str">
        <f t="shared" si="0"/>
        <v/>
      </c>
    </row>
    <row r="70" spans="1:13" ht="14.45" customHeight="1" x14ac:dyDescent="0.2">
      <c r="A70" s="420" t="s">
        <v>308</v>
      </c>
      <c r="B70" s="416">
        <v>0.46859300000000004</v>
      </c>
      <c r="C70" s="417">
        <v>25.38504</v>
      </c>
      <c r="D70" s="417">
        <v>24.916447000000002</v>
      </c>
      <c r="E70" s="418">
        <v>54.172896308737002</v>
      </c>
      <c r="F70" s="416">
        <v>1.083656</v>
      </c>
      <c r="G70" s="417">
        <v>0.81274199999999996</v>
      </c>
      <c r="H70" s="417">
        <v>0</v>
      </c>
      <c r="I70" s="417">
        <v>0.496</v>
      </c>
      <c r="J70" s="417">
        <v>-0.31674199999999997</v>
      </c>
      <c r="K70" s="419">
        <v>0.45770982673468336</v>
      </c>
      <c r="L70" s="133"/>
      <c r="M70" s="415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420" t="s">
        <v>309</v>
      </c>
      <c r="B71" s="416">
        <v>177.641513</v>
      </c>
      <c r="C71" s="417">
        <v>532.35258999999996</v>
      </c>
      <c r="D71" s="417">
        <v>354.71107699999993</v>
      </c>
      <c r="E71" s="418">
        <v>2.9967803190237405</v>
      </c>
      <c r="F71" s="416">
        <v>160</v>
      </c>
      <c r="G71" s="417">
        <v>120</v>
      </c>
      <c r="H71" s="417">
        <v>5.9596899999999993</v>
      </c>
      <c r="I71" s="417">
        <v>237.95775</v>
      </c>
      <c r="J71" s="417">
        <v>117.95775</v>
      </c>
      <c r="K71" s="419">
        <v>1.4872359374999999</v>
      </c>
      <c r="L71" s="133"/>
      <c r="M71" s="415" t="str">
        <f t="shared" si="1"/>
        <v/>
      </c>
    </row>
    <row r="72" spans="1:13" ht="14.45" customHeight="1" x14ac:dyDescent="0.2">
      <c r="A72" s="420" t="s">
        <v>310</v>
      </c>
      <c r="B72" s="416">
        <v>126.903908</v>
      </c>
      <c r="C72" s="417">
        <v>138.94735999999997</v>
      </c>
      <c r="D72" s="417">
        <v>12.043451999999974</v>
      </c>
      <c r="E72" s="418">
        <v>1.0949021365047322</v>
      </c>
      <c r="F72" s="416">
        <v>123.83146409999999</v>
      </c>
      <c r="G72" s="417">
        <v>92.87359807499999</v>
      </c>
      <c r="H72" s="417">
        <v>0.90991999999999995</v>
      </c>
      <c r="I72" s="417">
        <v>76.327889999999996</v>
      </c>
      <c r="J72" s="417">
        <v>-16.545708074999993</v>
      </c>
      <c r="K72" s="419">
        <v>0.61638526649706316</v>
      </c>
      <c r="L72" s="133"/>
      <c r="M72" s="415" t="str">
        <f t="shared" si="1"/>
        <v/>
      </c>
    </row>
    <row r="73" spans="1:13" ht="14.45" customHeight="1" x14ac:dyDescent="0.2">
      <c r="A73" s="420" t="s">
        <v>311</v>
      </c>
      <c r="B73" s="416">
        <v>7.5128079999999997</v>
      </c>
      <c r="C73" s="417">
        <v>0</v>
      </c>
      <c r="D73" s="417">
        <v>-7.5128079999999997</v>
      </c>
      <c r="E73" s="418">
        <v>0</v>
      </c>
      <c r="F73" s="416">
        <v>0</v>
      </c>
      <c r="G73" s="417">
        <v>0</v>
      </c>
      <c r="H73" s="417">
        <v>0</v>
      </c>
      <c r="I73" s="417">
        <v>0</v>
      </c>
      <c r="J73" s="417">
        <v>0</v>
      </c>
      <c r="K73" s="419">
        <v>0</v>
      </c>
      <c r="L73" s="133"/>
      <c r="M73" s="415" t="str">
        <f t="shared" si="1"/>
        <v/>
      </c>
    </row>
    <row r="74" spans="1:13" ht="14.45" customHeight="1" x14ac:dyDescent="0.2">
      <c r="A74" s="420" t="s">
        <v>312</v>
      </c>
      <c r="B74" s="416">
        <v>6.96732</v>
      </c>
      <c r="C74" s="417">
        <v>43.190949999999994</v>
      </c>
      <c r="D74" s="417">
        <v>36.223629999999993</v>
      </c>
      <c r="E74" s="418">
        <v>6.1990765459315771</v>
      </c>
      <c r="F74" s="416">
        <v>20.000000400000001</v>
      </c>
      <c r="G74" s="417">
        <v>15.000000300000002</v>
      </c>
      <c r="H74" s="417">
        <v>0</v>
      </c>
      <c r="I74" s="417">
        <v>50.76296</v>
      </c>
      <c r="J74" s="417">
        <v>35.762959699999996</v>
      </c>
      <c r="K74" s="419">
        <v>2.5381479492370409</v>
      </c>
      <c r="L74" s="133"/>
      <c r="M74" s="415" t="str">
        <f t="shared" si="1"/>
        <v/>
      </c>
    </row>
    <row r="75" spans="1:13" ht="14.45" customHeight="1" x14ac:dyDescent="0.2">
      <c r="A75" s="420" t="s">
        <v>313</v>
      </c>
      <c r="B75" s="416">
        <v>2.259671</v>
      </c>
      <c r="C75" s="417">
        <v>0</v>
      </c>
      <c r="D75" s="417">
        <v>-2.259671</v>
      </c>
      <c r="E75" s="418">
        <v>0</v>
      </c>
      <c r="F75" s="416">
        <v>0</v>
      </c>
      <c r="G75" s="417">
        <v>0</v>
      </c>
      <c r="H75" s="417">
        <v>0</v>
      </c>
      <c r="I75" s="417">
        <v>0</v>
      </c>
      <c r="J75" s="417">
        <v>0</v>
      </c>
      <c r="K75" s="419">
        <v>0</v>
      </c>
      <c r="L75" s="133"/>
      <c r="M75" s="415" t="str">
        <f t="shared" si="1"/>
        <v/>
      </c>
    </row>
    <row r="76" spans="1:13" ht="14.45" customHeight="1" x14ac:dyDescent="0.2">
      <c r="A76" s="420" t="s">
        <v>314</v>
      </c>
      <c r="B76" s="416">
        <v>0</v>
      </c>
      <c r="C76" s="417">
        <v>38.164000000000001</v>
      </c>
      <c r="D76" s="417">
        <v>38.164000000000001</v>
      </c>
      <c r="E76" s="418">
        <v>0</v>
      </c>
      <c r="F76" s="416">
        <v>0</v>
      </c>
      <c r="G76" s="417">
        <v>0</v>
      </c>
      <c r="H76" s="417">
        <v>0</v>
      </c>
      <c r="I76" s="417">
        <v>6.8550000000000004</v>
      </c>
      <c r="J76" s="417">
        <v>6.8550000000000004</v>
      </c>
      <c r="K76" s="419">
        <v>0</v>
      </c>
      <c r="L76" s="133"/>
      <c r="M76" s="415" t="str">
        <f t="shared" si="1"/>
        <v/>
      </c>
    </row>
    <row r="77" spans="1:13" ht="14.45" customHeight="1" x14ac:dyDescent="0.2">
      <c r="A77" s="420" t="s">
        <v>315</v>
      </c>
      <c r="B77" s="416">
        <v>0</v>
      </c>
      <c r="C77" s="417">
        <v>38.164000000000001</v>
      </c>
      <c r="D77" s="417">
        <v>38.164000000000001</v>
      </c>
      <c r="E77" s="418">
        <v>0</v>
      </c>
      <c r="F77" s="416">
        <v>0</v>
      </c>
      <c r="G77" s="417">
        <v>0</v>
      </c>
      <c r="H77" s="417">
        <v>0</v>
      </c>
      <c r="I77" s="417">
        <v>6.8550000000000004</v>
      </c>
      <c r="J77" s="417">
        <v>6.8550000000000004</v>
      </c>
      <c r="K77" s="419">
        <v>0</v>
      </c>
      <c r="L77" s="133"/>
      <c r="M77" s="415" t="str">
        <f t="shared" si="1"/>
        <v>X</v>
      </c>
    </row>
    <row r="78" spans="1:13" ht="14.45" customHeight="1" x14ac:dyDescent="0.2">
      <c r="A78" s="420" t="s">
        <v>316</v>
      </c>
      <c r="B78" s="416">
        <v>0</v>
      </c>
      <c r="C78" s="417">
        <v>38.164000000000001</v>
      </c>
      <c r="D78" s="417">
        <v>38.164000000000001</v>
      </c>
      <c r="E78" s="418">
        <v>0</v>
      </c>
      <c r="F78" s="416">
        <v>0</v>
      </c>
      <c r="G78" s="417">
        <v>0</v>
      </c>
      <c r="H78" s="417">
        <v>0</v>
      </c>
      <c r="I78" s="417">
        <v>6.8550000000000004</v>
      </c>
      <c r="J78" s="417">
        <v>6.8550000000000004</v>
      </c>
      <c r="K78" s="419">
        <v>0</v>
      </c>
      <c r="L78" s="133"/>
      <c r="M78" s="415" t="str">
        <f t="shared" si="1"/>
        <v/>
      </c>
    </row>
    <row r="79" spans="1:13" ht="14.45" customHeight="1" x14ac:dyDescent="0.2">
      <c r="A79" s="420" t="s">
        <v>317</v>
      </c>
      <c r="B79" s="416">
        <v>1366.789094</v>
      </c>
      <c r="C79" s="417">
        <v>2450.8058300000002</v>
      </c>
      <c r="D79" s="417">
        <v>1084.0167360000003</v>
      </c>
      <c r="E79" s="418">
        <v>1.7931119298205347</v>
      </c>
      <c r="F79" s="416">
        <v>1580.8220267000002</v>
      </c>
      <c r="G79" s="417">
        <v>1185.6165200250002</v>
      </c>
      <c r="H79" s="417">
        <v>172.02703</v>
      </c>
      <c r="I79" s="417">
        <v>2147.9503</v>
      </c>
      <c r="J79" s="417">
        <v>962.33377997499974</v>
      </c>
      <c r="K79" s="419">
        <v>1.3587552954862934</v>
      </c>
      <c r="L79" s="133"/>
      <c r="M79" s="415" t="str">
        <f t="shared" si="1"/>
        <v/>
      </c>
    </row>
    <row r="80" spans="1:13" ht="14.45" customHeight="1" x14ac:dyDescent="0.2">
      <c r="A80" s="420" t="s">
        <v>318</v>
      </c>
      <c r="B80" s="416">
        <v>45.268008999999999</v>
      </c>
      <c r="C80" s="417">
        <v>52.02196</v>
      </c>
      <c r="D80" s="417">
        <v>6.7539510000000007</v>
      </c>
      <c r="E80" s="418">
        <v>1.1491992059999812</v>
      </c>
      <c r="F80" s="416">
        <v>56.124891699999999</v>
      </c>
      <c r="G80" s="417">
        <v>42.093668774999998</v>
      </c>
      <c r="H80" s="417">
        <v>6.8540400000000004</v>
      </c>
      <c r="I80" s="417">
        <v>63.202669999999998</v>
      </c>
      <c r="J80" s="417">
        <v>21.109001225</v>
      </c>
      <c r="K80" s="419">
        <v>1.1261076518032729</v>
      </c>
      <c r="L80" s="133"/>
      <c r="M80" s="415" t="str">
        <f t="shared" si="1"/>
        <v>X</v>
      </c>
    </row>
    <row r="81" spans="1:13" ht="14.45" customHeight="1" x14ac:dyDescent="0.2">
      <c r="A81" s="420" t="s">
        <v>319</v>
      </c>
      <c r="B81" s="416">
        <v>2.7309699999999997</v>
      </c>
      <c r="C81" s="417">
        <v>3.1839</v>
      </c>
      <c r="D81" s="417">
        <v>0.45293000000000028</v>
      </c>
      <c r="E81" s="418">
        <v>1.1658494966989752</v>
      </c>
      <c r="F81" s="416">
        <v>3.2274295000000004</v>
      </c>
      <c r="G81" s="417">
        <v>2.4205721250000005</v>
      </c>
      <c r="H81" s="417">
        <v>0.21659999999999999</v>
      </c>
      <c r="I81" s="417">
        <v>1.2794000000000001</v>
      </c>
      <c r="J81" s="417">
        <v>-1.1411721250000004</v>
      </c>
      <c r="K81" s="419">
        <v>0.39641454600325116</v>
      </c>
      <c r="L81" s="133"/>
      <c r="M81" s="415" t="str">
        <f t="shared" si="1"/>
        <v/>
      </c>
    </row>
    <row r="82" spans="1:13" ht="14.45" customHeight="1" x14ac:dyDescent="0.2">
      <c r="A82" s="420" t="s">
        <v>320</v>
      </c>
      <c r="B82" s="416">
        <v>42.537039</v>
      </c>
      <c r="C82" s="417">
        <v>48.838059999999999</v>
      </c>
      <c r="D82" s="417">
        <v>6.3010209999999987</v>
      </c>
      <c r="E82" s="418">
        <v>1.1481302212878521</v>
      </c>
      <c r="F82" s="416">
        <v>52.8974622</v>
      </c>
      <c r="G82" s="417">
        <v>39.673096649999998</v>
      </c>
      <c r="H82" s="417">
        <v>6.6374399999999998</v>
      </c>
      <c r="I82" s="417">
        <v>61.923269999999995</v>
      </c>
      <c r="J82" s="417">
        <v>22.250173349999997</v>
      </c>
      <c r="K82" s="419">
        <v>1.170628370901317</v>
      </c>
      <c r="L82" s="133"/>
      <c r="M82" s="415" t="str">
        <f t="shared" si="1"/>
        <v/>
      </c>
    </row>
    <row r="83" spans="1:13" ht="14.45" customHeight="1" x14ac:dyDescent="0.2">
      <c r="A83" s="420" t="s">
        <v>321</v>
      </c>
      <c r="B83" s="416">
        <v>25.183883000000002</v>
      </c>
      <c r="C83" s="417">
        <v>27.206259999999997</v>
      </c>
      <c r="D83" s="417">
        <v>2.0223769999999952</v>
      </c>
      <c r="E83" s="418">
        <v>1.0803044153278505</v>
      </c>
      <c r="F83" s="416">
        <v>28.678621700000001</v>
      </c>
      <c r="G83" s="417">
        <v>21.508966275000002</v>
      </c>
      <c r="H83" s="417">
        <v>8.8934999999999995</v>
      </c>
      <c r="I83" s="417">
        <v>28.3005</v>
      </c>
      <c r="J83" s="417">
        <v>6.7915337249999972</v>
      </c>
      <c r="K83" s="419">
        <v>0.98681520667361777</v>
      </c>
      <c r="L83" s="133"/>
      <c r="M83" s="415" t="str">
        <f t="shared" si="1"/>
        <v>X</v>
      </c>
    </row>
    <row r="84" spans="1:13" ht="14.45" customHeight="1" x14ac:dyDescent="0.2">
      <c r="A84" s="420" t="s">
        <v>322</v>
      </c>
      <c r="B84" s="416">
        <v>2.0000040000000001</v>
      </c>
      <c r="C84" s="417">
        <v>2.16</v>
      </c>
      <c r="D84" s="417">
        <v>0.15999600000000003</v>
      </c>
      <c r="E84" s="418">
        <v>1.07999784000432</v>
      </c>
      <c r="F84" s="416">
        <v>2.16</v>
      </c>
      <c r="G84" s="417">
        <v>1.62</v>
      </c>
      <c r="H84" s="417">
        <v>0</v>
      </c>
      <c r="I84" s="417">
        <v>1.62</v>
      </c>
      <c r="J84" s="417">
        <v>0</v>
      </c>
      <c r="K84" s="419">
        <v>0.75</v>
      </c>
      <c r="L84" s="133"/>
      <c r="M84" s="415" t="str">
        <f t="shared" si="1"/>
        <v/>
      </c>
    </row>
    <row r="85" spans="1:13" ht="14.45" customHeight="1" x14ac:dyDescent="0.2">
      <c r="A85" s="420" t="s">
        <v>323</v>
      </c>
      <c r="B85" s="416">
        <v>23.183879000000001</v>
      </c>
      <c r="C85" s="417">
        <v>25.046259999999997</v>
      </c>
      <c r="D85" s="417">
        <v>1.8623809999999956</v>
      </c>
      <c r="E85" s="418">
        <v>1.0803308626653889</v>
      </c>
      <c r="F85" s="416">
        <v>26.518621700000001</v>
      </c>
      <c r="G85" s="417">
        <v>19.888966275000001</v>
      </c>
      <c r="H85" s="417">
        <v>8.8934999999999995</v>
      </c>
      <c r="I85" s="417">
        <v>26.680499999999999</v>
      </c>
      <c r="J85" s="417">
        <v>6.7915337249999972</v>
      </c>
      <c r="K85" s="419">
        <v>1.0061043255502227</v>
      </c>
      <c r="L85" s="133"/>
      <c r="M85" s="415" t="str">
        <f t="shared" si="1"/>
        <v/>
      </c>
    </row>
    <row r="86" spans="1:13" ht="14.45" customHeight="1" x14ac:dyDescent="0.2">
      <c r="A86" s="420" t="s">
        <v>324</v>
      </c>
      <c r="B86" s="416">
        <v>898.52538300000003</v>
      </c>
      <c r="C86" s="417">
        <v>962.28317999999899</v>
      </c>
      <c r="D86" s="417">
        <v>63.757796999998959</v>
      </c>
      <c r="E86" s="418">
        <v>1.0709582591725169</v>
      </c>
      <c r="F86" s="416">
        <v>1074.2478206000001</v>
      </c>
      <c r="G86" s="417">
        <v>805.68586545000005</v>
      </c>
      <c r="H86" s="417">
        <v>112.43289</v>
      </c>
      <c r="I86" s="417">
        <v>952.54156</v>
      </c>
      <c r="J86" s="417">
        <v>146.85569454999995</v>
      </c>
      <c r="K86" s="419">
        <v>0.88670560156964207</v>
      </c>
      <c r="L86" s="133"/>
      <c r="M86" s="415" t="str">
        <f t="shared" si="1"/>
        <v>X</v>
      </c>
    </row>
    <row r="87" spans="1:13" ht="14.45" customHeight="1" x14ac:dyDescent="0.2">
      <c r="A87" s="420" t="s">
        <v>325</v>
      </c>
      <c r="B87" s="416">
        <v>855.08194400000002</v>
      </c>
      <c r="C87" s="417">
        <v>846.41028000000006</v>
      </c>
      <c r="D87" s="417">
        <v>-8.6716639999999643</v>
      </c>
      <c r="E87" s="418">
        <v>0.98985867487806534</v>
      </c>
      <c r="F87" s="416">
        <v>942.22850579999999</v>
      </c>
      <c r="G87" s="417">
        <v>706.67137935000005</v>
      </c>
      <c r="H87" s="417">
        <v>79.001249999999999</v>
      </c>
      <c r="I87" s="417">
        <v>704.64122999999995</v>
      </c>
      <c r="J87" s="417">
        <v>-2.0301493500001015</v>
      </c>
      <c r="K87" s="419">
        <v>0.747845374728632</v>
      </c>
      <c r="L87" s="133"/>
      <c r="M87" s="415" t="str">
        <f t="shared" si="1"/>
        <v/>
      </c>
    </row>
    <row r="88" spans="1:13" ht="14.45" customHeight="1" x14ac:dyDescent="0.2">
      <c r="A88" s="420" t="s">
        <v>326</v>
      </c>
      <c r="B88" s="416">
        <v>0</v>
      </c>
      <c r="C88" s="417">
        <v>38.798650000000002</v>
      </c>
      <c r="D88" s="417">
        <v>38.798650000000002</v>
      </c>
      <c r="E88" s="418">
        <v>0</v>
      </c>
      <c r="F88" s="416">
        <v>23.7478911</v>
      </c>
      <c r="G88" s="417">
        <v>17.810918324999999</v>
      </c>
      <c r="H88" s="417">
        <v>1.7990299999999999</v>
      </c>
      <c r="I88" s="417">
        <v>15.818100000000001</v>
      </c>
      <c r="J88" s="417">
        <v>-1.9928183249999982</v>
      </c>
      <c r="K88" s="419">
        <v>0.66608440864881691</v>
      </c>
      <c r="L88" s="133"/>
      <c r="M88" s="415" t="str">
        <f t="shared" si="1"/>
        <v/>
      </c>
    </row>
    <row r="89" spans="1:13" ht="14.45" customHeight="1" x14ac:dyDescent="0.2">
      <c r="A89" s="420" t="s">
        <v>327</v>
      </c>
      <c r="B89" s="416">
        <v>3.2028820000000002</v>
      </c>
      <c r="C89" s="417">
        <v>0.96799999999999997</v>
      </c>
      <c r="D89" s="417">
        <v>-2.2348820000000003</v>
      </c>
      <c r="E89" s="418">
        <v>0.30222780608214722</v>
      </c>
      <c r="F89" s="416">
        <v>0.95654879999999998</v>
      </c>
      <c r="G89" s="417">
        <v>0.71741160000000004</v>
      </c>
      <c r="H89" s="417">
        <v>0.48399999999999999</v>
      </c>
      <c r="I89" s="417">
        <v>7.3567999999999998</v>
      </c>
      <c r="J89" s="417">
        <v>6.6393883999999996</v>
      </c>
      <c r="K89" s="419">
        <v>7.6909824151156743</v>
      </c>
      <c r="L89" s="133"/>
      <c r="M89" s="415" t="str">
        <f t="shared" si="1"/>
        <v/>
      </c>
    </row>
    <row r="90" spans="1:13" ht="14.45" customHeight="1" x14ac:dyDescent="0.2">
      <c r="A90" s="420" t="s">
        <v>328</v>
      </c>
      <c r="B90" s="416">
        <v>40.240557000000003</v>
      </c>
      <c r="C90" s="417">
        <v>34.77196</v>
      </c>
      <c r="D90" s="417">
        <v>-5.4685970000000026</v>
      </c>
      <c r="E90" s="418">
        <v>0.86410235325519968</v>
      </c>
      <c r="F90" s="416">
        <v>34.992875300000001</v>
      </c>
      <c r="G90" s="417">
        <v>26.244656474999999</v>
      </c>
      <c r="H90" s="417">
        <v>3.5137399999999999</v>
      </c>
      <c r="I90" s="417">
        <v>25.128259999999997</v>
      </c>
      <c r="J90" s="417">
        <v>-1.1163964750000019</v>
      </c>
      <c r="K90" s="419">
        <v>0.71809646348209621</v>
      </c>
      <c r="L90" s="133"/>
      <c r="M90" s="415" t="str">
        <f t="shared" si="1"/>
        <v/>
      </c>
    </row>
    <row r="91" spans="1:13" ht="14.45" customHeight="1" x14ac:dyDescent="0.2">
      <c r="A91" s="420" t="s">
        <v>329</v>
      </c>
      <c r="B91" s="416">
        <v>0</v>
      </c>
      <c r="C91" s="417">
        <v>41.334290000000003</v>
      </c>
      <c r="D91" s="417">
        <v>41.334290000000003</v>
      </c>
      <c r="E91" s="418">
        <v>0</v>
      </c>
      <c r="F91" s="416">
        <v>72.321999599999998</v>
      </c>
      <c r="G91" s="417">
        <v>54.241499699999999</v>
      </c>
      <c r="H91" s="417">
        <v>27.634869999999999</v>
      </c>
      <c r="I91" s="417">
        <v>199.59717000000001</v>
      </c>
      <c r="J91" s="417">
        <v>145.35567030000001</v>
      </c>
      <c r="K91" s="419">
        <v>2.7598403128223241</v>
      </c>
      <c r="L91" s="133"/>
      <c r="M91" s="415" t="str">
        <f t="shared" si="1"/>
        <v/>
      </c>
    </row>
    <row r="92" spans="1:13" ht="14.45" customHeight="1" x14ac:dyDescent="0.2">
      <c r="A92" s="420" t="s">
        <v>330</v>
      </c>
      <c r="B92" s="416">
        <v>397.34884099999999</v>
      </c>
      <c r="C92" s="417">
        <v>537.73073999999997</v>
      </c>
      <c r="D92" s="417">
        <v>140.38189899999998</v>
      </c>
      <c r="E92" s="418">
        <v>1.3532963595582754</v>
      </c>
      <c r="F92" s="416">
        <v>340.01467609999997</v>
      </c>
      <c r="G92" s="417">
        <v>255.01100707499998</v>
      </c>
      <c r="H92" s="417">
        <v>23.310599999999997</v>
      </c>
      <c r="I92" s="417">
        <v>330.01868000000002</v>
      </c>
      <c r="J92" s="417">
        <v>75.007672925000037</v>
      </c>
      <c r="K92" s="419">
        <v>0.970601280466317</v>
      </c>
      <c r="L92" s="133"/>
      <c r="M92" s="415" t="str">
        <f t="shared" si="1"/>
        <v>X</v>
      </c>
    </row>
    <row r="93" spans="1:13" ht="14.45" customHeight="1" x14ac:dyDescent="0.2">
      <c r="A93" s="420" t="s">
        <v>331</v>
      </c>
      <c r="B93" s="416">
        <v>47.898108999999998</v>
      </c>
      <c r="C93" s="417">
        <v>0</v>
      </c>
      <c r="D93" s="417">
        <v>-47.898108999999998</v>
      </c>
      <c r="E93" s="418">
        <v>0</v>
      </c>
      <c r="F93" s="416">
        <v>0</v>
      </c>
      <c r="G93" s="417">
        <v>0</v>
      </c>
      <c r="H93" s="417">
        <v>0</v>
      </c>
      <c r="I93" s="417">
        <v>68.956000000000003</v>
      </c>
      <c r="J93" s="417">
        <v>68.956000000000003</v>
      </c>
      <c r="K93" s="419">
        <v>0</v>
      </c>
      <c r="L93" s="133"/>
      <c r="M93" s="415" t="str">
        <f t="shared" si="1"/>
        <v/>
      </c>
    </row>
    <row r="94" spans="1:13" ht="14.45" customHeight="1" x14ac:dyDescent="0.2">
      <c r="A94" s="420" t="s">
        <v>332</v>
      </c>
      <c r="B94" s="416">
        <v>224.22784200000001</v>
      </c>
      <c r="C94" s="417">
        <v>406.41684999999995</v>
      </c>
      <c r="D94" s="417">
        <v>182.18900799999994</v>
      </c>
      <c r="E94" s="418">
        <v>1.8125173322588546</v>
      </c>
      <c r="F94" s="416">
        <v>330</v>
      </c>
      <c r="G94" s="417">
        <v>247.5</v>
      </c>
      <c r="H94" s="417">
        <v>2.855</v>
      </c>
      <c r="I94" s="417">
        <v>122.80753</v>
      </c>
      <c r="J94" s="417">
        <v>-124.69247</v>
      </c>
      <c r="K94" s="419">
        <v>0.37214403030303028</v>
      </c>
      <c r="L94" s="133"/>
      <c r="M94" s="415" t="str">
        <f t="shared" si="1"/>
        <v/>
      </c>
    </row>
    <row r="95" spans="1:13" ht="14.45" customHeight="1" x14ac:dyDescent="0.2">
      <c r="A95" s="420" t="s">
        <v>333</v>
      </c>
      <c r="B95" s="416">
        <v>4</v>
      </c>
      <c r="C95" s="417">
        <v>1.5899400000000001</v>
      </c>
      <c r="D95" s="417">
        <v>-2.4100599999999996</v>
      </c>
      <c r="E95" s="418">
        <v>0.39748500000000003</v>
      </c>
      <c r="F95" s="416">
        <v>3</v>
      </c>
      <c r="G95" s="417">
        <v>2.25</v>
      </c>
      <c r="H95" s="417">
        <v>0</v>
      </c>
      <c r="I95" s="417">
        <v>0</v>
      </c>
      <c r="J95" s="417">
        <v>-2.25</v>
      </c>
      <c r="K95" s="419">
        <v>0</v>
      </c>
      <c r="L95" s="133"/>
      <c r="M95" s="415" t="str">
        <f t="shared" si="1"/>
        <v/>
      </c>
    </row>
    <row r="96" spans="1:13" ht="14.45" customHeight="1" x14ac:dyDescent="0.2">
      <c r="A96" s="420" t="s">
        <v>334</v>
      </c>
      <c r="B96" s="416">
        <v>9.479023999999999</v>
      </c>
      <c r="C96" s="417">
        <v>1.9259999999999999</v>
      </c>
      <c r="D96" s="417">
        <v>-7.5530239999999988</v>
      </c>
      <c r="E96" s="418">
        <v>0.20318547563546629</v>
      </c>
      <c r="F96" s="416">
        <v>2.0146757000000002</v>
      </c>
      <c r="G96" s="417">
        <v>1.511006775</v>
      </c>
      <c r="H96" s="417">
        <v>4.7981999999999996</v>
      </c>
      <c r="I96" s="417">
        <v>4.7981999999999996</v>
      </c>
      <c r="J96" s="417">
        <v>3.2871932249999993</v>
      </c>
      <c r="K96" s="419">
        <v>2.3816240003291842</v>
      </c>
      <c r="L96" s="133"/>
      <c r="M96" s="415" t="str">
        <f t="shared" si="1"/>
        <v/>
      </c>
    </row>
    <row r="97" spans="1:13" ht="14.45" customHeight="1" x14ac:dyDescent="0.2">
      <c r="A97" s="420" t="s">
        <v>335</v>
      </c>
      <c r="B97" s="416">
        <v>111.743866</v>
      </c>
      <c r="C97" s="417">
        <v>104.20295</v>
      </c>
      <c r="D97" s="417">
        <v>-7.5409159999999957</v>
      </c>
      <c r="E97" s="418">
        <v>0.93251606311884716</v>
      </c>
      <c r="F97" s="416">
        <v>0</v>
      </c>
      <c r="G97" s="417">
        <v>0</v>
      </c>
      <c r="H97" s="417">
        <v>15.657399999999999</v>
      </c>
      <c r="I97" s="417">
        <v>70.458300000000008</v>
      </c>
      <c r="J97" s="417">
        <v>70.458300000000008</v>
      </c>
      <c r="K97" s="419">
        <v>0</v>
      </c>
      <c r="L97" s="133"/>
      <c r="M97" s="415" t="str">
        <f t="shared" si="1"/>
        <v/>
      </c>
    </row>
    <row r="98" spans="1:13" ht="14.45" customHeight="1" x14ac:dyDescent="0.2">
      <c r="A98" s="420" t="s">
        <v>336</v>
      </c>
      <c r="B98" s="416">
        <v>0</v>
      </c>
      <c r="C98" s="417">
        <v>0</v>
      </c>
      <c r="D98" s="417">
        <v>0</v>
      </c>
      <c r="E98" s="418">
        <v>0</v>
      </c>
      <c r="F98" s="416">
        <v>0</v>
      </c>
      <c r="G98" s="417">
        <v>0</v>
      </c>
      <c r="H98" s="417">
        <v>0</v>
      </c>
      <c r="I98" s="417">
        <v>44.12265</v>
      </c>
      <c r="J98" s="417">
        <v>44.12265</v>
      </c>
      <c r="K98" s="419">
        <v>0</v>
      </c>
      <c r="L98" s="133"/>
      <c r="M98" s="415" t="str">
        <f t="shared" si="1"/>
        <v/>
      </c>
    </row>
    <row r="99" spans="1:13" ht="14.45" customHeight="1" x14ac:dyDescent="0.2">
      <c r="A99" s="420" t="s">
        <v>337</v>
      </c>
      <c r="B99" s="416">
        <v>0</v>
      </c>
      <c r="C99" s="417">
        <v>23.594999999999999</v>
      </c>
      <c r="D99" s="417">
        <v>23.594999999999999</v>
      </c>
      <c r="E99" s="418">
        <v>0</v>
      </c>
      <c r="F99" s="416">
        <v>5.0000004000000002</v>
      </c>
      <c r="G99" s="417">
        <v>3.7500003</v>
      </c>
      <c r="H99" s="417">
        <v>0</v>
      </c>
      <c r="I99" s="417">
        <v>18.876000000000001</v>
      </c>
      <c r="J99" s="417">
        <v>15.125999700000001</v>
      </c>
      <c r="K99" s="419">
        <v>3.7751996979840241</v>
      </c>
      <c r="L99" s="133"/>
      <c r="M99" s="415" t="str">
        <f t="shared" si="1"/>
        <v/>
      </c>
    </row>
    <row r="100" spans="1:13" ht="14.45" customHeight="1" x14ac:dyDescent="0.2">
      <c r="A100" s="420" t="s">
        <v>338</v>
      </c>
      <c r="B100" s="416">
        <v>0.462978</v>
      </c>
      <c r="C100" s="417">
        <v>0</v>
      </c>
      <c r="D100" s="417">
        <v>-0.462978</v>
      </c>
      <c r="E100" s="418">
        <v>0</v>
      </c>
      <c r="F100" s="416">
        <v>0</v>
      </c>
      <c r="G100" s="417">
        <v>0</v>
      </c>
      <c r="H100" s="417">
        <v>0</v>
      </c>
      <c r="I100" s="417">
        <v>0</v>
      </c>
      <c r="J100" s="417">
        <v>0</v>
      </c>
      <c r="K100" s="419">
        <v>0</v>
      </c>
      <c r="L100" s="133"/>
      <c r="M100" s="415" t="str">
        <f t="shared" si="1"/>
        <v>X</v>
      </c>
    </row>
    <row r="101" spans="1:13" ht="14.45" customHeight="1" x14ac:dyDescent="0.2">
      <c r="A101" s="420" t="s">
        <v>339</v>
      </c>
      <c r="B101" s="416">
        <v>0.462978</v>
      </c>
      <c r="C101" s="417">
        <v>0</v>
      </c>
      <c r="D101" s="417">
        <v>-0.462978</v>
      </c>
      <c r="E101" s="418">
        <v>0</v>
      </c>
      <c r="F101" s="416">
        <v>0</v>
      </c>
      <c r="G101" s="417">
        <v>0</v>
      </c>
      <c r="H101" s="417">
        <v>0</v>
      </c>
      <c r="I101" s="417">
        <v>0</v>
      </c>
      <c r="J101" s="417">
        <v>0</v>
      </c>
      <c r="K101" s="419">
        <v>0</v>
      </c>
      <c r="L101" s="133"/>
      <c r="M101" s="415" t="str">
        <f t="shared" si="1"/>
        <v/>
      </c>
    </row>
    <row r="102" spans="1:13" ht="14.45" customHeight="1" x14ac:dyDescent="0.2">
      <c r="A102" s="420" t="s">
        <v>340</v>
      </c>
      <c r="B102" s="416">
        <v>0</v>
      </c>
      <c r="C102" s="417">
        <v>871.56368999999995</v>
      </c>
      <c r="D102" s="417">
        <v>871.56368999999995</v>
      </c>
      <c r="E102" s="418">
        <v>0</v>
      </c>
      <c r="F102" s="416">
        <v>81.756016600000009</v>
      </c>
      <c r="G102" s="417">
        <v>61.317012450000007</v>
      </c>
      <c r="H102" s="417">
        <v>20.536000000000001</v>
      </c>
      <c r="I102" s="417">
        <v>773.88688999999999</v>
      </c>
      <c r="J102" s="417">
        <v>712.56987755</v>
      </c>
      <c r="K102" s="419">
        <v>9.465809639262682</v>
      </c>
      <c r="L102" s="133"/>
      <c r="M102" s="415" t="str">
        <f t="shared" si="1"/>
        <v>X</v>
      </c>
    </row>
    <row r="103" spans="1:13" ht="14.45" customHeight="1" x14ac:dyDescent="0.2">
      <c r="A103" s="420" t="s">
        <v>341</v>
      </c>
      <c r="B103" s="416">
        <v>0</v>
      </c>
      <c r="C103" s="417">
        <v>804.00424999999996</v>
      </c>
      <c r="D103" s="417">
        <v>804.00424999999996</v>
      </c>
      <c r="E103" s="418">
        <v>0</v>
      </c>
      <c r="F103" s="416">
        <v>0</v>
      </c>
      <c r="G103" s="417">
        <v>0</v>
      </c>
      <c r="H103" s="417">
        <v>20.536000000000001</v>
      </c>
      <c r="I103" s="417">
        <v>761.82590000000005</v>
      </c>
      <c r="J103" s="417">
        <v>761.82590000000005</v>
      </c>
      <c r="K103" s="419">
        <v>0</v>
      </c>
      <c r="L103" s="133"/>
      <c r="M103" s="415" t="str">
        <f t="shared" si="1"/>
        <v/>
      </c>
    </row>
    <row r="104" spans="1:13" ht="14.45" customHeight="1" x14ac:dyDescent="0.2">
      <c r="A104" s="420" t="s">
        <v>342</v>
      </c>
      <c r="B104" s="416">
        <v>0</v>
      </c>
      <c r="C104" s="417">
        <v>3.6309999999999998</v>
      </c>
      <c r="D104" s="417">
        <v>3.6309999999999998</v>
      </c>
      <c r="E104" s="418">
        <v>0</v>
      </c>
      <c r="F104" s="416">
        <v>3.5642326</v>
      </c>
      <c r="G104" s="417">
        <v>2.6731744499999999</v>
      </c>
      <c r="H104" s="417">
        <v>0</v>
      </c>
      <c r="I104" s="417">
        <v>3.2</v>
      </c>
      <c r="J104" s="417">
        <v>0.52682555000000031</v>
      </c>
      <c r="K104" s="419">
        <v>0.8978089701553148</v>
      </c>
      <c r="L104" s="133"/>
      <c r="M104" s="415" t="str">
        <f t="shared" si="1"/>
        <v/>
      </c>
    </row>
    <row r="105" spans="1:13" ht="14.45" customHeight="1" x14ac:dyDescent="0.2">
      <c r="A105" s="420" t="s">
        <v>343</v>
      </c>
      <c r="B105" s="416">
        <v>0</v>
      </c>
      <c r="C105" s="417">
        <v>63.928440000000002</v>
      </c>
      <c r="D105" s="417">
        <v>63.928440000000002</v>
      </c>
      <c r="E105" s="418">
        <v>0</v>
      </c>
      <c r="F105" s="416">
        <v>78.191783999999998</v>
      </c>
      <c r="G105" s="417">
        <v>58.643838000000002</v>
      </c>
      <c r="H105" s="417">
        <v>0</v>
      </c>
      <c r="I105" s="417">
        <v>8.8609899999999993</v>
      </c>
      <c r="J105" s="417">
        <v>-49.782848000000001</v>
      </c>
      <c r="K105" s="419">
        <v>0.1133237988277643</v>
      </c>
      <c r="L105" s="133"/>
      <c r="M105" s="415" t="str">
        <f t="shared" si="1"/>
        <v/>
      </c>
    </row>
    <row r="106" spans="1:13" ht="14.45" customHeight="1" x14ac:dyDescent="0.2">
      <c r="A106" s="420" t="s">
        <v>344</v>
      </c>
      <c r="B106" s="416">
        <v>34841.715801999999</v>
      </c>
      <c r="C106" s="417">
        <v>36729.127140000004</v>
      </c>
      <c r="D106" s="417">
        <v>1887.4113380000053</v>
      </c>
      <c r="E106" s="418">
        <v>1.054171021562941</v>
      </c>
      <c r="F106" s="416">
        <v>40320.443253199999</v>
      </c>
      <c r="G106" s="417">
        <v>30240.332439899998</v>
      </c>
      <c r="H106" s="417">
        <v>2950.14435</v>
      </c>
      <c r="I106" s="417">
        <v>27453.899069999999</v>
      </c>
      <c r="J106" s="417">
        <v>-2786.4333698999981</v>
      </c>
      <c r="K106" s="419">
        <v>0.68089278923840058</v>
      </c>
      <c r="L106" s="133"/>
      <c r="M106" s="415" t="str">
        <f t="shared" si="1"/>
        <v/>
      </c>
    </row>
    <row r="107" spans="1:13" ht="14.45" customHeight="1" x14ac:dyDescent="0.2">
      <c r="A107" s="420" t="s">
        <v>345</v>
      </c>
      <c r="B107" s="416">
        <v>25062.9</v>
      </c>
      <c r="C107" s="417">
        <v>27171.014999999999</v>
      </c>
      <c r="D107" s="417">
        <v>2108.114999999998</v>
      </c>
      <c r="E107" s="418">
        <v>1.084112971763044</v>
      </c>
      <c r="F107" s="416">
        <v>29673.859357900001</v>
      </c>
      <c r="G107" s="417">
        <v>22255.394518425001</v>
      </c>
      <c r="H107" s="417">
        <v>2187.4180000000001</v>
      </c>
      <c r="I107" s="417">
        <v>20341.821</v>
      </c>
      <c r="J107" s="417">
        <v>-1913.5735184250007</v>
      </c>
      <c r="K107" s="419">
        <v>0.68551315670317237</v>
      </c>
      <c r="L107" s="133"/>
      <c r="M107" s="415" t="str">
        <f t="shared" si="1"/>
        <v/>
      </c>
    </row>
    <row r="108" spans="1:13" ht="14.45" customHeight="1" x14ac:dyDescent="0.2">
      <c r="A108" s="420" t="s">
        <v>346</v>
      </c>
      <c r="B108" s="416">
        <v>24626.69</v>
      </c>
      <c r="C108" s="417">
        <v>26585.917000000001</v>
      </c>
      <c r="D108" s="417">
        <v>1959.2270000000026</v>
      </c>
      <c r="E108" s="418">
        <v>1.0795570578100429</v>
      </c>
      <c r="F108" s="416">
        <v>29111.1462421</v>
      </c>
      <c r="G108" s="417">
        <v>21833.359681574999</v>
      </c>
      <c r="H108" s="417">
        <v>2125.5419999999999</v>
      </c>
      <c r="I108" s="417">
        <v>19860.648000000001</v>
      </c>
      <c r="J108" s="417">
        <v>-1972.7116815749978</v>
      </c>
      <c r="K108" s="419">
        <v>0.6822351766856195</v>
      </c>
      <c r="L108" s="133"/>
      <c r="M108" s="415" t="str">
        <f t="shared" si="1"/>
        <v>X</v>
      </c>
    </row>
    <row r="109" spans="1:13" ht="14.45" customHeight="1" x14ac:dyDescent="0.2">
      <c r="A109" s="420" t="s">
        <v>347</v>
      </c>
      <c r="B109" s="416">
        <v>24626.69</v>
      </c>
      <c r="C109" s="417">
        <v>26585.917000000001</v>
      </c>
      <c r="D109" s="417">
        <v>1959.2270000000026</v>
      </c>
      <c r="E109" s="418">
        <v>1.0795570578100429</v>
      </c>
      <c r="F109" s="416">
        <v>29111.1462421</v>
      </c>
      <c r="G109" s="417">
        <v>21833.359681574999</v>
      </c>
      <c r="H109" s="417">
        <v>2125.5419999999999</v>
      </c>
      <c r="I109" s="417">
        <v>19860.648000000001</v>
      </c>
      <c r="J109" s="417">
        <v>-1972.7116815749978</v>
      </c>
      <c r="K109" s="419">
        <v>0.6822351766856195</v>
      </c>
      <c r="L109" s="133"/>
      <c r="M109" s="415" t="str">
        <f t="shared" si="1"/>
        <v/>
      </c>
    </row>
    <row r="110" spans="1:13" ht="14.45" customHeight="1" x14ac:dyDescent="0.2">
      <c r="A110" s="420" t="s">
        <v>348</v>
      </c>
      <c r="B110" s="416">
        <v>239.52</v>
      </c>
      <c r="C110" s="417">
        <v>279.24</v>
      </c>
      <c r="D110" s="417">
        <v>39.72</v>
      </c>
      <c r="E110" s="418">
        <v>1.1658316633266532</v>
      </c>
      <c r="F110" s="416">
        <v>282.05454599999996</v>
      </c>
      <c r="G110" s="417">
        <v>211.54090949999997</v>
      </c>
      <c r="H110" s="417">
        <v>25.57</v>
      </c>
      <c r="I110" s="417">
        <v>213.81</v>
      </c>
      <c r="J110" s="417">
        <v>2.2690905000000328</v>
      </c>
      <c r="K110" s="419">
        <v>0.75804486413064243</v>
      </c>
      <c r="L110" s="133"/>
      <c r="M110" s="415" t="str">
        <f t="shared" si="1"/>
        <v>X</v>
      </c>
    </row>
    <row r="111" spans="1:13" ht="14.45" customHeight="1" x14ac:dyDescent="0.2">
      <c r="A111" s="420" t="s">
        <v>349</v>
      </c>
      <c r="B111" s="416">
        <v>239.52</v>
      </c>
      <c r="C111" s="417">
        <v>279.24</v>
      </c>
      <c r="D111" s="417">
        <v>39.72</v>
      </c>
      <c r="E111" s="418">
        <v>1.1658316633266532</v>
      </c>
      <c r="F111" s="416">
        <v>282.05454599999996</v>
      </c>
      <c r="G111" s="417">
        <v>211.54090949999997</v>
      </c>
      <c r="H111" s="417">
        <v>25.57</v>
      </c>
      <c r="I111" s="417">
        <v>213.81</v>
      </c>
      <c r="J111" s="417">
        <v>2.2690905000000328</v>
      </c>
      <c r="K111" s="419">
        <v>0.75804486413064243</v>
      </c>
      <c r="L111" s="133"/>
      <c r="M111" s="415" t="str">
        <f t="shared" si="1"/>
        <v/>
      </c>
    </row>
    <row r="112" spans="1:13" ht="14.45" customHeight="1" x14ac:dyDescent="0.2">
      <c r="A112" s="420" t="s">
        <v>350</v>
      </c>
      <c r="B112" s="416">
        <v>80.290000000000006</v>
      </c>
      <c r="C112" s="417">
        <v>192.358</v>
      </c>
      <c r="D112" s="417">
        <v>112.068</v>
      </c>
      <c r="E112" s="418">
        <v>2.3957902603063892</v>
      </c>
      <c r="F112" s="416">
        <v>189.21058859999999</v>
      </c>
      <c r="G112" s="417">
        <v>141.90794145000001</v>
      </c>
      <c r="H112" s="417">
        <v>20.556000000000001</v>
      </c>
      <c r="I112" s="417">
        <v>188.863</v>
      </c>
      <c r="J112" s="417">
        <v>46.95505854999999</v>
      </c>
      <c r="K112" s="419">
        <v>0.99816295376188058</v>
      </c>
      <c r="L112" s="133"/>
      <c r="M112" s="415" t="str">
        <f t="shared" si="1"/>
        <v>X</v>
      </c>
    </row>
    <row r="113" spans="1:13" ht="14.45" customHeight="1" x14ac:dyDescent="0.2">
      <c r="A113" s="420" t="s">
        <v>351</v>
      </c>
      <c r="B113" s="416">
        <v>80.290000000000006</v>
      </c>
      <c r="C113" s="417">
        <v>192.358</v>
      </c>
      <c r="D113" s="417">
        <v>112.068</v>
      </c>
      <c r="E113" s="418">
        <v>2.3957902603063892</v>
      </c>
      <c r="F113" s="416">
        <v>189.21058859999999</v>
      </c>
      <c r="G113" s="417">
        <v>141.90794145000001</v>
      </c>
      <c r="H113" s="417">
        <v>20.556000000000001</v>
      </c>
      <c r="I113" s="417">
        <v>188.863</v>
      </c>
      <c r="J113" s="417">
        <v>46.95505854999999</v>
      </c>
      <c r="K113" s="419">
        <v>0.99816295376188058</v>
      </c>
      <c r="L113" s="133"/>
      <c r="M113" s="415" t="str">
        <f t="shared" si="1"/>
        <v/>
      </c>
    </row>
    <row r="114" spans="1:13" ht="14.45" customHeight="1" x14ac:dyDescent="0.2">
      <c r="A114" s="420" t="s">
        <v>352</v>
      </c>
      <c r="B114" s="416">
        <v>116.4</v>
      </c>
      <c r="C114" s="417">
        <v>113.5</v>
      </c>
      <c r="D114" s="417">
        <v>-2.9000000000000057</v>
      </c>
      <c r="E114" s="418">
        <v>0.97508591065292094</v>
      </c>
      <c r="F114" s="416">
        <v>91.447981200000001</v>
      </c>
      <c r="G114" s="417">
        <v>68.585985899999997</v>
      </c>
      <c r="H114" s="417">
        <v>15.75</v>
      </c>
      <c r="I114" s="417">
        <v>78.5</v>
      </c>
      <c r="J114" s="417">
        <v>9.9140141000000028</v>
      </c>
      <c r="K114" s="419">
        <v>0.85841151406412897</v>
      </c>
      <c r="L114" s="133"/>
      <c r="M114" s="415" t="str">
        <f t="shared" si="1"/>
        <v>X</v>
      </c>
    </row>
    <row r="115" spans="1:13" ht="14.45" customHeight="1" x14ac:dyDescent="0.2">
      <c r="A115" s="420" t="s">
        <v>353</v>
      </c>
      <c r="B115" s="416">
        <v>116.4</v>
      </c>
      <c r="C115" s="417">
        <v>113.5</v>
      </c>
      <c r="D115" s="417">
        <v>-2.9000000000000057</v>
      </c>
      <c r="E115" s="418">
        <v>0.97508591065292094</v>
      </c>
      <c r="F115" s="416">
        <v>91.447981200000001</v>
      </c>
      <c r="G115" s="417">
        <v>68.585985899999997</v>
      </c>
      <c r="H115" s="417">
        <v>15.75</v>
      </c>
      <c r="I115" s="417">
        <v>78.5</v>
      </c>
      <c r="J115" s="417">
        <v>9.9140141000000028</v>
      </c>
      <c r="K115" s="419">
        <v>0.85841151406412897</v>
      </c>
      <c r="L115" s="133"/>
      <c r="M115" s="415" t="str">
        <f t="shared" si="1"/>
        <v/>
      </c>
    </row>
    <row r="116" spans="1:13" ht="14.45" customHeight="1" x14ac:dyDescent="0.2">
      <c r="A116" s="420" t="s">
        <v>354</v>
      </c>
      <c r="B116" s="416">
        <v>9124.61</v>
      </c>
      <c r="C116" s="417">
        <v>9022.510119999999</v>
      </c>
      <c r="D116" s="417">
        <v>-102.09988000000158</v>
      </c>
      <c r="E116" s="418">
        <v>0.98881049381836572</v>
      </c>
      <c r="F116" s="416">
        <v>9932.6264945000003</v>
      </c>
      <c r="G116" s="417">
        <v>7449.4698708750002</v>
      </c>
      <c r="H116" s="417">
        <v>719.80177000000003</v>
      </c>
      <c r="I116" s="417">
        <v>6711.0777600000001</v>
      </c>
      <c r="J116" s="417">
        <v>-738.39211087500007</v>
      </c>
      <c r="K116" s="419">
        <v>0.6756599338267808</v>
      </c>
      <c r="L116" s="133"/>
      <c r="M116" s="415" t="str">
        <f t="shared" si="1"/>
        <v/>
      </c>
    </row>
    <row r="117" spans="1:13" ht="14.45" customHeight="1" x14ac:dyDescent="0.2">
      <c r="A117" s="420" t="s">
        <v>355</v>
      </c>
      <c r="B117" s="416">
        <v>2415.34</v>
      </c>
      <c r="C117" s="417">
        <v>2413.4098199999999</v>
      </c>
      <c r="D117" s="417">
        <v>-1.9301800000002913</v>
      </c>
      <c r="E117" s="418">
        <v>0.99920086613064818</v>
      </c>
      <c r="F117" s="416">
        <v>2644.7822020999997</v>
      </c>
      <c r="G117" s="417">
        <v>1983.5866515749997</v>
      </c>
      <c r="H117" s="417">
        <v>193.791</v>
      </c>
      <c r="I117" s="417">
        <v>1803.0671</v>
      </c>
      <c r="J117" s="417">
        <v>-180.5195515749997</v>
      </c>
      <c r="K117" s="419">
        <v>0.68174502178982288</v>
      </c>
      <c r="L117" s="133"/>
      <c r="M117" s="415" t="str">
        <f t="shared" si="1"/>
        <v>X</v>
      </c>
    </row>
    <row r="118" spans="1:13" ht="14.45" customHeight="1" x14ac:dyDescent="0.2">
      <c r="A118" s="420" t="s">
        <v>356</v>
      </c>
      <c r="B118" s="416">
        <v>2415.34</v>
      </c>
      <c r="C118" s="417">
        <v>2413.4098199999999</v>
      </c>
      <c r="D118" s="417">
        <v>-1.9301800000002913</v>
      </c>
      <c r="E118" s="418">
        <v>0.99920086613064818</v>
      </c>
      <c r="F118" s="416">
        <v>2644.7822020999997</v>
      </c>
      <c r="G118" s="417">
        <v>1983.5866515749997</v>
      </c>
      <c r="H118" s="417">
        <v>193.791</v>
      </c>
      <c r="I118" s="417">
        <v>1803.0671</v>
      </c>
      <c r="J118" s="417">
        <v>-180.5195515749997</v>
      </c>
      <c r="K118" s="419">
        <v>0.68174502178982288</v>
      </c>
      <c r="L118" s="133"/>
      <c r="M118" s="415" t="str">
        <f t="shared" si="1"/>
        <v/>
      </c>
    </row>
    <row r="119" spans="1:13" ht="14.45" customHeight="1" x14ac:dyDescent="0.2">
      <c r="A119" s="420" t="s">
        <v>357</v>
      </c>
      <c r="B119" s="416">
        <v>6709.27</v>
      </c>
      <c r="C119" s="417">
        <v>6609.1003000000001</v>
      </c>
      <c r="D119" s="417">
        <v>-100.16970000000038</v>
      </c>
      <c r="E119" s="418">
        <v>0.98506995544969866</v>
      </c>
      <c r="F119" s="416">
        <v>7287.8442924000001</v>
      </c>
      <c r="G119" s="417">
        <v>5465.8832193000007</v>
      </c>
      <c r="H119" s="417">
        <v>526.01076999999998</v>
      </c>
      <c r="I119" s="417">
        <v>4908.0106599999999</v>
      </c>
      <c r="J119" s="417">
        <v>-557.87255930000083</v>
      </c>
      <c r="K119" s="419">
        <v>0.67345163577633405</v>
      </c>
      <c r="L119" s="133"/>
      <c r="M119" s="415" t="str">
        <f t="shared" si="1"/>
        <v>X</v>
      </c>
    </row>
    <row r="120" spans="1:13" ht="14.45" customHeight="1" x14ac:dyDescent="0.2">
      <c r="A120" s="420" t="s">
        <v>358</v>
      </c>
      <c r="B120" s="416">
        <v>6709.27</v>
      </c>
      <c r="C120" s="417">
        <v>6609.1003000000001</v>
      </c>
      <c r="D120" s="417">
        <v>-100.16970000000038</v>
      </c>
      <c r="E120" s="418">
        <v>0.98506995544969866</v>
      </c>
      <c r="F120" s="416">
        <v>7287.8442924000001</v>
      </c>
      <c r="G120" s="417">
        <v>5465.8832193000007</v>
      </c>
      <c r="H120" s="417">
        <v>526.01076999999998</v>
      </c>
      <c r="I120" s="417">
        <v>4908.0106599999999</v>
      </c>
      <c r="J120" s="417">
        <v>-557.87255930000083</v>
      </c>
      <c r="K120" s="419">
        <v>0.67345163577633405</v>
      </c>
      <c r="L120" s="133"/>
      <c r="M120" s="415" t="str">
        <f t="shared" si="1"/>
        <v/>
      </c>
    </row>
    <row r="121" spans="1:13" ht="14.45" customHeight="1" x14ac:dyDescent="0.2">
      <c r="A121" s="420" t="s">
        <v>359</v>
      </c>
      <c r="B121" s="416">
        <v>112.025802</v>
      </c>
      <c r="C121" s="417">
        <v>0</v>
      </c>
      <c r="D121" s="417">
        <v>-112.025802</v>
      </c>
      <c r="E121" s="418">
        <v>0</v>
      </c>
      <c r="F121" s="416">
        <v>120.4802109</v>
      </c>
      <c r="G121" s="417">
        <v>90.360158175000009</v>
      </c>
      <c r="H121" s="417">
        <v>0</v>
      </c>
      <c r="I121" s="417">
        <v>0</v>
      </c>
      <c r="J121" s="417">
        <v>-90.360158175000009</v>
      </c>
      <c r="K121" s="419">
        <v>0</v>
      </c>
      <c r="L121" s="133"/>
      <c r="M121" s="415" t="str">
        <f t="shared" si="1"/>
        <v/>
      </c>
    </row>
    <row r="122" spans="1:13" ht="14.45" customHeight="1" x14ac:dyDescent="0.2">
      <c r="A122" s="420" t="s">
        <v>360</v>
      </c>
      <c r="B122" s="416">
        <v>112.025802</v>
      </c>
      <c r="C122" s="417">
        <v>0</v>
      </c>
      <c r="D122" s="417">
        <v>-112.025802</v>
      </c>
      <c r="E122" s="418">
        <v>0</v>
      </c>
      <c r="F122" s="416">
        <v>120.4802109</v>
      </c>
      <c r="G122" s="417">
        <v>90.360158175000009</v>
      </c>
      <c r="H122" s="417">
        <v>0</v>
      </c>
      <c r="I122" s="417">
        <v>0</v>
      </c>
      <c r="J122" s="417">
        <v>-90.360158175000009</v>
      </c>
      <c r="K122" s="419">
        <v>0</v>
      </c>
      <c r="L122" s="133"/>
      <c r="M122" s="415" t="str">
        <f t="shared" si="1"/>
        <v>X</v>
      </c>
    </row>
    <row r="123" spans="1:13" ht="14.45" customHeight="1" x14ac:dyDescent="0.2">
      <c r="A123" s="420" t="s">
        <v>361</v>
      </c>
      <c r="B123" s="416">
        <v>112.025802</v>
      </c>
      <c r="C123" s="417">
        <v>0</v>
      </c>
      <c r="D123" s="417">
        <v>-112.025802</v>
      </c>
      <c r="E123" s="418">
        <v>0</v>
      </c>
      <c r="F123" s="416">
        <v>120.4802109</v>
      </c>
      <c r="G123" s="417">
        <v>90.360158175000009</v>
      </c>
      <c r="H123" s="417">
        <v>0</v>
      </c>
      <c r="I123" s="417">
        <v>0</v>
      </c>
      <c r="J123" s="417">
        <v>-90.360158175000009</v>
      </c>
      <c r="K123" s="419">
        <v>0</v>
      </c>
      <c r="L123" s="133"/>
      <c r="M123" s="415" t="str">
        <f t="shared" si="1"/>
        <v/>
      </c>
    </row>
    <row r="124" spans="1:13" ht="14.45" customHeight="1" x14ac:dyDescent="0.2">
      <c r="A124" s="420" t="s">
        <v>362</v>
      </c>
      <c r="B124" s="416">
        <v>542.17999999999995</v>
      </c>
      <c r="C124" s="417">
        <v>535.60202000000004</v>
      </c>
      <c r="D124" s="417">
        <v>-6.5779799999999113</v>
      </c>
      <c r="E124" s="418">
        <v>0.98786753476705169</v>
      </c>
      <c r="F124" s="416">
        <v>593.47718989999998</v>
      </c>
      <c r="G124" s="417">
        <v>445.10789242499999</v>
      </c>
      <c r="H124" s="417">
        <v>42.924579999999999</v>
      </c>
      <c r="I124" s="417">
        <v>401.00031000000001</v>
      </c>
      <c r="J124" s="417">
        <v>-44.107582424999976</v>
      </c>
      <c r="K124" s="419">
        <v>0.67567939732876336</v>
      </c>
      <c r="L124" s="133"/>
      <c r="M124" s="415" t="str">
        <f t="shared" si="1"/>
        <v/>
      </c>
    </row>
    <row r="125" spans="1:13" ht="14.45" customHeight="1" x14ac:dyDescent="0.2">
      <c r="A125" s="420" t="s">
        <v>363</v>
      </c>
      <c r="B125" s="416">
        <v>542.17999999999995</v>
      </c>
      <c r="C125" s="417">
        <v>535.60202000000004</v>
      </c>
      <c r="D125" s="417">
        <v>-6.5779799999999113</v>
      </c>
      <c r="E125" s="418">
        <v>0.98786753476705169</v>
      </c>
      <c r="F125" s="416">
        <v>593.47718989999998</v>
      </c>
      <c r="G125" s="417">
        <v>445.10789242499999</v>
      </c>
      <c r="H125" s="417">
        <v>42.924579999999999</v>
      </c>
      <c r="I125" s="417">
        <v>401.00031000000001</v>
      </c>
      <c r="J125" s="417">
        <v>-44.107582424999976</v>
      </c>
      <c r="K125" s="419">
        <v>0.67567939732876336</v>
      </c>
      <c r="L125" s="133"/>
      <c r="M125" s="415" t="str">
        <f t="shared" si="1"/>
        <v>X</v>
      </c>
    </row>
    <row r="126" spans="1:13" ht="14.45" customHeight="1" x14ac:dyDescent="0.2">
      <c r="A126" s="420" t="s">
        <v>364</v>
      </c>
      <c r="B126" s="416">
        <v>542.17999999999995</v>
      </c>
      <c r="C126" s="417">
        <v>535.60202000000004</v>
      </c>
      <c r="D126" s="417">
        <v>-6.5779799999999113</v>
      </c>
      <c r="E126" s="418">
        <v>0.98786753476705169</v>
      </c>
      <c r="F126" s="416">
        <v>593.47718989999998</v>
      </c>
      <c r="G126" s="417">
        <v>445.10789242499999</v>
      </c>
      <c r="H126" s="417">
        <v>42.924579999999999</v>
      </c>
      <c r="I126" s="417">
        <v>401.00031000000001</v>
      </c>
      <c r="J126" s="417">
        <v>-44.107582424999976</v>
      </c>
      <c r="K126" s="419">
        <v>0.67567939732876336</v>
      </c>
      <c r="L126" s="133"/>
      <c r="M126" s="415" t="str">
        <f t="shared" si="1"/>
        <v/>
      </c>
    </row>
    <row r="127" spans="1:13" ht="14.45" customHeight="1" x14ac:dyDescent="0.2">
      <c r="A127" s="420" t="s">
        <v>365</v>
      </c>
      <c r="B127" s="416">
        <v>0</v>
      </c>
      <c r="C127" s="417">
        <v>68.171750000000003</v>
      </c>
      <c r="D127" s="417">
        <v>68.171750000000003</v>
      </c>
      <c r="E127" s="418">
        <v>0</v>
      </c>
      <c r="F127" s="416">
        <v>80.678482799999998</v>
      </c>
      <c r="G127" s="417">
        <v>60.508862100000002</v>
      </c>
      <c r="H127" s="417">
        <v>0.37824999999999998</v>
      </c>
      <c r="I127" s="417">
        <v>14.683</v>
      </c>
      <c r="J127" s="417">
        <v>-45.825862100000002</v>
      </c>
      <c r="K127" s="419">
        <v>0.18199400249504941</v>
      </c>
      <c r="L127" s="133"/>
      <c r="M127" s="415" t="str">
        <f t="shared" si="1"/>
        <v/>
      </c>
    </row>
    <row r="128" spans="1:13" ht="14.45" customHeight="1" x14ac:dyDescent="0.2">
      <c r="A128" s="420" t="s">
        <v>366</v>
      </c>
      <c r="B128" s="416">
        <v>0</v>
      </c>
      <c r="C128" s="417">
        <v>68.171750000000003</v>
      </c>
      <c r="D128" s="417">
        <v>68.171750000000003</v>
      </c>
      <c r="E128" s="418">
        <v>0</v>
      </c>
      <c r="F128" s="416">
        <v>80.678482799999998</v>
      </c>
      <c r="G128" s="417">
        <v>60.508862100000002</v>
      </c>
      <c r="H128" s="417">
        <v>0.37824999999999998</v>
      </c>
      <c r="I128" s="417">
        <v>14.683</v>
      </c>
      <c r="J128" s="417">
        <v>-45.825862100000002</v>
      </c>
      <c r="K128" s="419">
        <v>0.18199400249504941</v>
      </c>
      <c r="L128" s="133"/>
      <c r="M128" s="415" t="str">
        <f t="shared" si="1"/>
        <v/>
      </c>
    </row>
    <row r="129" spans="1:13" ht="14.45" customHeight="1" x14ac:dyDescent="0.2">
      <c r="A129" s="420" t="s">
        <v>367</v>
      </c>
      <c r="B129" s="416">
        <v>0</v>
      </c>
      <c r="C129" s="417">
        <v>68.171750000000003</v>
      </c>
      <c r="D129" s="417">
        <v>68.171750000000003</v>
      </c>
      <c r="E129" s="418">
        <v>0</v>
      </c>
      <c r="F129" s="416">
        <v>80.678482799999998</v>
      </c>
      <c r="G129" s="417">
        <v>60.508862100000002</v>
      </c>
      <c r="H129" s="417">
        <v>0.37824999999999998</v>
      </c>
      <c r="I129" s="417">
        <v>14.683</v>
      </c>
      <c r="J129" s="417">
        <v>-45.825862100000002</v>
      </c>
      <c r="K129" s="419">
        <v>0.18199400249504941</v>
      </c>
      <c r="L129" s="133"/>
      <c r="M129" s="415" t="str">
        <f t="shared" si="1"/>
        <v>X</v>
      </c>
    </row>
    <row r="130" spans="1:13" ht="14.45" customHeight="1" x14ac:dyDescent="0.2">
      <c r="A130" s="420" t="s">
        <v>368</v>
      </c>
      <c r="B130" s="416">
        <v>0</v>
      </c>
      <c r="C130" s="417">
        <v>8.3517499999999991</v>
      </c>
      <c r="D130" s="417">
        <v>8.3517499999999991</v>
      </c>
      <c r="E130" s="418">
        <v>0</v>
      </c>
      <c r="F130" s="416">
        <v>8.9074968000000005</v>
      </c>
      <c r="G130" s="417">
        <v>6.6806226000000004</v>
      </c>
      <c r="H130" s="417">
        <v>0.37824999999999998</v>
      </c>
      <c r="I130" s="417">
        <v>1.6830000000000001</v>
      </c>
      <c r="J130" s="417">
        <v>-4.9976226000000006</v>
      </c>
      <c r="K130" s="419">
        <v>0.18894197076781435</v>
      </c>
      <c r="L130" s="133"/>
      <c r="M130" s="415" t="str">
        <f t="shared" si="1"/>
        <v/>
      </c>
    </row>
    <row r="131" spans="1:13" ht="14.45" customHeight="1" x14ac:dyDescent="0.2">
      <c r="A131" s="420" t="s">
        <v>369</v>
      </c>
      <c r="B131" s="416">
        <v>0</v>
      </c>
      <c r="C131" s="417">
        <v>11.1</v>
      </c>
      <c r="D131" s="417">
        <v>11.1</v>
      </c>
      <c r="E131" s="418">
        <v>0</v>
      </c>
      <c r="F131" s="416">
        <v>17.6956332</v>
      </c>
      <c r="G131" s="417">
        <v>13.271724899999999</v>
      </c>
      <c r="H131" s="417">
        <v>0</v>
      </c>
      <c r="I131" s="417">
        <v>12.5</v>
      </c>
      <c r="J131" s="417">
        <v>-0.77172489999999883</v>
      </c>
      <c r="K131" s="419">
        <v>0.70638896380379312</v>
      </c>
      <c r="L131" s="133"/>
      <c r="M131" s="415" t="str">
        <f t="shared" si="1"/>
        <v/>
      </c>
    </row>
    <row r="132" spans="1:13" ht="14.45" customHeight="1" x14ac:dyDescent="0.2">
      <c r="A132" s="420" t="s">
        <v>370</v>
      </c>
      <c r="B132" s="416">
        <v>0</v>
      </c>
      <c r="C132" s="417">
        <v>48.5</v>
      </c>
      <c r="D132" s="417">
        <v>48.5</v>
      </c>
      <c r="E132" s="418">
        <v>0</v>
      </c>
      <c r="F132" s="416">
        <v>53.834308800000002</v>
      </c>
      <c r="G132" s="417">
        <v>40.375731600000002</v>
      </c>
      <c r="H132" s="417">
        <v>0</v>
      </c>
      <c r="I132" s="417">
        <v>0.5</v>
      </c>
      <c r="J132" s="417">
        <v>-39.875731600000002</v>
      </c>
      <c r="K132" s="419">
        <v>9.2877574012801296E-3</v>
      </c>
      <c r="L132" s="133"/>
      <c r="M132" s="415" t="str">
        <f t="shared" si="1"/>
        <v/>
      </c>
    </row>
    <row r="133" spans="1:13" ht="14.45" customHeight="1" x14ac:dyDescent="0.2">
      <c r="A133" s="420" t="s">
        <v>371</v>
      </c>
      <c r="B133" s="416">
        <v>0</v>
      </c>
      <c r="C133" s="417">
        <v>0.22</v>
      </c>
      <c r="D133" s="417">
        <v>0.22</v>
      </c>
      <c r="E133" s="418">
        <v>0</v>
      </c>
      <c r="F133" s="416">
        <v>0.24104400000000001</v>
      </c>
      <c r="G133" s="417">
        <v>0.180783</v>
      </c>
      <c r="H133" s="417">
        <v>0</v>
      </c>
      <c r="I133" s="417">
        <v>0</v>
      </c>
      <c r="J133" s="417">
        <v>-0.180783</v>
      </c>
      <c r="K133" s="419">
        <v>0</v>
      </c>
      <c r="L133" s="133"/>
      <c r="M133" s="415" t="str">
        <f t="shared" si="1"/>
        <v/>
      </c>
    </row>
    <row r="134" spans="1:13" ht="14.45" customHeight="1" x14ac:dyDescent="0.2">
      <c r="A134" s="420" t="s">
        <v>372</v>
      </c>
      <c r="B134" s="416">
        <v>1353.000008</v>
      </c>
      <c r="C134" s="417">
        <v>1671.2991999999999</v>
      </c>
      <c r="D134" s="417">
        <v>318.29919199999995</v>
      </c>
      <c r="E134" s="418">
        <v>1.23525439033109</v>
      </c>
      <c r="F134" s="416">
        <v>1611.2164886</v>
      </c>
      <c r="G134" s="417">
        <v>1208.41236645</v>
      </c>
      <c r="H134" s="417">
        <v>168.11323999999999</v>
      </c>
      <c r="I134" s="417">
        <v>1167.93732</v>
      </c>
      <c r="J134" s="417">
        <v>-40.475046450000036</v>
      </c>
      <c r="K134" s="419">
        <v>0.7248792004448954</v>
      </c>
      <c r="L134" s="133"/>
      <c r="M134" s="415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420" t="s">
        <v>373</v>
      </c>
      <c r="B135" s="416">
        <v>1345.000008</v>
      </c>
      <c r="C135" s="417">
        <v>1311.46965</v>
      </c>
      <c r="D135" s="417">
        <v>-33.530357999999978</v>
      </c>
      <c r="E135" s="418">
        <v>0.97507036594753682</v>
      </c>
      <c r="F135" s="416">
        <v>1611.2164886</v>
      </c>
      <c r="G135" s="417">
        <v>1208.41236645</v>
      </c>
      <c r="H135" s="417">
        <v>157.25460000000001</v>
      </c>
      <c r="I135" s="417">
        <v>1066.6273999999999</v>
      </c>
      <c r="J135" s="417">
        <v>-141.78496645000018</v>
      </c>
      <c r="K135" s="419">
        <v>0.662001293772013</v>
      </c>
      <c r="L135" s="133"/>
      <c r="M135" s="415" t="str">
        <f t="shared" si="2"/>
        <v/>
      </c>
    </row>
    <row r="136" spans="1:13" ht="14.45" customHeight="1" x14ac:dyDescent="0.2">
      <c r="A136" s="420" t="s">
        <v>374</v>
      </c>
      <c r="B136" s="416">
        <v>1345.000008</v>
      </c>
      <c r="C136" s="417">
        <v>1311.46965</v>
      </c>
      <c r="D136" s="417">
        <v>-33.530357999999978</v>
      </c>
      <c r="E136" s="418">
        <v>0.97507036594753682</v>
      </c>
      <c r="F136" s="416">
        <v>1611.2164886</v>
      </c>
      <c r="G136" s="417">
        <v>1208.41236645</v>
      </c>
      <c r="H136" s="417">
        <v>112.78160000000001</v>
      </c>
      <c r="I136" s="417">
        <v>1022.1544</v>
      </c>
      <c r="J136" s="417">
        <v>-186.25796645000003</v>
      </c>
      <c r="K136" s="419">
        <v>0.63439916810195929</v>
      </c>
      <c r="L136" s="133"/>
      <c r="M136" s="415" t="str">
        <f t="shared" si="2"/>
        <v>X</v>
      </c>
    </row>
    <row r="137" spans="1:13" ht="14.45" customHeight="1" x14ac:dyDescent="0.2">
      <c r="A137" s="420" t="s">
        <v>375</v>
      </c>
      <c r="B137" s="416">
        <v>873</v>
      </c>
      <c r="C137" s="417">
        <v>872.85969</v>
      </c>
      <c r="D137" s="417">
        <v>-0.14030999999999949</v>
      </c>
      <c r="E137" s="418">
        <v>0.99983927835051545</v>
      </c>
      <c r="F137" s="416">
        <v>1129.0624241999999</v>
      </c>
      <c r="G137" s="417">
        <v>846.79681814999992</v>
      </c>
      <c r="H137" s="417">
        <v>72.739429999999999</v>
      </c>
      <c r="I137" s="417">
        <v>654.65486999999996</v>
      </c>
      <c r="J137" s="417">
        <v>-192.14194814999996</v>
      </c>
      <c r="K137" s="419">
        <v>0.57982167856118083</v>
      </c>
      <c r="L137" s="133"/>
      <c r="M137" s="415" t="str">
        <f t="shared" si="2"/>
        <v/>
      </c>
    </row>
    <row r="138" spans="1:13" ht="14.45" customHeight="1" x14ac:dyDescent="0.2">
      <c r="A138" s="420" t="s">
        <v>376</v>
      </c>
      <c r="B138" s="416">
        <v>89.000004000000004</v>
      </c>
      <c r="C138" s="417">
        <v>55.427999999999997</v>
      </c>
      <c r="D138" s="417">
        <v>-33.572004000000007</v>
      </c>
      <c r="E138" s="418">
        <v>0.6227864888635285</v>
      </c>
      <c r="F138" s="416">
        <v>99.037054399999988</v>
      </c>
      <c r="G138" s="417">
        <v>74.277790799999991</v>
      </c>
      <c r="H138" s="417">
        <v>8.11</v>
      </c>
      <c r="I138" s="417">
        <v>80.11</v>
      </c>
      <c r="J138" s="417">
        <v>5.8322092000000083</v>
      </c>
      <c r="K138" s="419">
        <v>0.80888916260013488</v>
      </c>
      <c r="L138" s="133"/>
      <c r="M138" s="415" t="str">
        <f t="shared" si="2"/>
        <v/>
      </c>
    </row>
    <row r="139" spans="1:13" ht="14.45" customHeight="1" x14ac:dyDescent="0.2">
      <c r="A139" s="420" t="s">
        <v>377</v>
      </c>
      <c r="B139" s="416">
        <v>117</v>
      </c>
      <c r="C139" s="417">
        <v>117.372</v>
      </c>
      <c r="D139" s="417">
        <v>0.37199999999999989</v>
      </c>
      <c r="E139" s="418">
        <v>1.0031794871794872</v>
      </c>
      <c r="F139" s="416">
        <v>117.372</v>
      </c>
      <c r="G139" s="417">
        <v>88.029000000000011</v>
      </c>
      <c r="H139" s="417">
        <v>9.7810000000000006</v>
      </c>
      <c r="I139" s="417">
        <v>88.028999999999996</v>
      </c>
      <c r="J139" s="417">
        <v>-1.4210854715202004E-14</v>
      </c>
      <c r="K139" s="419">
        <v>0.75</v>
      </c>
      <c r="L139" s="133"/>
      <c r="M139" s="415" t="str">
        <f t="shared" si="2"/>
        <v/>
      </c>
    </row>
    <row r="140" spans="1:13" ht="14.45" customHeight="1" x14ac:dyDescent="0.2">
      <c r="A140" s="420" t="s">
        <v>378</v>
      </c>
      <c r="B140" s="416">
        <v>266.00000399999999</v>
      </c>
      <c r="C140" s="417">
        <v>265.80996000000005</v>
      </c>
      <c r="D140" s="417">
        <v>-0.19004399999994348</v>
      </c>
      <c r="E140" s="418">
        <v>0.99928554888292431</v>
      </c>
      <c r="F140" s="416">
        <v>265.74501000000004</v>
      </c>
      <c r="G140" s="417">
        <v>199.30875750000004</v>
      </c>
      <c r="H140" s="417">
        <v>22.151169999999997</v>
      </c>
      <c r="I140" s="417">
        <v>199.36053000000001</v>
      </c>
      <c r="J140" s="417">
        <v>5.1772499999970023E-2</v>
      </c>
      <c r="K140" s="419">
        <v>0.75019482021506245</v>
      </c>
      <c r="L140" s="133"/>
      <c r="M140" s="415" t="str">
        <f t="shared" si="2"/>
        <v/>
      </c>
    </row>
    <row r="141" spans="1:13" ht="14.45" customHeight="1" x14ac:dyDescent="0.2">
      <c r="A141" s="420" t="s">
        <v>379</v>
      </c>
      <c r="B141" s="416">
        <v>0</v>
      </c>
      <c r="C141" s="417">
        <v>0</v>
      </c>
      <c r="D141" s="417">
        <v>0</v>
      </c>
      <c r="E141" s="418">
        <v>0</v>
      </c>
      <c r="F141" s="416">
        <v>0</v>
      </c>
      <c r="G141" s="417">
        <v>0</v>
      </c>
      <c r="H141" s="417">
        <v>44.472999999999999</v>
      </c>
      <c r="I141" s="417">
        <v>44.472999999999999</v>
      </c>
      <c r="J141" s="417">
        <v>44.472999999999999</v>
      </c>
      <c r="K141" s="419">
        <v>0</v>
      </c>
      <c r="L141" s="133"/>
      <c r="M141" s="415" t="str">
        <f t="shared" si="2"/>
        <v>X</v>
      </c>
    </row>
    <row r="142" spans="1:13" ht="14.45" customHeight="1" x14ac:dyDescent="0.2">
      <c r="A142" s="420" t="s">
        <v>380</v>
      </c>
      <c r="B142" s="416">
        <v>0</v>
      </c>
      <c r="C142" s="417">
        <v>0</v>
      </c>
      <c r="D142" s="417">
        <v>0</v>
      </c>
      <c r="E142" s="418">
        <v>0</v>
      </c>
      <c r="F142" s="416">
        <v>0</v>
      </c>
      <c r="G142" s="417">
        <v>0</v>
      </c>
      <c r="H142" s="417">
        <v>44.472999999999999</v>
      </c>
      <c r="I142" s="417">
        <v>44.472999999999999</v>
      </c>
      <c r="J142" s="417">
        <v>44.472999999999999</v>
      </c>
      <c r="K142" s="419">
        <v>0</v>
      </c>
      <c r="L142" s="133"/>
      <c r="M142" s="415" t="str">
        <f t="shared" si="2"/>
        <v/>
      </c>
    </row>
    <row r="143" spans="1:13" ht="14.45" customHeight="1" x14ac:dyDescent="0.2">
      <c r="A143" s="420" t="s">
        <v>381</v>
      </c>
      <c r="B143" s="416">
        <v>8</v>
      </c>
      <c r="C143" s="417">
        <v>359.82954999999998</v>
      </c>
      <c r="D143" s="417">
        <v>351.82954999999998</v>
      </c>
      <c r="E143" s="418">
        <v>44.978693749999998</v>
      </c>
      <c r="F143" s="416">
        <v>0</v>
      </c>
      <c r="G143" s="417">
        <v>0</v>
      </c>
      <c r="H143" s="417">
        <v>10.858639999999999</v>
      </c>
      <c r="I143" s="417">
        <v>101.30992000000001</v>
      </c>
      <c r="J143" s="417">
        <v>101.30992000000001</v>
      </c>
      <c r="K143" s="419">
        <v>0</v>
      </c>
      <c r="L143" s="133"/>
      <c r="M143" s="415" t="str">
        <f t="shared" si="2"/>
        <v/>
      </c>
    </row>
    <row r="144" spans="1:13" ht="14.45" customHeight="1" x14ac:dyDescent="0.2">
      <c r="A144" s="420" t="s">
        <v>382</v>
      </c>
      <c r="B144" s="416">
        <v>8</v>
      </c>
      <c r="C144" s="417">
        <v>18.638999999999999</v>
      </c>
      <c r="D144" s="417">
        <v>10.638999999999999</v>
      </c>
      <c r="E144" s="418">
        <v>2.3298749999999999</v>
      </c>
      <c r="F144" s="416">
        <v>0</v>
      </c>
      <c r="G144" s="417">
        <v>0</v>
      </c>
      <c r="H144" s="417">
        <v>0</v>
      </c>
      <c r="I144" s="417">
        <v>0</v>
      </c>
      <c r="J144" s="417">
        <v>0</v>
      </c>
      <c r="K144" s="419">
        <v>0</v>
      </c>
      <c r="L144" s="133"/>
      <c r="M144" s="415" t="str">
        <f t="shared" si="2"/>
        <v>X</v>
      </c>
    </row>
    <row r="145" spans="1:13" ht="14.45" customHeight="1" x14ac:dyDescent="0.2">
      <c r="A145" s="420" t="s">
        <v>383</v>
      </c>
      <c r="B145" s="416">
        <v>8</v>
      </c>
      <c r="C145" s="417">
        <v>18.638999999999999</v>
      </c>
      <c r="D145" s="417">
        <v>10.638999999999999</v>
      </c>
      <c r="E145" s="418">
        <v>2.3298749999999999</v>
      </c>
      <c r="F145" s="416">
        <v>0</v>
      </c>
      <c r="G145" s="417">
        <v>0</v>
      </c>
      <c r="H145" s="417">
        <v>0</v>
      </c>
      <c r="I145" s="417">
        <v>0</v>
      </c>
      <c r="J145" s="417">
        <v>0</v>
      </c>
      <c r="K145" s="419">
        <v>0</v>
      </c>
      <c r="L145" s="133"/>
      <c r="M145" s="415" t="str">
        <f t="shared" si="2"/>
        <v/>
      </c>
    </row>
    <row r="146" spans="1:13" ht="14.45" customHeight="1" x14ac:dyDescent="0.2">
      <c r="A146" s="420" t="s">
        <v>384</v>
      </c>
      <c r="B146" s="416">
        <v>0</v>
      </c>
      <c r="C146" s="417">
        <v>19.43805</v>
      </c>
      <c r="D146" s="417">
        <v>19.43805</v>
      </c>
      <c r="E146" s="418">
        <v>0</v>
      </c>
      <c r="F146" s="416">
        <v>0</v>
      </c>
      <c r="G146" s="417">
        <v>0</v>
      </c>
      <c r="H146" s="417">
        <v>0</v>
      </c>
      <c r="I146" s="417">
        <v>15.181379999999999</v>
      </c>
      <c r="J146" s="417">
        <v>15.181379999999999</v>
      </c>
      <c r="K146" s="419">
        <v>0</v>
      </c>
      <c r="L146" s="133"/>
      <c r="M146" s="415" t="str">
        <f t="shared" si="2"/>
        <v>X</v>
      </c>
    </row>
    <row r="147" spans="1:13" ht="14.45" customHeight="1" x14ac:dyDescent="0.2">
      <c r="A147" s="420" t="s">
        <v>385</v>
      </c>
      <c r="B147" s="416">
        <v>0</v>
      </c>
      <c r="C147" s="417">
        <v>8.3114899999999992</v>
      </c>
      <c r="D147" s="417">
        <v>8.3114899999999992</v>
      </c>
      <c r="E147" s="418">
        <v>0</v>
      </c>
      <c r="F147" s="416">
        <v>0</v>
      </c>
      <c r="G147" s="417">
        <v>0</v>
      </c>
      <c r="H147" s="417">
        <v>0</v>
      </c>
      <c r="I147" s="417">
        <v>10.26999</v>
      </c>
      <c r="J147" s="417">
        <v>10.26999</v>
      </c>
      <c r="K147" s="419">
        <v>0</v>
      </c>
      <c r="L147" s="133"/>
      <c r="M147" s="415" t="str">
        <f t="shared" si="2"/>
        <v/>
      </c>
    </row>
    <row r="148" spans="1:13" ht="14.45" customHeight="1" x14ac:dyDescent="0.2">
      <c r="A148" s="420" t="s">
        <v>386</v>
      </c>
      <c r="B148" s="416">
        <v>0</v>
      </c>
      <c r="C148" s="417">
        <v>6.2145600000000005</v>
      </c>
      <c r="D148" s="417">
        <v>6.2145600000000005</v>
      </c>
      <c r="E148" s="418">
        <v>0</v>
      </c>
      <c r="F148" s="416">
        <v>0</v>
      </c>
      <c r="G148" s="417">
        <v>0</v>
      </c>
      <c r="H148" s="417">
        <v>0</v>
      </c>
      <c r="I148" s="417">
        <v>0</v>
      </c>
      <c r="J148" s="417">
        <v>0</v>
      </c>
      <c r="K148" s="419">
        <v>0</v>
      </c>
      <c r="L148" s="133"/>
      <c r="M148" s="415" t="str">
        <f t="shared" si="2"/>
        <v/>
      </c>
    </row>
    <row r="149" spans="1:13" ht="14.45" customHeight="1" x14ac:dyDescent="0.2">
      <c r="A149" s="420" t="s">
        <v>387</v>
      </c>
      <c r="B149" s="416">
        <v>0</v>
      </c>
      <c r="C149" s="417">
        <v>4.9119999999999999</v>
      </c>
      <c r="D149" s="417">
        <v>4.9119999999999999</v>
      </c>
      <c r="E149" s="418">
        <v>0</v>
      </c>
      <c r="F149" s="416">
        <v>0</v>
      </c>
      <c r="G149" s="417">
        <v>0</v>
      </c>
      <c r="H149" s="417">
        <v>0</v>
      </c>
      <c r="I149" s="417">
        <v>4.9113899999999999</v>
      </c>
      <c r="J149" s="417">
        <v>4.9113899999999999</v>
      </c>
      <c r="K149" s="419">
        <v>0</v>
      </c>
      <c r="L149" s="133"/>
      <c r="M149" s="415" t="str">
        <f t="shared" si="2"/>
        <v/>
      </c>
    </row>
    <row r="150" spans="1:13" ht="14.45" customHeight="1" x14ac:dyDescent="0.2">
      <c r="A150" s="420" t="s">
        <v>388</v>
      </c>
      <c r="B150" s="416">
        <v>0</v>
      </c>
      <c r="C150" s="417">
        <v>321.7525</v>
      </c>
      <c r="D150" s="417">
        <v>321.7525</v>
      </c>
      <c r="E150" s="418">
        <v>0</v>
      </c>
      <c r="F150" s="416">
        <v>0</v>
      </c>
      <c r="G150" s="417">
        <v>0</v>
      </c>
      <c r="H150" s="417">
        <v>10.858639999999999</v>
      </c>
      <c r="I150" s="417">
        <v>86.128539999999987</v>
      </c>
      <c r="J150" s="417">
        <v>86.128539999999987</v>
      </c>
      <c r="K150" s="419">
        <v>0</v>
      </c>
      <c r="L150" s="133"/>
      <c r="M150" s="415" t="str">
        <f t="shared" si="2"/>
        <v>X</v>
      </c>
    </row>
    <row r="151" spans="1:13" ht="14.45" customHeight="1" x14ac:dyDescent="0.2">
      <c r="A151" s="420" t="s">
        <v>389</v>
      </c>
      <c r="B151" s="416">
        <v>0</v>
      </c>
      <c r="C151" s="417">
        <v>0</v>
      </c>
      <c r="D151" s="417">
        <v>0</v>
      </c>
      <c r="E151" s="418">
        <v>0</v>
      </c>
      <c r="F151" s="416">
        <v>0</v>
      </c>
      <c r="G151" s="417">
        <v>0</v>
      </c>
      <c r="H151" s="417">
        <v>0</v>
      </c>
      <c r="I151" s="417">
        <v>10.285</v>
      </c>
      <c r="J151" s="417">
        <v>10.285</v>
      </c>
      <c r="K151" s="419">
        <v>0</v>
      </c>
      <c r="L151" s="133"/>
      <c r="M151" s="415" t="str">
        <f t="shared" si="2"/>
        <v/>
      </c>
    </row>
    <row r="152" spans="1:13" ht="14.45" customHeight="1" x14ac:dyDescent="0.2">
      <c r="A152" s="420" t="s">
        <v>390</v>
      </c>
      <c r="B152" s="416">
        <v>0</v>
      </c>
      <c r="C152" s="417">
        <v>321.7525</v>
      </c>
      <c r="D152" s="417">
        <v>321.7525</v>
      </c>
      <c r="E152" s="418">
        <v>0</v>
      </c>
      <c r="F152" s="416">
        <v>0</v>
      </c>
      <c r="G152" s="417">
        <v>0</v>
      </c>
      <c r="H152" s="417">
        <v>10.858639999999999</v>
      </c>
      <c r="I152" s="417">
        <v>75.84353999999999</v>
      </c>
      <c r="J152" s="417">
        <v>75.84353999999999</v>
      </c>
      <c r="K152" s="419">
        <v>0</v>
      </c>
      <c r="L152" s="133"/>
      <c r="M152" s="415" t="str">
        <f t="shared" si="2"/>
        <v/>
      </c>
    </row>
    <row r="153" spans="1:13" ht="14.45" customHeight="1" x14ac:dyDescent="0.2">
      <c r="A153" s="420" t="s">
        <v>391</v>
      </c>
      <c r="B153" s="416">
        <v>24993.272022999998</v>
      </c>
      <c r="C153" s="417">
        <v>31457.050279999999</v>
      </c>
      <c r="D153" s="417">
        <v>6463.7782570000018</v>
      </c>
      <c r="E153" s="418">
        <v>1.2586207300529408</v>
      </c>
      <c r="F153" s="416">
        <v>12228.2217007</v>
      </c>
      <c r="G153" s="417">
        <v>9171.1662755249999</v>
      </c>
      <c r="H153" s="417">
        <v>2730.0147099999999</v>
      </c>
      <c r="I153" s="417">
        <v>21427.977269999999</v>
      </c>
      <c r="J153" s="417">
        <v>12256.810994474999</v>
      </c>
      <c r="K153" s="419">
        <v>1.7523379764020277</v>
      </c>
      <c r="L153" s="133"/>
      <c r="M153" s="415" t="str">
        <f t="shared" si="2"/>
        <v/>
      </c>
    </row>
    <row r="154" spans="1:13" ht="14.45" customHeight="1" x14ac:dyDescent="0.2">
      <c r="A154" s="420" t="s">
        <v>392</v>
      </c>
      <c r="B154" s="416">
        <v>24993.272022999998</v>
      </c>
      <c r="C154" s="417">
        <v>30873.802339999998</v>
      </c>
      <c r="D154" s="417">
        <v>5880.5303170000007</v>
      </c>
      <c r="E154" s="418">
        <v>1.2352845322368537</v>
      </c>
      <c r="F154" s="416">
        <v>11856.653207400001</v>
      </c>
      <c r="G154" s="417">
        <v>8892.4899055500009</v>
      </c>
      <c r="H154" s="417">
        <v>2687.8184300000003</v>
      </c>
      <c r="I154" s="417">
        <v>21111.460709999999</v>
      </c>
      <c r="J154" s="417">
        <v>12218.970804449998</v>
      </c>
      <c r="K154" s="419">
        <v>1.7805581676981046</v>
      </c>
      <c r="L154" s="133"/>
      <c r="M154" s="415" t="str">
        <f t="shared" si="2"/>
        <v/>
      </c>
    </row>
    <row r="155" spans="1:13" ht="14.45" customHeight="1" x14ac:dyDescent="0.2">
      <c r="A155" s="420" t="s">
        <v>393</v>
      </c>
      <c r="B155" s="416">
        <v>24993.272022999998</v>
      </c>
      <c r="C155" s="417">
        <v>30873.802339999998</v>
      </c>
      <c r="D155" s="417">
        <v>5880.5303170000007</v>
      </c>
      <c r="E155" s="418">
        <v>1.2352845322368537</v>
      </c>
      <c r="F155" s="416">
        <v>11856.653207400001</v>
      </c>
      <c r="G155" s="417">
        <v>8892.4899055500009</v>
      </c>
      <c r="H155" s="417">
        <v>2687.8184300000003</v>
      </c>
      <c r="I155" s="417">
        <v>21111.460709999999</v>
      </c>
      <c r="J155" s="417">
        <v>12218.970804449998</v>
      </c>
      <c r="K155" s="419">
        <v>1.7805581676981046</v>
      </c>
      <c r="L155" s="133"/>
      <c r="M155" s="415" t="str">
        <f t="shared" si="2"/>
        <v/>
      </c>
    </row>
    <row r="156" spans="1:13" ht="14.45" customHeight="1" x14ac:dyDescent="0.2">
      <c r="A156" s="420" t="s">
        <v>394</v>
      </c>
      <c r="B156" s="416">
        <v>11027.072054</v>
      </c>
      <c r="C156" s="417">
        <v>11581.51239</v>
      </c>
      <c r="D156" s="417">
        <v>554.44033599999966</v>
      </c>
      <c r="E156" s="418">
        <v>1.0502799232003639</v>
      </c>
      <c r="F156" s="416">
        <v>11856.653207400001</v>
      </c>
      <c r="G156" s="417">
        <v>8892.4899055500009</v>
      </c>
      <c r="H156" s="417">
        <v>756.12603000000001</v>
      </c>
      <c r="I156" s="417">
        <v>6681.5948600000002</v>
      </c>
      <c r="J156" s="417">
        <v>-2210.8950455500008</v>
      </c>
      <c r="K156" s="419">
        <v>0.56353127169392692</v>
      </c>
      <c r="L156" s="133"/>
      <c r="M156" s="415" t="str">
        <f t="shared" si="2"/>
        <v>X</v>
      </c>
    </row>
    <row r="157" spans="1:13" ht="14.45" customHeight="1" x14ac:dyDescent="0.2">
      <c r="A157" s="420" t="s">
        <v>395</v>
      </c>
      <c r="B157" s="416">
        <v>74.691140000000004</v>
      </c>
      <c r="C157" s="417">
        <v>167.97</v>
      </c>
      <c r="D157" s="417">
        <v>93.278859999999995</v>
      </c>
      <c r="E157" s="418">
        <v>2.2488611098987108</v>
      </c>
      <c r="F157" s="416">
        <v>164.9009284</v>
      </c>
      <c r="G157" s="417">
        <v>123.6756963</v>
      </c>
      <c r="H157" s="417">
        <v>9.2690000000000001</v>
      </c>
      <c r="I157" s="417">
        <v>110.61799999999999</v>
      </c>
      <c r="J157" s="417">
        <v>-13.057696300000003</v>
      </c>
      <c r="K157" s="419">
        <v>0.67081490124588039</v>
      </c>
      <c r="L157" s="133"/>
      <c r="M157" s="415" t="str">
        <f t="shared" si="2"/>
        <v/>
      </c>
    </row>
    <row r="158" spans="1:13" ht="14.45" customHeight="1" x14ac:dyDescent="0.2">
      <c r="A158" s="420" t="s">
        <v>396</v>
      </c>
      <c r="B158" s="416">
        <v>0</v>
      </c>
      <c r="C158" s="417">
        <v>0</v>
      </c>
      <c r="D158" s="417">
        <v>0</v>
      </c>
      <c r="E158" s="418">
        <v>0</v>
      </c>
      <c r="F158" s="416">
        <v>0</v>
      </c>
      <c r="G158" s="417">
        <v>0</v>
      </c>
      <c r="H158" s="417">
        <v>0.99</v>
      </c>
      <c r="I158" s="417">
        <v>0.99</v>
      </c>
      <c r="J158" s="417">
        <v>0.99</v>
      </c>
      <c r="K158" s="419">
        <v>0</v>
      </c>
      <c r="L158" s="133"/>
      <c r="M158" s="415" t="str">
        <f t="shared" si="2"/>
        <v/>
      </c>
    </row>
    <row r="159" spans="1:13" ht="14.45" customHeight="1" x14ac:dyDescent="0.2">
      <c r="A159" s="420" t="s">
        <v>397</v>
      </c>
      <c r="B159" s="416">
        <v>29.990899000000002</v>
      </c>
      <c r="C159" s="417">
        <v>17.914000000000001</v>
      </c>
      <c r="D159" s="417">
        <v>-12.076899000000001</v>
      </c>
      <c r="E159" s="418">
        <v>0.59731453865387629</v>
      </c>
      <c r="F159" s="416">
        <v>17.301701700000002</v>
      </c>
      <c r="G159" s="417">
        <v>12.976276275000002</v>
      </c>
      <c r="H159" s="417">
        <v>0</v>
      </c>
      <c r="I159" s="417">
        <v>4.867</v>
      </c>
      <c r="J159" s="417">
        <v>-8.1092762750000027</v>
      </c>
      <c r="K159" s="419">
        <v>0.281301809752043</v>
      </c>
      <c r="L159" s="133"/>
      <c r="M159" s="415" t="str">
        <f t="shared" si="2"/>
        <v/>
      </c>
    </row>
    <row r="160" spans="1:13" ht="14.45" customHeight="1" x14ac:dyDescent="0.2">
      <c r="A160" s="420" t="s">
        <v>398</v>
      </c>
      <c r="B160" s="416">
        <v>10922.390015000001</v>
      </c>
      <c r="C160" s="417">
        <v>11395.62839</v>
      </c>
      <c r="D160" s="417">
        <v>473.238374999999</v>
      </c>
      <c r="E160" s="418">
        <v>1.043327364647306</v>
      </c>
      <c r="F160" s="416">
        <v>11674.450577299998</v>
      </c>
      <c r="G160" s="417">
        <v>8755.8379329749987</v>
      </c>
      <c r="H160" s="417">
        <v>745.86703</v>
      </c>
      <c r="I160" s="417">
        <v>6565.1198600000007</v>
      </c>
      <c r="J160" s="417">
        <v>-2190.718072974998</v>
      </c>
      <c r="K160" s="419">
        <v>0.56234936424034654</v>
      </c>
      <c r="L160" s="133"/>
      <c r="M160" s="415" t="str">
        <f t="shared" si="2"/>
        <v/>
      </c>
    </row>
    <row r="161" spans="1:13" ht="14.45" customHeight="1" x14ac:dyDescent="0.2">
      <c r="A161" s="420" t="s">
        <v>399</v>
      </c>
      <c r="B161" s="416">
        <v>13966.199969000001</v>
      </c>
      <c r="C161" s="417">
        <v>19296.79434</v>
      </c>
      <c r="D161" s="417">
        <v>5330.5943709999992</v>
      </c>
      <c r="E161" s="418">
        <v>1.3816782219094688</v>
      </c>
      <c r="F161" s="416">
        <v>0</v>
      </c>
      <c r="G161" s="417">
        <v>0</v>
      </c>
      <c r="H161" s="417">
        <v>1931.6923999999999</v>
      </c>
      <c r="I161" s="417">
        <v>14430.8199</v>
      </c>
      <c r="J161" s="417">
        <v>14430.8199</v>
      </c>
      <c r="K161" s="419">
        <v>0</v>
      </c>
      <c r="L161" s="133"/>
      <c r="M161" s="415" t="str">
        <f t="shared" si="2"/>
        <v>X</v>
      </c>
    </row>
    <row r="162" spans="1:13" ht="14.45" customHeight="1" x14ac:dyDescent="0.2">
      <c r="A162" s="420" t="s">
        <v>400</v>
      </c>
      <c r="B162" s="416">
        <v>13966.199969000001</v>
      </c>
      <c r="C162" s="417">
        <v>19295.759340000001</v>
      </c>
      <c r="D162" s="417">
        <v>5329.5593709999994</v>
      </c>
      <c r="E162" s="418">
        <v>1.3816041144212261</v>
      </c>
      <c r="F162" s="416">
        <v>0</v>
      </c>
      <c r="G162" s="417">
        <v>0</v>
      </c>
      <c r="H162" s="417">
        <v>1931.7783999999999</v>
      </c>
      <c r="I162" s="417">
        <v>14429.394900000001</v>
      </c>
      <c r="J162" s="417">
        <v>14429.394900000001</v>
      </c>
      <c r="K162" s="419">
        <v>0</v>
      </c>
      <c r="L162" s="133"/>
      <c r="M162" s="415" t="str">
        <f t="shared" si="2"/>
        <v/>
      </c>
    </row>
    <row r="163" spans="1:13" ht="14.45" customHeight="1" x14ac:dyDescent="0.2">
      <c r="A163" s="420" t="s">
        <v>401</v>
      </c>
      <c r="B163" s="416">
        <v>0</v>
      </c>
      <c r="C163" s="417">
        <v>1.0349999999999999</v>
      </c>
      <c r="D163" s="417">
        <v>1.0349999999999999</v>
      </c>
      <c r="E163" s="418">
        <v>0</v>
      </c>
      <c r="F163" s="416">
        <v>0</v>
      </c>
      <c r="G163" s="417">
        <v>0</v>
      </c>
      <c r="H163" s="417">
        <v>-8.5999999999999993E-2</v>
      </c>
      <c r="I163" s="417">
        <v>1.425</v>
      </c>
      <c r="J163" s="417">
        <v>1.425</v>
      </c>
      <c r="K163" s="419">
        <v>0</v>
      </c>
      <c r="L163" s="133"/>
      <c r="M163" s="415" t="str">
        <f t="shared" si="2"/>
        <v/>
      </c>
    </row>
    <row r="164" spans="1:13" ht="14.45" customHeight="1" x14ac:dyDescent="0.2">
      <c r="A164" s="420" t="s">
        <v>402</v>
      </c>
      <c r="B164" s="416">
        <v>0</v>
      </c>
      <c r="C164" s="417">
        <v>-4.5043899999999999</v>
      </c>
      <c r="D164" s="417">
        <v>-4.5043899999999999</v>
      </c>
      <c r="E164" s="418">
        <v>0</v>
      </c>
      <c r="F164" s="416">
        <v>0</v>
      </c>
      <c r="G164" s="417">
        <v>0</v>
      </c>
      <c r="H164" s="417">
        <v>0</v>
      </c>
      <c r="I164" s="417">
        <v>-0.95404999999999995</v>
      </c>
      <c r="J164" s="417">
        <v>-0.95404999999999995</v>
      </c>
      <c r="K164" s="419">
        <v>0</v>
      </c>
      <c r="L164" s="133"/>
      <c r="M164" s="415" t="str">
        <f t="shared" si="2"/>
        <v>X</v>
      </c>
    </row>
    <row r="165" spans="1:13" ht="14.45" customHeight="1" x14ac:dyDescent="0.2">
      <c r="A165" s="420" t="s">
        <v>403</v>
      </c>
      <c r="B165" s="416">
        <v>0</v>
      </c>
      <c r="C165" s="417">
        <v>-4.5043899999999999</v>
      </c>
      <c r="D165" s="417">
        <v>-4.5043899999999999</v>
      </c>
      <c r="E165" s="418">
        <v>0</v>
      </c>
      <c r="F165" s="416">
        <v>0</v>
      </c>
      <c r="G165" s="417">
        <v>0</v>
      </c>
      <c r="H165" s="417">
        <v>0</v>
      </c>
      <c r="I165" s="417">
        <v>-0.95404999999999995</v>
      </c>
      <c r="J165" s="417">
        <v>-0.95404999999999995</v>
      </c>
      <c r="K165" s="419">
        <v>0</v>
      </c>
      <c r="L165" s="133"/>
      <c r="M165" s="415" t="str">
        <f t="shared" si="2"/>
        <v/>
      </c>
    </row>
    <row r="166" spans="1:13" ht="14.45" customHeight="1" x14ac:dyDescent="0.2">
      <c r="A166" s="420" t="s">
        <v>404</v>
      </c>
      <c r="B166" s="416">
        <v>0</v>
      </c>
      <c r="C166" s="417">
        <v>583.24793999999997</v>
      </c>
      <c r="D166" s="417">
        <v>583.24793999999997</v>
      </c>
      <c r="E166" s="418">
        <v>0</v>
      </c>
      <c r="F166" s="416">
        <v>371.5684933</v>
      </c>
      <c r="G166" s="417">
        <v>278.676369975</v>
      </c>
      <c r="H166" s="417">
        <v>42.196280000000002</v>
      </c>
      <c r="I166" s="417">
        <v>316.51655999999997</v>
      </c>
      <c r="J166" s="417">
        <v>37.84019002499997</v>
      </c>
      <c r="K166" s="419">
        <v>0.85183907060830433</v>
      </c>
      <c r="L166" s="133"/>
      <c r="M166" s="415" t="str">
        <f t="shared" si="2"/>
        <v/>
      </c>
    </row>
    <row r="167" spans="1:13" ht="14.45" customHeight="1" x14ac:dyDescent="0.2">
      <c r="A167" s="420" t="s">
        <v>405</v>
      </c>
      <c r="B167" s="416">
        <v>0</v>
      </c>
      <c r="C167" s="417">
        <v>113.5</v>
      </c>
      <c r="D167" s="417">
        <v>113.5</v>
      </c>
      <c r="E167" s="418">
        <v>0</v>
      </c>
      <c r="F167" s="416">
        <v>0</v>
      </c>
      <c r="G167" s="417">
        <v>0</v>
      </c>
      <c r="H167" s="417">
        <v>15.75</v>
      </c>
      <c r="I167" s="417">
        <v>78.5</v>
      </c>
      <c r="J167" s="417">
        <v>78.5</v>
      </c>
      <c r="K167" s="419">
        <v>0</v>
      </c>
      <c r="L167" s="133"/>
      <c r="M167" s="415" t="str">
        <f t="shared" si="2"/>
        <v/>
      </c>
    </row>
    <row r="168" spans="1:13" ht="14.45" customHeight="1" x14ac:dyDescent="0.2">
      <c r="A168" s="420" t="s">
        <v>406</v>
      </c>
      <c r="B168" s="416">
        <v>0</v>
      </c>
      <c r="C168" s="417">
        <v>113.5</v>
      </c>
      <c r="D168" s="417">
        <v>113.5</v>
      </c>
      <c r="E168" s="418">
        <v>0</v>
      </c>
      <c r="F168" s="416">
        <v>0</v>
      </c>
      <c r="G168" s="417">
        <v>0</v>
      </c>
      <c r="H168" s="417">
        <v>15.75</v>
      </c>
      <c r="I168" s="417">
        <v>78.5</v>
      </c>
      <c r="J168" s="417">
        <v>78.5</v>
      </c>
      <c r="K168" s="419">
        <v>0</v>
      </c>
      <c r="L168" s="133"/>
      <c r="M168" s="415" t="str">
        <f t="shared" si="2"/>
        <v>X</v>
      </c>
    </row>
    <row r="169" spans="1:13" ht="14.45" customHeight="1" x14ac:dyDescent="0.2">
      <c r="A169" s="420" t="s">
        <v>407</v>
      </c>
      <c r="B169" s="416">
        <v>0</v>
      </c>
      <c r="C169" s="417">
        <v>113.5</v>
      </c>
      <c r="D169" s="417">
        <v>113.5</v>
      </c>
      <c r="E169" s="418">
        <v>0</v>
      </c>
      <c r="F169" s="416">
        <v>0</v>
      </c>
      <c r="G169" s="417">
        <v>0</v>
      </c>
      <c r="H169" s="417">
        <v>15.75</v>
      </c>
      <c r="I169" s="417">
        <v>78.5</v>
      </c>
      <c r="J169" s="417">
        <v>78.5</v>
      </c>
      <c r="K169" s="419">
        <v>0</v>
      </c>
      <c r="L169" s="133"/>
      <c r="M169" s="415" t="str">
        <f t="shared" si="2"/>
        <v/>
      </c>
    </row>
    <row r="170" spans="1:13" ht="14.45" customHeight="1" x14ac:dyDescent="0.2">
      <c r="A170" s="420" t="s">
        <v>408</v>
      </c>
      <c r="B170" s="416">
        <v>0</v>
      </c>
      <c r="C170" s="417">
        <v>469.74794000000003</v>
      </c>
      <c r="D170" s="417">
        <v>469.74794000000003</v>
      </c>
      <c r="E170" s="418">
        <v>0</v>
      </c>
      <c r="F170" s="416">
        <v>371.5684933</v>
      </c>
      <c r="G170" s="417">
        <v>278.676369975</v>
      </c>
      <c r="H170" s="417">
        <v>26.446279999999998</v>
      </c>
      <c r="I170" s="417">
        <v>238.01656</v>
      </c>
      <c r="J170" s="417">
        <v>-40.659809975000002</v>
      </c>
      <c r="K170" s="419">
        <v>0.64057250356754081</v>
      </c>
      <c r="L170" s="133"/>
      <c r="M170" s="415" t="str">
        <f t="shared" si="2"/>
        <v/>
      </c>
    </row>
    <row r="171" spans="1:13" ht="14.45" customHeight="1" x14ac:dyDescent="0.2">
      <c r="A171" s="420" t="s">
        <v>409</v>
      </c>
      <c r="B171" s="416">
        <v>0</v>
      </c>
      <c r="C171" s="417">
        <v>2.9E-4</v>
      </c>
      <c r="D171" s="417">
        <v>2.9E-4</v>
      </c>
      <c r="E171" s="418">
        <v>0</v>
      </c>
      <c r="F171" s="416">
        <v>0</v>
      </c>
      <c r="G171" s="417">
        <v>0</v>
      </c>
      <c r="H171" s="417">
        <v>0</v>
      </c>
      <c r="I171" s="417">
        <v>5.0000000000000002E-5</v>
      </c>
      <c r="J171" s="417">
        <v>5.0000000000000002E-5</v>
      </c>
      <c r="K171" s="419">
        <v>0</v>
      </c>
      <c r="L171" s="133"/>
      <c r="M171" s="415" t="str">
        <f t="shared" si="2"/>
        <v>X</v>
      </c>
    </row>
    <row r="172" spans="1:13" ht="14.45" customHeight="1" x14ac:dyDescent="0.2">
      <c r="A172" s="420" t="s">
        <v>410</v>
      </c>
      <c r="B172" s="416">
        <v>0</v>
      </c>
      <c r="C172" s="417">
        <v>2.9E-4</v>
      </c>
      <c r="D172" s="417">
        <v>2.9E-4</v>
      </c>
      <c r="E172" s="418">
        <v>0</v>
      </c>
      <c r="F172" s="416">
        <v>0</v>
      </c>
      <c r="G172" s="417">
        <v>0</v>
      </c>
      <c r="H172" s="417">
        <v>0</v>
      </c>
      <c r="I172" s="417">
        <v>5.0000000000000002E-5</v>
      </c>
      <c r="J172" s="417">
        <v>5.0000000000000002E-5</v>
      </c>
      <c r="K172" s="419">
        <v>0</v>
      </c>
      <c r="L172" s="133"/>
      <c r="M172" s="415" t="str">
        <f t="shared" si="2"/>
        <v/>
      </c>
    </row>
    <row r="173" spans="1:13" ht="14.45" customHeight="1" x14ac:dyDescent="0.2">
      <c r="A173" s="420" t="s">
        <v>411</v>
      </c>
      <c r="B173" s="416">
        <v>0</v>
      </c>
      <c r="C173" s="417">
        <v>469.74765000000002</v>
      </c>
      <c r="D173" s="417">
        <v>469.74765000000002</v>
      </c>
      <c r="E173" s="418">
        <v>0</v>
      </c>
      <c r="F173" s="416">
        <v>371.5684933</v>
      </c>
      <c r="G173" s="417">
        <v>278.676369975</v>
      </c>
      <c r="H173" s="417">
        <v>26.446279999999998</v>
      </c>
      <c r="I173" s="417">
        <v>238.01651000000001</v>
      </c>
      <c r="J173" s="417">
        <v>-40.659859974999989</v>
      </c>
      <c r="K173" s="419">
        <v>0.64057236900284842</v>
      </c>
      <c r="L173" s="133"/>
      <c r="M173" s="415" t="str">
        <f t="shared" si="2"/>
        <v>X</v>
      </c>
    </row>
    <row r="174" spans="1:13" ht="14.45" customHeight="1" x14ac:dyDescent="0.2">
      <c r="A174" s="420" t="s">
        <v>412</v>
      </c>
      <c r="B174" s="416">
        <v>0</v>
      </c>
      <c r="C174" s="417">
        <v>0.65700000000000003</v>
      </c>
      <c r="D174" s="417">
        <v>0.65700000000000003</v>
      </c>
      <c r="E174" s="418">
        <v>0</v>
      </c>
      <c r="F174" s="416">
        <v>0.40210649999999998</v>
      </c>
      <c r="G174" s="417">
        <v>0.301579875</v>
      </c>
      <c r="H174" s="417">
        <v>0</v>
      </c>
      <c r="I174" s="417">
        <v>0</v>
      </c>
      <c r="J174" s="417">
        <v>-0.301579875</v>
      </c>
      <c r="K174" s="419">
        <v>0</v>
      </c>
      <c r="L174" s="133"/>
      <c r="M174" s="415" t="str">
        <f t="shared" si="2"/>
        <v/>
      </c>
    </row>
    <row r="175" spans="1:13" ht="14.45" customHeight="1" x14ac:dyDescent="0.2">
      <c r="A175" s="420" t="s">
        <v>413</v>
      </c>
      <c r="B175" s="416">
        <v>0</v>
      </c>
      <c r="C175" s="417">
        <v>469.09065000000004</v>
      </c>
      <c r="D175" s="417">
        <v>469.09065000000004</v>
      </c>
      <c r="E175" s="418">
        <v>0</v>
      </c>
      <c r="F175" s="416">
        <v>371.1663868</v>
      </c>
      <c r="G175" s="417">
        <v>278.37479009999998</v>
      </c>
      <c r="H175" s="417">
        <v>26.446279999999998</v>
      </c>
      <c r="I175" s="417">
        <v>238.01651000000001</v>
      </c>
      <c r="J175" s="417">
        <v>-40.358280099999973</v>
      </c>
      <c r="K175" s="419">
        <v>0.64126633893778018</v>
      </c>
      <c r="L175" s="133"/>
      <c r="M175" s="415" t="str">
        <f t="shared" si="2"/>
        <v/>
      </c>
    </row>
    <row r="176" spans="1:13" ht="14.45" customHeight="1" x14ac:dyDescent="0.2">
      <c r="A176" s="420" t="s">
        <v>414</v>
      </c>
      <c r="B176" s="416">
        <v>0</v>
      </c>
      <c r="C176" s="417">
        <v>6185.40319</v>
      </c>
      <c r="D176" s="417">
        <v>6185.40319</v>
      </c>
      <c r="E176" s="418">
        <v>0</v>
      </c>
      <c r="F176" s="416">
        <v>0</v>
      </c>
      <c r="G176" s="417">
        <v>0</v>
      </c>
      <c r="H176" s="417">
        <v>557.57212000000004</v>
      </c>
      <c r="I176" s="417">
        <v>4716.3869299999997</v>
      </c>
      <c r="J176" s="417">
        <v>4716.3869299999997</v>
      </c>
      <c r="K176" s="419">
        <v>0</v>
      </c>
      <c r="L176" s="133"/>
      <c r="M176" s="415" t="str">
        <f t="shared" si="2"/>
        <v/>
      </c>
    </row>
    <row r="177" spans="1:13" ht="14.45" customHeight="1" x14ac:dyDescent="0.2">
      <c r="A177" s="420" t="s">
        <v>415</v>
      </c>
      <c r="B177" s="416">
        <v>0</v>
      </c>
      <c r="C177" s="417">
        <v>6185.40319</v>
      </c>
      <c r="D177" s="417">
        <v>6185.40319</v>
      </c>
      <c r="E177" s="418">
        <v>0</v>
      </c>
      <c r="F177" s="416">
        <v>0</v>
      </c>
      <c r="G177" s="417">
        <v>0</v>
      </c>
      <c r="H177" s="417">
        <v>557.57212000000004</v>
      </c>
      <c r="I177" s="417">
        <v>4716.3869299999997</v>
      </c>
      <c r="J177" s="417">
        <v>4716.3869299999997</v>
      </c>
      <c r="K177" s="419">
        <v>0</v>
      </c>
      <c r="L177" s="133"/>
      <c r="M177" s="415" t="str">
        <f t="shared" si="2"/>
        <v/>
      </c>
    </row>
    <row r="178" spans="1:13" ht="14.45" customHeight="1" x14ac:dyDescent="0.2">
      <c r="A178" s="420" t="s">
        <v>416</v>
      </c>
      <c r="B178" s="416">
        <v>0</v>
      </c>
      <c r="C178" s="417">
        <v>6185.40319</v>
      </c>
      <c r="D178" s="417">
        <v>6185.40319</v>
      </c>
      <c r="E178" s="418">
        <v>0</v>
      </c>
      <c r="F178" s="416">
        <v>0</v>
      </c>
      <c r="G178" s="417">
        <v>0</v>
      </c>
      <c r="H178" s="417">
        <v>557.57212000000004</v>
      </c>
      <c r="I178" s="417">
        <v>4716.3869299999997</v>
      </c>
      <c r="J178" s="417">
        <v>4716.3869299999997</v>
      </c>
      <c r="K178" s="419">
        <v>0</v>
      </c>
      <c r="L178" s="133"/>
      <c r="M178" s="415" t="str">
        <f t="shared" si="2"/>
        <v/>
      </c>
    </row>
    <row r="179" spans="1:13" ht="14.45" customHeight="1" x14ac:dyDescent="0.2">
      <c r="A179" s="420" t="s">
        <v>417</v>
      </c>
      <c r="B179" s="416">
        <v>0</v>
      </c>
      <c r="C179" s="417">
        <v>18.573250000000002</v>
      </c>
      <c r="D179" s="417">
        <v>18.573250000000002</v>
      </c>
      <c r="E179" s="418">
        <v>0</v>
      </c>
      <c r="F179" s="416">
        <v>0</v>
      </c>
      <c r="G179" s="417">
        <v>0</v>
      </c>
      <c r="H179" s="417">
        <v>1.36846</v>
      </c>
      <c r="I179" s="417">
        <v>12.26839</v>
      </c>
      <c r="J179" s="417">
        <v>12.26839</v>
      </c>
      <c r="K179" s="419">
        <v>0</v>
      </c>
      <c r="L179" s="133"/>
      <c r="M179" s="415" t="str">
        <f t="shared" si="2"/>
        <v>X</v>
      </c>
    </row>
    <row r="180" spans="1:13" ht="14.45" customHeight="1" x14ac:dyDescent="0.2">
      <c r="A180" s="420" t="s">
        <v>418</v>
      </c>
      <c r="B180" s="416">
        <v>0</v>
      </c>
      <c r="C180" s="417">
        <v>18.573250000000002</v>
      </c>
      <c r="D180" s="417">
        <v>18.573250000000002</v>
      </c>
      <c r="E180" s="418">
        <v>0</v>
      </c>
      <c r="F180" s="416">
        <v>0</v>
      </c>
      <c r="G180" s="417">
        <v>0</v>
      </c>
      <c r="H180" s="417">
        <v>1.36846</v>
      </c>
      <c r="I180" s="417">
        <v>12.26839</v>
      </c>
      <c r="J180" s="417">
        <v>12.26839</v>
      </c>
      <c r="K180" s="419">
        <v>0</v>
      </c>
      <c r="L180" s="133"/>
      <c r="M180" s="415" t="str">
        <f t="shared" si="2"/>
        <v/>
      </c>
    </row>
    <row r="181" spans="1:13" ht="14.45" customHeight="1" x14ac:dyDescent="0.2">
      <c r="A181" s="420" t="s">
        <v>419</v>
      </c>
      <c r="B181" s="416">
        <v>0</v>
      </c>
      <c r="C181" s="417">
        <v>18.783000000000001</v>
      </c>
      <c r="D181" s="417">
        <v>18.783000000000001</v>
      </c>
      <c r="E181" s="418">
        <v>0</v>
      </c>
      <c r="F181" s="416">
        <v>0</v>
      </c>
      <c r="G181" s="417">
        <v>0</v>
      </c>
      <c r="H181" s="417">
        <v>2.04</v>
      </c>
      <c r="I181" s="417">
        <v>2.72</v>
      </c>
      <c r="J181" s="417">
        <v>2.72</v>
      </c>
      <c r="K181" s="419">
        <v>0</v>
      </c>
      <c r="L181" s="133"/>
      <c r="M181" s="415" t="str">
        <f t="shared" si="2"/>
        <v>X</v>
      </c>
    </row>
    <row r="182" spans="1:13" ht="14.45" customHeight="1" x14ac:dyDescent="0.2">
      <c r="A182" s="420" t="s">
        <v>420</v>
      </c>
      <c r="B182" s="416">
        <v>0</v>
      </c>
      <c r="C182" s="417">
        <v>18.783000000000001</v>
      </c>
      <c r="D182" s="417">
        <v>18.783000000000001</v>
      </c>
      <c r="E182" s="418">
        <v>0</v>
      </c>
      <c r="F182" s="416">
        <v>0</v>
      </c>
      <c r="G182" s="417">
        <v>0</v>
      </c>
      <c r="H182" s="417">
        <v>2.04</v>
      </c>
      <c r="I182" s="417">
        <v>2.72</v>
      </c>
      <c r="J182" s="417">
        <v>2.72</v>
      </c>
      <c r="K182" s="419">
        <v>0</v>
      </c>
      <c r="L182" s="133"/>
      <c r="M182" s="415" t="str">
        <f t="shared" si="2"/>
        <v/>
      </c>
    </row>
    <row r="183" spans="1:13" ht="14.45" customHeight="1" x14ac:dyDescent="0.2">
      <c r="A183" s="420" t="s">
        <v>421</v>
      </c>
      <c r="B183" s="416">
        <v>0</v>
      </c>
      <c r="C183" s="417">
        <v>46.472180000000002</v>
      </c>
      <c r="D183" s="417">
        <v>46.472180000000002</v>
      </c>
      <c r="E183" s="418">
        <v>0</v>
      </c>
      <c r="F183" s="416">
        <v>0</v>
      </c>
      <c r="G183" s="417">
        <v>0</v>
      </c>
      <c r="H183" s="417">
        <v>3.1526000000000001</v>
      </c>
      <c r="I183" s="417">
        <v>35.48912</v>
      </c>
      <c r="J183" s="417">
        <v>35.48912</v>
      </c>
      <c r="K183" s="419">
        <v>0</v>
      </c>
      <c r="L183" s="133"/>
      <c r="M183" s="415" t="str">
        <f t="shared" si="2"/>
        <v>X</v>
      </c>
    </row>
    <row r="184" spans="1:13" ht="14.45" customHeight="1" x14ac:dyDescent="0.2">
      <c r="A184" s="420" t="s">
        <v>422</v>
      </c>
      <c r="B184" s="416">
        <v>0</v>
      </c>
      <c r="C184" s="417">
        <v>1.48</v>
      </c>
      <c r="D184" s="417">
        <v>1.48</v>
      </c>
      <c r="E184" s="418">
        <v>0</v>
      </c>
      <c r="F184" s="416">
        <v>0</v>
      </c>
      <c r="G184" s="417">
        <v>0</v>
      </c>
      <c r="H184" s="417">
        <v>0</v>
      </c>
      <c r="I184" s="417">
        <v>0.37</v>
      </c>
      <c r="J184" s="417">
        <v>0.37</v>
      </c>
      <c r="K184" s="419">
        <v>0</v>
      </c>
      <c r="L184" s="133"/>
      <c r="M184" s="415" t="str">
        <f t="shared" si="2"/>
        <v/>
      </c>
    </row>
    <row r="185" spans="1:13" ht="14.45" customHeight="1" x14ac:dyDescent="0.2">
      <c r="A185" s="420" t="s">
        <v>423</v>
      </c>
      <c r="B185" s="416">
        <v>0</v>
      </c>
      <c r="C185" s="417">
        <v>0</v>
      </c>
      <c r="D185" s="417">
        <v>0</v>
      </c>
      <c r="E185" s="418">
        <v>0</v>
      </c>
      <c r="F185" s="416">
        <v>0</v>
      </c>
      <c r="G185" s="417">
        <v>0</v>
      </c>
      <c r="H185" s="417">
        <v>0</v>
      </c>
      <c r="I185" s="417">
        <v>9.3799999999999994E-2</v>
      </c>
      <c r="J185" s="417">
        <v>9.3799999999999994E-2</v>
      </c>
      <c r="K185" s="419">
        <v>0</v>
      </c>
      <c r="L185" s="133"/>
      <c r="M185" s="415" t="str">
        <f t="shared" si="2"/>
        <v/>
      </c>
    </row>
    <row r="186" spans="1:13" ht="14.45" customHeight="1" x14ac:dyDescent="0.2">
      <c r="A186" s="420" t="s">
        <v>424</v>
      </c>
      <c r="B186" s="416">
        <v>0</v>
      </c>
      <c r="C186" s="417">
        <v>44.992179999999998</v>
      </c>
      <c r="D186" s="417">
        <v>44.992179999999998</v>
      </c>
      <c r="E186" s="418">
        <v>0</v>
      </c>
      <c r="F186" s="416">
        <v>0</v>
      </c>
      <c r="G186" s="417">
        <v>0</v>
      </c>
      <c r="H186" s="417">
        <v>3.1526000000000001</v>
      </c>
      <c r="I186" s="417">
        <v>35.025320000000001</v>
      </c>
      <c r="J186" s="417">
        <v>35.025320000000001</v>
      </c>
      <c r="K186" s="419">
        <v>0</v>
      </c>
      <c r="L186" s="133"/>
      <c r="M186" s="415" t="str">
        <f t="shared" si="2"/>
        <v/>
      </c>
    </row>
    <row r="187" spans="1:13" ht="14.45" customHeight="1" x14ac:dyDescent="0.2">
      <c r="A187" s="420" t="s">
        <v>425</v>
      </c>
      <c r="B187" s="416">
        <v>0</v>
      </c>
      <c r="C187" s="417">
        <v>2.5258600000000002</v>
      </c>
      <c r="D187" s="417">
        <v>2.5258600000000002</v>
      </c>
      <c r="E187" s="418">
        <v>0</v>
      </c>
      <c r="F187" s="416">
        <v>0</v>
      </c>
      <c r="G187" s="417">
        <v>0</v>
      </c>
      <c r="H187" s="417">
        <v>1.4492100000000001</v>
      </c>
      <c r="I187" s="417">
        <v>10.725040000000002</v>
      </c>
      <c r="J187" s="417">
        <v>10.725040000000002</v>
      </c>
      <c r="K187" s="419">
        <v>0</v>
      </c>
      <c r="L187" s="133"/>
      <c r="M187" s="415" t="str">
        <f t="shared" si="2"/>
        <v>X</v>
      </c>
    </row>
    <row r="188" spans="1:13" ht="14.45" customHeight="1" x14ac:dyDescent="0.2">
      <c r="A188" s="420" t="s">
        <v>426</v>
      </c>
      <c r="B188" s="416">
        <v>0</v>
      </c>
      <c r="C188" s="417">
        <v>2.5258600000000002</v>
      </c>
      <c r="D188" s="417">
        <v>2.5258600000000002</v>
      </c>
      <c r="E188" s="418">
        <v>0</v>
      </c>
      <c r="F188" s="416">
        <v>0</v>
      </c>
      <c r="G188" s="417">
        <v>0</v>
      </c>
      <c r="H188" s="417">
        <v>1.4492100000000001</v>
      </c>
      <c r="I188" s="417">
        <v>10.725040000000002</v>
      </c>
      <c r="J188" s="417">
        <v>10.725040000000002</v>
      </c>
      <c r="K188" s="419">
        <v>0</v>
      </c>
      <c r="L188" s="133"/>
      <c r="M188" s="415" t="str">
        <f t="shared" si="2"/>
        <v/>
      </c>
    </row>
    <row r="189" spans="1:13" ht="14.45" customHeight="1" x14ac:dyDescent="0.2">
      <c r="A189" s="420" t="s">
        <v>427</v>
      </c>
      <c r="B189" s="416">
        <v>0</v>
      </c>
      <c r="C189" s="417">
        <v>40.506129999999999</v>
      </c>
      <c r="D189" s="417">
        <v>40.506129999999999</v>
      </c>
      <c r="E189" s="418">
        <v>0</v>
      </c>
      <c r="F189" s="416">
        <v>0</v>
      </c>
      <c r="G189" s="417">
        <v>0</v>
      </c>
      <c r="H189" s="417">
        <v>0</v>
      </c>
      <c r="I189" s="417">
        <v>0</v>
      </c>
      <c r="J189" s="417">
        <v>0</v>
      </c>
      <c r="K189" s="419">
        <v>0</v>
      </c>
      <c r="L189" s="133"/>
      <c r="M189" s="415" t="str">
        <f t="shared" si="2"/>
        <v>X</v>
      </c>
    </row>
    <row r="190" spans="1:13" ht="14.45" customHeight="1" x14ac:dyDescent="0.2">
      <c r="A190" s="420" t="s">
        <v>428</v>
      </c>
      <c r="B190" s="416">
        <v>0</v>
      </c>
      <c r="C190" s="417">
        <v>40.506129999999999</v>
      </c>
      <c r="D190" s="417">
        <v>40.506129999999999</v>
      </c>
      <c r="E190" s="418">
        <v>0</v>
      </c>
      <c r="F190" s="416">
        <v>0</v>
      </c>
      <c r="G190" s="417">
        <v>0</v>
      </c>
      <c r="H190" s="417">
        <v>0</v>
      </c>
      <c r="I190" s="417">
        <v>0</v>
      </c>
      <c r="J190" s="417">
        <v>0</v>
      </c>
      <c r="K190" s="419">
        <v>0</v>
      </c>
      <c r="L190" s="133"/>
      <c r="M190" s="415" t="str">
        <f t="shared" si="2"/>
        <v/>
      </c>
    </row>
    <row r="191" spans="1:13" ht="14.45" customHeight="1" x14ac:dyDescent="0.2">
      <c r="A191" s="420" t="s">
        <v>429</v>
      </c>
      <c r="B191" s="416">
        <v>0</v>
      </c>
      <c r="C191" s="417">
        <v>5.4539999999999997</v>
      </c>
      <c r="D191" s="417">
        <v>5.4539999999999997</v>
      </c>
      <c r="E191" s="418">
        <v>0</v>
      </c>
      <c r="F191" s="416">
        <v>0</v>
      </c>
      <c r="G191" s="417">
        <v>0</v>
      </c>
      <c r="H191" s="417">
        <v>0.27800000000000002</v>
      </c>
      <c r="I191" s="417">
        <v>3.0030000000000001</v>
      </c>
      <c r="J191" s="417">
        <v>3.0030000000000001</v>
      </c>
      <c r="K191" s="419">
        <v>0</v>
      </c>
      <c r="L191" s="133"/>
      <c r="M191" s="415" t="str">
        <f t="shared" si="2"/>
        <v>X</v>
      </c>
    </row>
    <row r="192" spans="1:13" ht="14.45" customHeight="1" x14ac:dyDescent="0.2">
      <c r="A192" s="420" t="s">
        <v>430</v>
      </c>
      <c r="B192" s="416">
        <v>0</v>
      </c>
      <c r="C192" s="417">
        <v>5.4539999999999997</v>
      </c>
      <c r="D192" s="417">
        <v>5.4539999999999997</v>
      </c>
      <c r="E192" s="418">
        <v>0</v>
      </c>
      <c r="F192" s="416">
        <v>0</v>
      </c>
      <c r="G192" s="417">
        <v>0</v>
      </c>
      <c r="H192" s="417">
        <v>0.27800000000000002</v>
      </c>
      <c r="I192" s="417">
        <v>3.0030000000000001</v>
      </c>
      <c r="J192" s="417">
        <v>3.0030000000000001</v>
      </c>
      <c r="K192" s="419">
        <v>0</v>
      </c>
      <c r="L192" s="133"/>
      <c r="M192" s="415" t="str">
        <f t="shared" si="2"/>
        <v/>
      </c>
    </row>
    <row r="193" spans="1:13" ht="14.45" customHeight="1" x14ac:dyDescent="0.2">
      <c r="A193" s="420" t="s">
        <v>431</v>
      </c>
      <c r="B193" s="416">
        <v>0</v>
      </c>
      <c r="C193" s="417">
        <v>2317.4814900000001</v>
      </c>
      <c r="D193" s="417">
        <v>2317.4814900000001</v>
      </c>
      <c r="E193" s="418">
        <v>0</v>
      </c>
      <c r="F193" s="416">
        <v>0</v>
      </c>
      <c r="G193" s="417">
        <v>0</v>
      </c>
      <c r="H193" s="417">
        <v>246.41185999999999</v>
      </c>
      <c r="I193" s="417">
        <v>1796.9279899999999</v>
      </c>
      <c r="J193" s="417">
        <v>1796.9279899999999</v>
      </c>
      <c r="K193" s="419">
        <v>0</v>
      </c>
      <c r="L193" s="133"/>
      <c r="M193" s="415" t="str">
        <f t="shared" si="2"/>
        <v>X</v>
      </c>
    </row>
    <row r="194" spans="1:13" ht="14.45" customHeight="1" x14ac:dyDescent="0.2">
      <c r="A194" s="420" t="s">
        <v>432</v>
      </c>
      <c r="B194" s="416">
        <v>0</v>
      </c>
      <c r="C194" s="417">
        <v>2317.4814900000001</v>
      </c>
      <c r="D194" s="417">
        <v>2317.4814900000001</v>
      </c>
      <c r="E194" s="418">
        <v>0</v>
      </c>
      <c r="F194" s="416">
        <v>0</v>
      </c>
      <c r="G194" s="417">
        <v>0</v>
      </c>
      <c r="H194" s="417">
        <v>246.41185999999999</v>
      </c>
      <c r="I194" s="417">
        <v>1796.9279899999999</v>
      </c>
      <c r="J194" s="417">
        <v>1796.9279899999999</v>
      </c>
      <c r="K194" s="419">
        <v>0</v>
      </c>
      <c r="L194" s="133"/>
      <c r="M194" s="415" t="str">
        <f t="shared" si="2"/>
        <v/>
      </c>
    </row>
    <row r="195" spans="1:13" ht="14.45" customHeight="1" x14ac:dyDescent="0.2">
      <c r="A195" s="420" t="s">
        <v>433</v>
      </c>
      <c r="B195" s="416">
        <v>0</v>
      </c>
      <c r="C195" s="417">
        <v>0</v>
      </c>
      <c r="D195" s="417">
        <v>0</v>
      </c>
      <c r="E195" s="418">
        <v>0</v>
      </c>
      <c r="F195" s="416">
        <v>0</v>
      </c>
      <c r="G195" s="417">
        <v>0</v>
      </c>
      <c r="H195" s="417">
        <v>0</v>
      </c>
      <c r="I195" s="417">
        <v>0.10746</v>
      </c>
      <c r="J195" s="417">
        <v>0.10746</v>
      </c>
      <c r="K195" s="419">
        <v>0</v>
      </c>
      <c r="L195" s="133"/>
      <c r="M195" s="415" t="str">
        <f t="shared" si="2"/>
        <v>X</v>
      </c>
    </row>
    <row r="196" spans="1:13" ht="14.45" customHeight="1" x14ac:dyDescent="0.2">
      <c r="A196" s="420" t="s">
        <v>434</v>
      </c>
      <c r="B196" s="416">
        <v>0</v>
      </c>
      <c r="C196" s="417">
        <v>0</v>
      </c>
      <c r="D196" s="417">
        <v>0</v>
      </c>
      <c r="E196" s="418">
        <v>0</v>
      </c>
      <c r="F196" s="416">
        <v>0</v>
      </c>
      <c r="G196" s="417">
        <v>0</v>
      </c>
      <c r="H196" s="417">
        <v>0</v>
      </c>
      <c r="I196" s="417">
        <v>0.10746</v>
      </c>
      <c r="J196" s="417">
        <v>0.10746</v>
      </c>
      <c r="K196" s="419">
        <v>0</v>
      </c>
      <c r="L196" s="133"/>
      <c r="M196" s="415" t="str">
        <f t="shared" si="2"/>
        <v/>
      </c>
    </row>
    <row r="197" spans="1:13" ht="14.45" customHeight="1" x14ac:dyDescent="0.2">
      <c r="A197" s="420" t="s">
        <v>435</v>
      </c>
      <c r="B197" s="416">
        <v>0</v>
      </c>
      <c r="C197" s="417">
        <v>3735.6072799999997</v>
      </c>
      <c r="D197" s="417">
        <v>3735.6072799999997</v>
      </c>
      <c r="E197" s="418">
        <v>0</v>
      </c>
      <c r="F197" s="416">
        <v>0</v>
      </c>
      <c r="G197" s="417">
        <v>0</v>
      </c>
      <c r="H197" s="417">
        <v>302.87198999999998</v>
      </c>
      <c r="I197" s="417">
        <v>2855.1459300000001</v>
      </c>
      <c r="J197" s="417">
        <v>2855.1459300000001</v>
      </c>
      <c r="K197" s="419">
        <v>0</v>
      </c>
      <c r="L197" s="133"/>
      <c r="M197" s="415" t="str">
        <f t="shared" si="2"/>
        <v>X</v>
      </c>
    </row>
    <row r="198" spans="1:13" ht="14.45" customHeight="1" x14ac:dyDescent="0.2">
      <c r="A198" s="420" t="s">
        <v>436</v>
      </c>
      <c r="B198" s="416">
        <v>0</v>
      </c>
      <c r="C198" s="417">
        <v>3735.6072799999997</v>
      </c>
      <c r="D198" s="417">
        <v>3735.6072799999997</v>
      </c>
      <c r="E198" s="418">
        <v>0</v>
      </c>
      <c r="F198" s="416">
        <v>0</v>
      </c>
      <c r="G198" s="417">
        <v>0</v>
      </c>
      <c r="H198" s="417">
        <v>302.87198999999998</v>
      </c>
      <c r="I198" s="417">
        <v>2855.1459300000001</v>
      </c>
      <c r="J198" s="417">
        <v>2855.1459300000001</v>
      </c>
      <c r="K198" s="419">
        <v>0</v>
      </c>
      <c r="L198" s="133"/>
      <c r="M198" s="415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420"/>
      <c r="B199" s="416"/>
      <c r="C199" s="417"/>
      <c r="D199" s="417"/>
      <c r="E199" s="418"/>
      <c r="F199" s="416"/>
      <c r="G199" s="417"/>
      <c r="H199" s="417"/>
      <c r="I199" s="417"/>
      <c r="J199" s="417"/>
      <c r="K199" s="419"/>
      <c r="L199" s="133"/>
      <c r="M199" s="415" t="str">
        <f t="shared" si="3"/>
        <v/>
      </c>
    </row>
    <row r="200" spans="1:13" ht="14.45" customHeight="1" x14ac:dyDescent="0.2">
      <c r="A200" s="420"/>
      <c r="B200" s="416"/>
      <c r="C200" s="417"/>
      <c r="D200" s="417"/>
      <c r="E200" s="418"/>
      <c r="F200" s="416"/>
      <c r="G200" s="417"/>
      <c r="H200" s="417"/>
      <c r="I200" s="417"/>
      <c r="J200" s="417"/>
      <c r="K200" s="419"/>
      <c r="L200" s="133"/>
      <c r="M200" s="415" t="str">
        <f t="shared" si="3"/>
        <v/>
      </c>
    </row>
    <row r="201" spans="1:13" ht="14.45" customHeight="1" x14ac:dyDescent="0.2">
      <c r="A201" s="420"/>
      <c r="B201" s="416"/>
      <c r="C201" s="417"/>
      <c r="D201" s="417"/>
      <c r="E201" s="418"/>
      <c r="F201" s="416"/>
      <c r="G201" s="417"/>
      <c r="H201" s="417"/>
      <c r="I201" s="417"/>
      <c r="J201" s="417"/>
      <c r="K201" s="419"/>
      <c r="L201" s="133"/>
      <c r="M201" s="415" t="str">
        <f t="shared" si="3"/>
        <v/>
      </c>
    </row>
    <row r="202" spans="1:13" ht="14.45" customHeight="1" x14ac:dyDescent="0.2">
      <c r="A202" s="420"/>
      <c r="B202" s="416"/>
      <c r="C202" s="417"/>
      <c r="D202" s="417"/>
      <c r="E202" s="418"/>
      <c r="F202" s="416"/>
      <c r="G202" s="417"/>
      <c r="H202" s="417"/>
      <c r="I202" s="417"/>
      <c r="J202" s="417"/>
      <c r="K202" s="419"/>
      <c r="L202" s="133"/>
      <c r="M202" s="415" t="str">
        <f t="shared" si="3"/>
        <v/>
      </c>
    </row>
    <row r="203" spans="1:13" ht="14.45" customHeight="1" x14ac:dyDescent="0.2">
      <c r="A203" s="420"/>
      <c r="B203" s="416"/>
      <c r="C203" s="417"/>
      <c r="D203" s="417"/>
      <c r="E203" s="418"/>
      <c r="F203" s="416"/>
      <c r="G203" s="417"/>
      <c r="H203" s="417"/>
      <c r="I203" s="417"/>
      <c r="J203" s="417"/>
      <c r="K203" s="419"/>
      <c r="L203" s="133"/>
      <c r="M203" s="415" t="str">
        <f t="shared" si="3"/>
        <v/>
      </c>
    </row>
    <row r="204" spans="1:13" ht="14.45" customHeight="1" x14ac:dyDescent="0.2">
      <c r="A204" s="420"/>
      <c r="B204" s="416"/>
      <c r="C204" s="417"/>
      <c r="D204" s="417"/>
      <c r="E204" s="418"/>
      <c r="F204" s="416"/>
      <c r="G204" s="417"/>
      <c r="H204" s="417"/>
      <c r="I204" s="417"/>
      <c r="J204" s="417"/>
      <c r="K204" s="419"/>
      <c r="L204" s="133"/>
      <c r="M204" s="415" t="str">
        <f t="shared" si="3"/>
        <v/>
      </c>
    </row>
    <row r="205" spans="1:13" ht="14.45" customHeight="1" x14ac:dyDescent="0.2">
      <c r="A205" s="420"/>
      <c r="B205" s="416"/>
      <c r="C205" s="417"/>
      <c r="D205" s="417"/>
      <c r="E205" s="418"/>
      <c r="F205" s="416"/>
      <c r="G205" s="417"/>
      <c r="H205" s="417"/>
      <c r="I205" s="417"/>
      <c r="J205" s="417"/>
      <c r="K205" s="419"/>
      <c r="L205" s="133"/>
      <c r="M205" s="415" t="str">
        <f t="shared" si="3"/>
        <v/>
      </c>
    </row>
    <row r="206" spans="1:13" ht="14.45" customHeight="1" x14ac:dyDescent="0.2">
      <c r="A206" s="420"/>
      <c r="B206" s="416"/>
      <c r="C206" s="417"/>
      <c r="D206" s="417"/>
      <c r="E206" s="418"/>
      <c r="F206" s="416"/>
      <c r="G206" s="417"/>
      <c r="H206" s="417"/>
      <c r="I206" s="417"/>
      <c r="J206" s="417"/>
      <c r="K206" s="419"/>
      <c r="L206" s="133"/>
      <c r="M206" s="415" t="str">
        <f t="shared" si="3"/>
        <v/>
      </c>
    </row>
    <row r="207" spans="1:13" ht="14.45" customHeight="1" x14ac:dyDescent="0.2">
      <c r="A207" s="420"/>
      <c r="B207" s="416"/>
      <c r="C207" s="417"/>
      <c r="D207" s="417"/>
      <c r="E207" s="418"/>
      <c r="F207" s="416"/>
      <c r="G207" s="417"/>
      <c r="H207" s="417"/>
      <c r="I207" s="417"/>
      <c r="J207" s="417"/>
      <c r="K207" s="419"/>
      <c r="L207" s="133"/>
      <c r="M207" s="415" t="str">
        <f t="shared" si="3"/>
        <v/>
      </c>
    </row>
    <row r="208" spans="1:13" ht="14.45" customHeight="1" x14ac:dyDescent="0.2">
      <c r="A208" s="420"/>
      <c r="B208" s="416"/>
      <c r="C208" s="417"/>
      <c r="D208" s="417"/>
      <c r="E208" s="418"/>
      <c r="F208" s="416"/>
      <c r="G208" s="417"/>
      <c r="H208" s="417"/>
      <c r="I208" s="417"/>
      <c r="J208" s="417"/>
      <c r="K208" s="419"/>
      <c r="L208" s="133"/>
      <c r="M208" s="415" t="str">
        <f t="shared" si="3"/>
        <v/>
      </c>
    </row>
    <row r="209" spans="1:13" ht="14.45" customHeight="1" x14ac:dyDescent="0.2">
      <c r="A209" s="420"/>
      <c r="B209" s="416"/>
      <c r="C209" s="417"/>
      <c r="D209" s="417"/>
      <c r="E209" s="418"/>
      <c r="F209" s="416"/>
      <c r="G209" s="417"/>
      <c r="H209" s="417"/>
      <c r="I209" s="417"/>
      <c r="J209" s="417"/>
      <c r="K209" s="419"/>
      <c r="L209" s="133"/>
      <c r="M209" s="415" t="str">
        <f t="shared" si="3"/>
        <v/>
      </c>
    </row>
    <row r="210" spans="1:13" ht="14.45" customHeight="1" x14ac:dyDescent="0.2">
      <c r="A210" s="420"/>
      <c r="B210" s="416"/>
      <c r="C210" s="417"/>
      <c r="D210" s="417"/>
      <c r="E210" s="418"/>
      <c r="F210" s="416"/>
      <c r="G210" s="417"/>
      <c r="H210" s="417"/>
      <c r="I210" s="417"/>
      <c r="J210" s="417"/>
      <c r="K210" s="419"/>
      <c r="L210" s="133"/>
      <c r="M210" s="415" t="str">
        <f t="shared" si="3"/>
        <v/>
      </c>
    </row>
    <row r="211" spans="1:13" ht="14.45" customHeight="1" x14ac:dyDescent="0.2">
      <c r="A211" s="420"/>
      <c r="B211" s="416"/>
      <c r="C211" s="417"/>
      <c r="D211" s="417"/>
      <c r="E211" s="418"/>
      <c r="F211" s="416"/>
      <c r="G211" s="417"/>
      <c r="H211" s="417"/>
      <c r="I211" s="417"/>
      <c r="J211" s="417"/>
      <c r="K211" s="419"/>
      <c r="L211" s="133"/>
      <c r="M211" s="415" t="str">
        <f t="shared" si="3"/>
        <v/>
      </c>
    </row>
    <row r="212" spans="1:13" ht="14.45" customHeight="1" x14ac:dyDescent="0.2">
      <c r="A212" s="420"/>
      <c r="B212" s="416"/>
      <c r="C212" s="417"/>
      <c r="D212" s="417"/>
      <c r="E212" s="418"/>
      <c r="F212" s="416"/>
      <c r="G212" s="417"/>
      <c r="H212" s="417"/>
      <c r="I212" s="417"/>
      <c r="J212" s="417"/>
      <c r="K212" s="419"/>
      <c r="L212" s="133"/>
      <c r="M212" s="415" t="str">
        <f t="shared" si="3"/>
        <v/>
      </c>
    </row>
    <row r="213" spans="1:13" ht="14.45" customHeight="1" x14ac:dyDescent="0.2">
      <c r="A213" s="420"/>
      <c r="B213" s="416"/>
      <c r="C213" s="417"/>
      <c r="D213" s="417"/>
      <c r="E213" s="418"/>
      <c r="F213" s="416"/>
      <c r="G213" s="417"/>
      <c r="H213" s="417"/>
      <c r="I213" s="417"/>
      <c r="J213" s="417"/>
      <c r="K213" s="419"/>
      <c r="L213" s="133"/>
      <c r="M213" s="415" t="str">
        <f t="shared" si="3"/>
        <v/>
      </c>
    </row>
    <row r="214" spans="1:13" ht="14.45" customHeight="1" x14ac:dyDescent="0.2">
      <c r="A214" s="420"/>
      <c r="B214" s="416"/>
      <c r="C214" s="417"/>
      <c r="D214" s="417"/>
      <c r="E214" s="418"/>
      <c r="F214" s="416"/>
      <c r="G214" s="417"/>
      <c r="H214" s="417"/>
      <c r="I214" s="417"/>
      <c r="J214" s="417"/>
      <c r="K214" s="419"/>
      <c r="L214" s="133"/>
      <c r="M214" s="415" t="str">
        <f t="shared" si="3"/>
        <v/>
      </c>
    </row>
    <row r="215" spans="1:13" ht="14.45" customHeight="1" x14ac:dyDescent="0.2">
      <c r="A215" s="420"/>
      <c r="B215" s="416"/>
      <c r="C215" s="417"/>
      <c r="D215" s="417"/>
      <c r="E215" s="418"/>
      <c r="F215" s="416"/>
      <c r="G215" s="417"/>
      <c r="H215" s="417"/>
      <c r="I215" s="417"/>
      <c r="J215" s="417"/>
      <c r="K215" s="419"/>
      <c r="L215" s="133"/>
      <c r="M215" s="415" t="str">
        <f t="shared" si="3"/>
        <v/>
      </c>
    </row>
    <row r="216" spans="1:13" ht="14.45" customHeight="1" x14ac:dyDescent="0.2">
      <c r="A216" s="420"/>
      <c r="B216" s="416"/>
      <c r="C216" s="417"/>
      <c r="D216" s="417"/>
      <c r="E216" s="418"/>
      <c r="F216" s="416"/>
      <c r="G216" s="417"/>
      <c r="H216" s="417"/>
      <c r="I216" s="417"/>
      <c r="J216" s="417"/>
      <c r="K216" s="419"/>
      <c r="L216" s="133"/>
      <c r="M216" s="415" t="str">
        <f t="shared" si="3"/>
        <v/>
      </c>
    </row>
    <row r="217" spans="1:13" ht="14.45" customHeight="1" x14ac:dyDescent="0.2">
      <c r="A217" s="420"/>
      <c r="B217" s="416"/>
      <c r="C217" s="417"/>
      <c r="D217" s="417"/>
      <c r="E217" s="418"/>
      <c r="F217" s="416"/>
      <c r="G217" s="417"/>
      <c r="H217" s="417"/>
      <c r="I217" s="417"/>
      <c r="J217" s="417"/>
      <c r="K217" s="419"/>
      <c r="L217" s="133"/>
      <c r="M217" s="415" t="str">
        <f t="shared" si="3"/>
        <v/>
      </c>
    </row>
    <row r="218" spans="1:13" ht="14.45" customHeight="1" x14ac:dyDescent="0.2">
      <c r="A218" s="420"/>
      <c r="B218" s="416"/>
      <c r="C218" s="417"/>
      <c r="D218" s="417"/>
      <c r="E218" s="418"/>
      <c r="F218" s="416"/>
      <c r="G218" s="417"/>
      <c r="H218" s="417"/>
      <c r="I218" s="417"/>
      <c r="J218" s="417"/>
      <c r="K218" s="419"/>
      <c r="L218" s="133"/>
      <c r="M218" s="415" t="str">
        <f t="shared" si="3"/>
        <v/>
      </c>
    </row>
    <row r="219" spans="1:13" ht="14.45" customHeight="1" x14ac:dyDescent="0.2">
      <c r="A219" s="420"/>
      <c r="B219" s="416"/>
      <c r="C219" s="417"/>
      <c r="D219" s="417"/>
      <c r="E219" s="418"/>
      <c r="F219" s="416"/>
      <c r="G219" s="417"/>
      <c r="H219" s="417"/>
      <c r="I219" s="417"/>
      <c r="J219" s="417"/>
      <c r="K219" s="419"/>
      <c r="L219" s="133"/>
      <c r="M219" s="415" t="str">
        <f t="shared" si="3"/>
        <v/>
      </c>
    </row>
    <row r="220" spans="1:13" ht="14.45" customHeight="1" x14ac:dyDescent="0.2">
      <c r="A220" s="420"/>
      <c r="B220" s="416"/>
      <c r="C220" s="417"/>
      <c r="D220" s="417"/>
      <c r="E220" s="418"/>
      <c r="F220" s="416"/>
      <c r="G220" s="417"/>
      <c r="H220" s="417"/>
      <c r="I220" s="417"/>
      <c r="J220" s="417"/>
      <c r="K220" s="419"/>
      <c r="L220" s="133"/>
      <c r="M220" s="415" t="str">
        <f t="shared" si="3"/>
        <v/>
      </c>
    </row>
    <row r="221" spans="1:13" ht="14.45" customHeight="1" x14ac:dyDescent="0.2">
      <c r="A221" s="420"/>
      <c r="B221" s="416"/>
      <c r="C221" s="417"/>
      <c r="D221" s="417"/>
      <c r="E221" s="418"/>
      <c r="F221" s="416"/>
      <c r="G221" s="417"/>
      <c r="H221" s="417"/>
      <c r="I221" s="417"/>
      <c r="J221" s="417"/>
      <c r="K221" s="419"/>
      <c r="L221" s="133"/>
      <c r="M221" s="415" t="str">
        <f t="shared" si="3"/>
        <v/>
      </c>
    </row>
    <row r="222" spans="1:13" ht="14.45" customHeight="1" x14ac:dyDescent="0.2">
      <c r="A222" s="420"/>
      <c r="B222" s="416"/>
      <c r="C222" s="417"/>
      <c r="D222" s="417"/>
      <c r="E222" s="418"/>
      <c r="F222" s="416"/>
      <c r="G222" s="417"/>
      <c r="H222" s="417"/>
      <c r="I222" s="417"/>
      <c r="J222" s="417"/>
      <c r="K222" s="419"/>
      <c r="L222" s="133"/>
      <c r="M222" s="415" t="str">
        <f t="shared" si="3"/>
        <v/>
      </c>
    </row>
    <row r="223" spans="1:13" ht="14.45" customHeight="1" x14ac:dyDescent="0.2">
      <c r="A223" s="420"/>
      <c r="B223" s="416"/>
      <c r="C223" s="417"/>
      <c r="D223" s="417"/>
      <c r="E223" s="418"/>
      <c r="F223" s="416"/>
      <c r="G223" s="417"/>
      <c r="H223" s="417"/>
      <c r="I223" s="417"/>
      <c r="J223" s="417"/>
      <c r="K223" s="419"/>
      <c r="L223" s="133"/>
      <c r="M223" s="415" t="str">
        <f t="shared" si="3"/>
        <v/>
      </c>
    </row>
    <row r="224" spans="1:13" ht="14.45" customHeight="1" x14ac:dyDescent="0.2">
      <c r="A224" s="420"/>
      <c r="B224" s="416"/>
      <c r="C224" s="417"/>
      <c r="D224" s="417"/>
      <c r="E224" s="418"/>
      <c r="F224" s="416"/>
      <c r="G224" s="417"/>
      <c r="H224" s="417"/>
      <c r="I224" s="417"/>
      <c r="J224" s="417"/>
      <c r="K224" s="419"/>
      <c r="L224" s="133"/>
      <c r="M224" s="415" t="str">
        <f t="shared" si="3"/>
        <v/>
      </c>
    </row>
    <row r="225" spans="1:13" ht="14.45" customHeight="1" x14ac:dyDescent="0.2">
      <c r="A225" s="420"/>
      <c r="B225" s="416"/>
      <c r="C225" s="417"/>
      <c r="D225" s="417"/>
      <c r="E225" s="418"/>
      <c r="F225" s="416"/>
      <c r="G225" s="417"/>
      <c r="H225" s="417"/>
      <c r="I225" s="417"/>
      <c r="J225" s="417"/>
      <c r="K225" s="419"/>
      <c r="L225" s="133"/>
      <c r="M225" s="415" t="str">
        <f t="shared" si="3"/>
        <v/>
      </c>
    </row>
    <row r="226" spans="1:13" ht="14.45" customHeight="1" x14ac:dyDescent="0.2">
      <c r="A226" s="420"/>
      <c r="B226" s="416"/>
      <c r="C226" s="417"/>
      <c r="D226" s="417"/>
      <c r="E226" s="418"/>
      <c r="F226" s="416"/>
      <c r="G226" s="417"/>
      <c r="H226" s="417"/>
      <c r="I226" s="417"/>
      <c r="J226" s="417"/>
      <c r="K226" s="419"/>
      <c r="L226" s="133"/>
      <c r="M226" s="415" t="str">
        <f t="shared" si="3"/>
        <v/>
      </c>
    </row>
    <row r="227" spans="1:13" ht="14.45" customHeight="1" x14ac:dyDescent="0.2">
      <c r="A227" s="420"/>
      <c r="B227" s="416"/>
      <c r="C227" s="417"/>
      <c r="D227" s="417"/>
      <c r="E227" s="418"/>
      <c r="F227" s="416"/>
      <c r="G227" s="417"/>
      <c r="H227" s="417"/>
      <c r="I227" s="417"/>
      <c r="J227" s="417"/>
      <c r="K227" s="419"/>
      <c r="L227" s="133"/>
      <c r="M227" s="415" t="str">
        <f t="shared" si="3"/>
        <v/>
      </c>
    </row>
    <row r="228" spans="1:13" ht="14.45" customHeight="1" x14ac:dyDescent="0.2">
      <c r="A228" s="420"/>
      <c r="B228" s="416"/>
      <c r="C228" s="417"/>
      <c r="D228" s="417"/>
      <c r="E228" s="418"/>
      <c r="F228" s="416"/>
      <c r="G228" s="417"/>
      <c r="H228" s="417"/>
      <c r="I228" s="417"/>
      <c r="J228" s="417"/>
      <c r="K228" s="419"/>
      <c r="L228" s="133"/>
      <c r="M228" s="415" t="str">
        <f t="shared" si="3"/>
        <v/>
      </c>
    </row>
    <row r="229" spans="1:13" ht="14.45" customHeight="1" x14ac:dyDescent="0.2">
      <c r="A229" s="420"/>
      <c r="B229" s="416"/>
      <c r="C229" s="417"/>
      <c r="D229" s="417"/>
      <c r="E229" s="418"/>
      <c r="F229" s="416"/>
      <c r="G229" s="417"/>
      <c r="H229" s="417"/>
      <c r="I229" s="417"/>
      <c r="J229" s="417"/>
      <c r="K229" s="419"/>
      <c r="L229" s="133"/>
      <c r="M229" s="415" t="str">
        <f t="shared" si="3"/>
        <v/>
      </c>
    </row>
    <row r="230" spans="1:13" ht="14.45" customHeight="1" x14ac:dyDescent="0.2">
      <c r="A230" s="420"/>
      <c r="B230" s="416"/>
      <c r="C230" s="417"/>
      <c r="D230" s="417"/>
      <c r="E230" s="418"/>
      <c r="F230" s="416"/>
      <c r="G230" s="417"/>
      <c r="H230" s="417"/>
      <c r="I230" s="417"/>
      <c r="J230" s="417"/>
      <c r="K230" s="419"/>
      <c r="L230" s="133"/>
      <c r="M230" s="415" t="str">
        <f t="shared" si="3"/>
        <v/>
      </c>
    </row>
    <row r="231" spans="1:13" ht="14.45" customHeight="1" x14ac:dyDescent="0.2">
      <c r="A231" s="420"/>
      <c r="B231" s="416"/>
      <c r="C231" s="417"/>
      <c r="D231" s="417"/>
      <c r="E231" s="418"/>
      <c r="F231" s="416"/>
      <c r="G231" s="417"/>
      <c r="H231" s="417"/>
      <c r="I231" s="417"/>
      <c r="J231" s="417"/>
      <c r="K231" s="419"/>
      <c r="L231" s="133"/>
      <c r="M231" s="415" t="str">
        <f t="shared" si="3"/>
        <v/>
      </c>
    </row>
    <row r="232" spans="1:13" ht="14.45" customHeight="1" x14ac:dyDescent="0.2">
      <c r="A232" s="420"/>
      <c r="B232" s="416"/>
      <c r="C232" s="417"/>
      <c r="D232" s="417"/>
      <c r="E232" s="418"/>
      <c r="F232" s="416"/>
      <c r="G232" s="417"/>
      <c r="H232" s="417"/>
      <c r="I232" s="417"/>
      <c r="J232" s="417"/>
      <c r="K232" s="419"/>
      <c r="L232" s="133"/>
      <c r="M232" s="415" t="str">
        <f t="shared" si="3"/>
        <v/>
      </c>
    </row>
    <row r="233" spans="1:13" ht="14.45" customHeight="1" x14ac:dyDescent="0.2">
      <c r="A233" s="420"/>
      <c r="B233" s="416"/>
      <c r="C233" s="417"/>
      <c r="D233" s="417"/>
      <c r="E233" s="418"/>
      <c r="F233" s="416"/>
      <c r="G233" s="417"/>
      <c r="H233" s="417"/>
      <c r="I233" s="417"/>
      <c r="J233" s="417"/>
      <c r="K233" s="419"/>
      <c r="L233" s="133"/>
      <c r="M233" s="415" t="str">
        <f t="shared" si="3"/>
        <v/>
      </c>
    </row>
    <row r="234" spans="1:13" ht="14.45" customHeight="1" x14ac:dyDescent="0.2">
      <c r="A234" s="420"/>
      <c r="B234" s="416"/>
      <c r="C234" s="417"/>
      <c r="D234" s="417"/>
      <c r="E234" s="418"/>
      <c r="F234" s="416"/>
      <c r="G234" s="417"/>
      <c r="H234" s="417"/>
      <c r="I234" s="417"/>
      <c r="J234" s="417"/>
      <c r="K234" s="419"/>
      <c r="L234" s="133"/>
      <c r="M234" s="415" t="str">
        <f t="shared" si="3"/>
        <v/>
      </c>
    </row>
    <row r="235" spans="1:13" ht="14.45" customHeight="1" x14ac:dyDescent="0.2">
      <c r="A235" s="420"/>
      <c r="B235" s="416"/>
      <c r="C235" s="417"/>
      <c r="D235" s="417"/>
      <c r="E235" s="418"/>
      <c r="F235" s="416"/>
      <c r="G235" s="417"/>
      <c r="H235" s="417"/>
      <c r="I235" s="417"/>
      <c r="J235" s="417"/>
      <c r="K235" s="419"/>
      <c r="L235" s="133"/>
      <c r="M235" s="415" t="str">
        <f t="shared" si="3"/>
        <v/>
      </c>
    </row>
    <row r="236" spans="1:13" ht="14.45" customHeight="1" x14ac:dyDescent="0.2">
      <c r="A236" s="420"/>
      <c r="B236" s="416"/>
      <c r="C236" s="417"/>
      <c r="D236" s="417"/>
      <c r="E236" s="418"/>
      <c r="F236" s="416"/>
      <c r="G236" s="417"/>
      <c r="H236" s="417"/>
      <c r="I236" s="417"/>
      <c r="J236" s="417"/>
      <c r="K236" s="419"/>
      <c r="L236" s="133"/>
      <c r="M236" s="415" t="str">
        <f t="shared" si="3"/>
        <v/>
      </c>
    </row>
    <row r="237" spans="1:13" ht="14.45" customHeight="1" x14ac:dyDescent="0.2">
      <c r="A237" s="420"/>
      <c r="B237" s="416"/>
      <c r="C237" s="417"/>
      <c r="D237" s="417"/>
      <c r="E237" s="418"/>
      <c r="F237" s="416"/>
      <c r="G237" s="417"/>
      <c r="H237" s="417"/>
      <c r="I237" s="417"/>
      <c r="J237" s="417"/>
      <c r="K237" s="419"/>
      <c r="L237" s="133"/>
      <c r="M237" s="415" t="str">
        <f t="shared" si="3"/>
        <v/>
      </c>
    </row>
    <row r="238" spans="1:13" ht="14.45" customHeight="1" x14ac:dyDescent="0.2">
      <c r="A238" s="420"/>
      <c r="B238" s="416"/>
      <c r="C238" s="417"/>
      <c r="D238" s="417"/>
      <c r="E238" s="418"/>
      <c r="F238" s="416"/>
      <c r="G238" s="417"/>
      <c r="H238" s="417"/>
      <c r="I238" s="417"/>
      <c r="J238" s="417"/>
      <c r="K238" s="419"/>
      <c r="L238" s="133"/>
      <c r="M238" s="415" t="str">
        <f t="shared" si="3"/>
        <v/>
      </c>
    </row>
    <row r="239" spans="1:13" ht="14.45" customHeight="1" x14ac:dyDescent="0.2">
      <c r="A239" s="420"/>
      <c r="B239" s="416"/>
      <c r="C239" s="417"/>
      <c r="D239" s="417"/>
      <c r="E239" s="418"/>
      <c r="F239" s="416"/>
      <c r="G239" s="417"/>
      <c r="H239" s="417"/>
      <c r="I239" s="417"/>
      <c r="J239" s="417"/>
      <c r="K239" s="419"/>
      <c r="L239" s="133"/>
      <c r="M239" s="415" t="str">
        <f t="shared" si="3"/>
        <v/>
      </c>
    </row>
    <row r="240" spans="1:13" ht="14.45" customHeight="1" x14ac:dyDescent="0.2">
      <c r="A240" s="420"/>
      <c r="B240" s="416"/>
      <c r="C240" s="417"/>
      <c r="D240" s="417"/>
      <c r="E240" s="418"/>
      <c r="F240" s="416"/>
      <c r="G240" s="417"/>
      <c r="H240" s="417"/>
      <c r="I240" s="417"/>
      <c r="J240" s="417"/>
      <c r="K240" s="419"/>
      <c r="L240" s="133"/>
      <c r="M240" s="415" t="str">
        <f t="shared" si="3"/>
        <v/>
      </c>
    </row>
    <row r="241" spans="1:13" ht="14.45" customHeight="1" x14ac:dyDescent="0.2">
      <c r="A241" s="420"/>
      <c r="B241" s="416"/>
      <c r="C241" s="417"/>
      <c r="D241" s="417"/>
      <c r="E241" s="418"/>
      <c r="F241" s="416"/>
      <c r="G241" s="417"/>
      <c r="H241" s="417"/>
      <c r="I241" s="417"/>
      <c r="J241" s="417"/>
      <c r="K241" s="419"/>
      <c r="L241" s="133"/>
      <c r="M241" s="415" t="str">
        <f t="shared" si="3"/>
        <v/>
      </c>
    </row>
    <row r="242" spans="1:13" ht="14.45" customHeight="1" x14ac:dyDescent="0.2">
      <c r="A242" s="420"/>
      <c r="B242" s="416"/>
      <c r="C242" s="417"/>
      <c r="D242" s="417"/>
      <c r="E242" s="418"/>
      <c r="F242" s="416"/>
      <c r="G242" s="417"/>
      <c r="H242" s="417"/>
      <c r="I242" s="417"/>
      <c r="J242" s="417"/>
      <c r="K242" s="419"/>
      <c r="L242" s="133"/>
      <c r="M242" s="415" t="str">
        <f t="shared" si="3"/>
        <v/>
      </c>
    </row>
    <row r="243" spans="1:13" ht="14.45" customHeight="1" x14ac:dyDescent="0.2">
      <c r="A243" s="420"/>
      <c r="B243" s="416"/>
      <c r="C243" s="417"/>
      <c r="D243" s="417"/>
      <c r="E243" s="418"/>
      <c r="F243" s="416"/>
      <c r="G243" s="417"/>
      <c r="H243" s="417"/>
      <c r="I243" s="417"/>
      <c r="J243" s="417"/>
      <c r="K243" s="419"/>
      <c r="L243" s="133"/>
      <c r="M243" s="415" t="str">
        <f t="shared" si="3"/>
        <v/>
      </c>
    </row>
    <row r="244" spans="1:13" ht="14.45" customHeight="1" x14ac:dyDescent="0.2">
      <c r="A244" s="420"/>
      <c r="B244" s="416"/>
      <c r="C244" s="417"/>
      <c r="D244" s="417"/>
      <c r="E244" s="418"/>
      <c r="F244" s="416"/>
      <c r="G244" s="417"/>
      <c r="H244" s="417"/>
      <c r="I244" s="417"/>
      <c r="J244" s="417"/>
      <c r="K244" s="419"/>
      <c r="L244" s="133"/>
      <c r="M244" s="415" t="str">
        <f t="shared" si="3"/>
        <v/>
      </c>
    </row>
    <row r="245" spans="1:13" ht="14.45" customHeight="1" x14ac:dyDescent="0.2">
      <c r="A245" s="420"/>
      <c r="B245" s="416"/>
      <c r="C245" s="417"/>
      <c r="D245" s="417"/>
      <c r="E245" s="418"/>
      <c r="F245" s="416"/>
      <c r="G245" s="417"/>
      <c r="H245" s="417"/>
      <c r="I245" s="417"/>
      <c r="J245" s="417"/>
      <c r="K245" s="419"/>
      <c r="L245" s="133"/>
      <c r="M245" s="415" t="str">
        <f t="shared" si="3"/>
        <v/>
      </c>
    </row>
    <row r="246" spans="1:13" ht="14.45" customHeight="1" x14ac:dyDescent="0.2">
      <c r="A246" s="420"/>
      <c r="B246" s="416"/>
      <c r="C246" s="417"/>
      <c r="D246" s="417"/>
      <c r="E246" s="418"/>
      <c r="F246" s="416"/>
      <c r="G246" s="417"/>
      <c r="H246" s="417"/>
      <c r="I246" s="417"/>
      <c r="J246" s="417"/>
      <c r="K246" s="419"/>
      <c r="L246" s="133"/>
      <c r="M246" s="415" t="str">
        <f t="shared" si="3"/>
        <v/>
      </c>
    </row>
    <row r="247" spans="1:13" ht="14.45" customHeight="1" x14ac:dyDescent="0.2">
      <c r="A247" s="420"/>
      <c r="B247" s="416"/>
      <c r="C247" s="417"/>
      <c r="D247" s="417"/>
      <c r="E247" s="418"/>
      <c r="F247" s="416"/>
      <c r="G247" s="417"/>
      <c r="H247" s="417"/>
      <c r="I247" s="417"/>
      <c r="J247" s="417"/>
      <c r="K247" s="419"/>
      <c r="L247" s="133"/>
      <c r="M247" s="415" t="str">
        <f t="shared" si="3"/>
        <v/>
      </c>
    </row>
    <row r="248" spans="1:13" ht="14.45" customHeight="1" x14ac:dyDescent="0.2">
      <c r="A248" s="420"/>
      <c r="B248" s="416"/>
      <c r="C248" s="417"/>
      <c r="D248" s="417"/>
      <c r="E248" s="418"/>
      <c r="F248" s="416"/>
      <c r="G248" s="417"/>
      <c r="H248" s="417"/>
      <c r="I248" s="417"/>
      <c r="J248" s="417"/>
      <c r="K248" s="419"/>
      <c r="L248" s="133"/>
      <c r="M248" s="415" t="str">
        <f t="shared" si="3"/>
        <v/>
      </c>
    </row>
    <row r="249" spans="1:13" ht="14.45" customHeight="1" x14ac:dyDescent="0.2">
      <c r="A249" s="420"/>
      <c r="B249" s="416"/>
      <c r="C249" s="417"/>
      <c r="D249" s="417"/>
      <c r="E249" s="418"/>
      <c r="F249" s="416"/>
      <c r="G249" s="417"/>
      <c r="H249" s="417"/>
      <c r="I249" s="417"/>
      <c r="J249" s="417"/>
      <c r="K249" s="419"/>
      <c r="L249" s="133"/>
      <c r="M249" s="415" t="str">
        <f t="shared" si="3"/>
        <v/>
      </c>
    </row>
    <row r="250" spans="1:13" ht="14.45" customHeight="1" x14ac:dyDescent="0.2">
      <c r="A250" s="420"/>
      <c r="B250" s="416"/>
      <c r="C250" s="417"/>
      <c r="D250" s="417"/>
      <c r="E250" s="418"/>
      <c r="F250" s="416"/>
      <c r="G250" s="417"/>
      <c r="H250" s="417"/>
      <c r="I250" s="417"/>
      <c r="J250" s="417"/>
      <c r="K250" s="419"/>
      <c r="L250" s="133"/>
      <c r="M250" s="415" t="str">
        <f t="shared" si="3"/>
        <v/>
      </c>
    </row>
    <row r="251" spans="1:13" ht="14.45" customHeight="1" x14ac:dyDescent="0.2">
      <c r="A251" s="420"/>
      <c r="B251" s="416"/>
      <c r="C251" s="417"/>
      <c r="D251" s="417"/>
      <c r="E251" s="418"/>
      <c r="F251" s="416"/>
      <c r="G251" s="417"/>
      <c r="H251" s="417"/>
      <c r="I251" s="417"/>
      <c r="J251" s="417"/>
      <c r="K251" s="419"/>
      <c r="L251" s="133"/>
      <c r="M251" s="415" t="str">
        <f t="shared" si="3"/>
        <v/>
      </c>
    </row>
    <row r="252" spans="1:13" ht="14.45" customHeight="1" x14ac:dyDescent="0.2">
      <c r="A252" s="420"/>
      <c r="B252" s="416"/>
      <c r="C252" s="417"/>
      <c r="D252" s="417"/>
      <c r="E252" s="418"/>
      <c r="F252" s="416"/>
      <c r="G252" s="417"/>
      <c r="H252" s="417"/>
      <c r="I252" s="417"/>
      <c r="J252" s="417"/>
      <c r="K252" s="419"/>
      <c r="L252" s="133"/>
      <c r="M252" s="415" t="str">
        <f t="shared" si="3"/>
        <v/>
      </c>
    </row>
    <row r="253" spans="1:13" ht="14.45" customHeight="1" x14ac:dyDescent="0.2">
      <c r="A253" s="420"/>
      <c r="B253" s="416"/>
      <c r="C253" s="417"/>
      <c r="D253" s="417"/>
      <c r="E253" s="418"/>
      <c r="F253" s="416"/>
      <c r="G253" s="417"/>
      <c r="H253" s="417"/>
      <c r="I253" s="417"/>
      <c r="J253" s="417"/>
      <c r="K253" s="419"/>
      <c r="L253" s="133"/>
      <c r="M253" s="415" t="str">
        <f t="shared" si="3"/>
        <v/>
      </c>
    </row>
    <row r="254" spans="1:13" ht="14.45" customHeight="1" x14ac:dyDescent="0.2">
      <c r="A254" s="420"/>
      <c r="B254" s="416"/>
      <c r="C254" s="417"/>
      <c r="D254" s="417"/>
      <c r="E254" s="418"/>
      <c r="F254" s="416"/>
      <c r="G254" s="417"/>
      <c r="H254" s="417"/>
      <c r="I254" s="417"/>
      <c r="J254" s="417"/>
      <c r="K254" s="419"/>
      <c r="L254" s="133"/>
      <c r="M254" s="415" t="str">
        <f t="shared" si="3"/>
        <v/>
      </c>
    </row>
    <row r="255" spans="1:13" ht="14.45" customHeight="1" x14ac:dyDescent="0.2">
      <c r="A255" s="420"/>
      <c r="B255" s="416"/>
      <c r="C255" s="417"/>
      <c r="D255" s="417"/>
      <c r="E255" s="418"/>
      <c r="F255" s="416"/>
      <c r="G255" s="417"/>
      <c r="H255" s="417"/>
      <c r="I255" s="417"/>
      <c r="J255" s="417"/>
      <c r="K255" s="419"/>
      <c r="L255" s="133"/>
      <c r="M255" s="415" t="str">
        <f t="shared" si="3"/>
        <v/>
      </c>
    </row>
    <row r="256" spans="1:13" ht="14.45" customHeight="1" x14ac:dyDescent="0.2">
      <c r="A256" s="420"/>
      <c r="B256" s="416"/>
      <c r="C256" s="417"/>
      <c r="D256" s="417"/>
      <c r="E256" s="418"/>
      <c r="F256" s="416"/>
      <c r="G256" s="417"/>
      <c r="H256" s="417"/>
      <c r="I256" s="417"/>
      <c r="J256" s="417"/>
      <c r="K256" s="419"/>
      <c r="L256" s="133"/>
      <c r="M256" s="415" t="str">
        <f t="shared" si="3"/>
        <v/>
      </c>
    </row>
    <row r="257" spans="1:13" ht="14.45" customHeight="1" x14ac:dyDescent="0.2">
      <c r="A257" s="420"/>
      <c r="B257" s="416"/>
      <c r="C257" s="417"/>
      <c r="D257" s="417"/>
      <c r="E257" s="418"/>
      <c r="F257" s="416"/>
      <c r="G257" s="417"/>
      <c r="H257" s="417"/>
      <c r="I257" s="417"/>
      <c r="J257" s="417"/>
      <c r="K257" s="419"/>
      <c r="L257" s="133"/>
      <c r="M257" s="415" t="str">
        <f t="shared" si="3"/>
        <v/>
      </c>
    </row>
    <row r="258" spans="1:13" ht="14.45" customHeight="1" x14ac:dyDescent="0.2">
      <c r="A258" s="420"/>
      <c r="B258" s="416"/>
      <c r="C258" s="417"/>
      <c r="D258" s="417"/>
      <c r="E258" s="418"/>
      <c r="F258" s="416"/>
      <c r="G258" s="417"/>
      <c r="H258" s="417"/>
      <c r="I258" s="417"/>
      <c r="J258" s="417"/>
      <c r="K258" s="419"/>
      <c r="L258" s="133"/>
      <c r="M258" s="415" t="str">
        <f t="shared" si="3"/>
        <v/>
      </c>
    </row>
    <row r="259" spans="1:13" ht="14.45" customHeight="1" x14ac:dyDescent="0.2">
      <c r="A259" s="420"/>
      <c r="B259" s="416"/>
      <c r="C259" s="417"/>
      <c r="D259" s="417"/>
      <c r="E259" s="418"/>
      <c r="F259" s="416"/>
      <c r="G259" s="417"/>
      <c r="H259" s="417"/>
      <c r="I259" s="417"/>
      <c r="J259" s="417"/>
      <c r="K259" s="419"/>
      <c r="L259" s="133"/>
      <c r="M259" s="415" t="str">
        <f t="shared" si="3"/>
        <v/>
      </c>
    </row>
    <row r="260" spans="1:13" ht="14.45" customHeight="1" x14ac:dyDescent="0.2">
      <c r="A260" s="420"/>
      <c r="B260" s="416"/>
      <c r="C260" s="417"/>
      <c r="D260" s="417"/>
      <c r="E260" s="418"/>
      <c r="F260" s="416"/>
      <c r="G260" s="417"/>
      <c r="H260" s="417"/>
      <c r="I260" s="417"/>
      <c r="J260" s="417"/>
      <c r="K260" s="419"/>
      <c r="L260" s="133"/>
      <c r="M260" s="415" t="str">
        <f t="shared" si="3"/>
        <v/>
      </c>
    </row>
    <row r="261" spans="1:13" ht="14.45" customHeight="1" x14ac:dyDescent="0.2">
      <c r="A261" s="420"/>
      <c r="B261" s="416"/>
      <c r="C261" s="417"/>
      <c r="D261" s="417"/>
      <c r="E261" s="418"/>
      <c r="F261" s="416"/>
      <c r="G261" s="417"/>
      <c r="H261" s="417"/>
      <c r="I261" s="417"/>
      <c r="J261" s="417"/>
      <c r="K261" s="419"/>
      <c r="L261" s="133"/>
      <c r="M261" s="415" t="str">
        <f t="shared" si="3"/>
        <v/>
      </c>
    </row>
    <row r="262" spans="1:13" ht="14.45" customHeight="1" x14ac:dyDescent="0.2">
      <c r="A262" s="420"/>
      <c r="B262" s="416"/>
      <c r="C262" s="417"/>
      <c r="D262" s="417"/>
      <c r="E262" s="418"/>
      <c r="F262" s="416"/>
      <c r="G262" s="417"/>
      <c r="H262" s="417"/>
      <c r="I262" s="417"/>
      <c r="J262" s="417"/>
      <c r="K262" s="419"/>
      <c r="L262" s="133"/>
      <c r="M262" s="415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420"/>
      <c r="B263" s="416"/>
      <c r="C263" s="417"/>
      <c r="D263" s="417"/>
      <c r="E263" s="418"/>
      <c r="F263" s="416"/>
      <c r="G263" s="417"/>
      <c r="H263" s="417"/>
      <c r="I263" s="417"/>
      <c r="J263" s="417"/>
      <c r="K263" s="419"/>
      <c r="L263" s="133"/>
      <c r="M263" s="415" t="str">
        <f t="shared" si="4"/>
        <v/>
      </c>
    </row>
    <row r="264" spans="1:13" ht="14.45" customHeight="1" x14ac:dyDescent="0.2">
      <c r="A264" s="420"/>
      <c r="B264" s="416"/>
      <c r="C264" s="417"/>
      <c r="D264" s="417"/>
      <c r="E264" s="418"/>
      <c r="F264" s="416"/>
      <c r="G264" s="417"/>
      <c r="H264" s="417"/>
      <c r="I264" s="417"/>
      <c r="J264" s="417"/>
      <c r="K264" s="419"/>
      <c r="L264" s="133"/>
      <c r="M264" s="415" t="str">
        <f t="shared" si="4"/>
        <v/>
      </c>
    </row>
    <row r="265" spans="1:13" ht="14.45" customHeight="1" x14ac:dyDescent="0.2">
      <c r="A265" s="420"/>
      <c r="B265" s="416"/>
      <c r="C265" s="417"/>
      <c r="D265" s="417"/>
      <c r="E265" s="418"/>
      <c r="F265" s="416"/>
      <c r="G265" s="417"/>
      <c r="H265" s="417"/>
      <c r="I265" s="417"/>
      <c r="J265" s="417"/>
      <c r="K265" s="419"/>
      <c r="L265" s="133"/>
      <c r="M265" s="415" t="str">
        <f t="shared" si="4"/>
        <v/>
      </c>
    </row>
    <row r="266" spans="1:13" ht="14.45" customHeight="1" x14ac:dyDescent="0.2">
      <c r="A266" s="420"/>
      <c r="B266" s="416"/>
      <c r="C266" s="417"/>
      <c r="D266" s="417"/>
      <c r="E266" s="418"/>
      <c r="F266" s="416"/>
      <c r="G266" s="417"/>
      <c r="H266" s="417"/>
      <c r="I266" s="417"/>
      <c r="J266" s="417"/>
      <c r="K266" s="419"/>
      <c r="L266" s="133"/>
      <c r="M266" s="415" t="str">
        <f t="shared" si="4"/>
        <v/>
      </c>
    </row>
    <row r="267" spans="1:13" ht="14.45" customHeight="1" x14ac:dyDescent="0.2">
      <c r="A267" s="420"/>
      <c r="B267" s="416"/>
      <c r="C267" s="417"/>
      <c r="D267" s="417"/>
      <c r="E267" s="418"/>
      <c r="F267" s="416"/>
      <c r="G267" s="417"/>
      <c r="H267" s="417"/>
      <c r="I267" s="417"/>
      <c r="J267" s="417"/>
      <c r="K267" s="419"/>
      <c r="L267" s="133"/>
      <c r="M267" s="415" t="str">
        <f t="shared" si="4"/>
        <v/>
      </c>
    </row>
    <row r="268" spans="1:13" ht="14.45" customHeight="1" x14ac:dyDescent="0.2">
      <c r="A268" s="420"/>
      <c r="B268" s="416"/>
      <c r="C268" s="417"/>
      <c r="D268" s="417"/>
      <c r="E268" s="418"/>
      <c r="F268" s="416"/>
      <c r="G268" s="417"/>
      <c r="H268" s="417"/>
      <c r="I268" s="417"/>
      <c r="J268" s="417"/>
      <c r="K268" s="419"/>
      <c r="L268" s="133"/>
      <c r="M268" s="415" t="str">
        <f t="shared" si="4"/>
        <v/>
      </c>
    </row>
    <row r="269" spans="1:13" ht="14.45" customHeight="1" x14ac:dyDescent="0.2">
      <c r="A269" s="420"/>
      <c r="B269" s="416"/>
      <c r="C269" s="417"/>
      <c r="D269" s="417"/>
      <c r="E269" s="418"/>
      <c r="F269" s="416"/>
      <c r="G269" s="417"/>
      <c r="H269" s="417"/>
      <c r="I269" s="417"/>
      <c r="J269" s="417"/>
      <c r="K269" s="419"/>
      <c r="L269" s="133"/>
      <c r="M269" s="415" t="str">
        <f t="shared" si="4"/>
        <v/>
      </c>
    </row>
    <row r="270" spans="1:13" ht="14.45" customHeight="1" x14ac:dyDescent="0.2">
      <c r="A270" s="420"/>
      <c r="B270" s="416"/>
      <c r="C270" s="417"/>
      <c r="D270" s="417"/>
      <c r="E270" s="418"/>
      <c r="F270" s="416"/>
      <c r="G270" s="417"/>
      <c r="H270" s="417"/>
      <c r="I270" s="417"/>
      <c r="J270" s="417"/>
      <c r="K270" s="419"/>
      <c r="L270" s="133"/>
      <c r="M270" s="415" t="str">
        <f t="shared" si="4"/>
        <v/>
      </c>
    </row>
    <row r="271" spans="1:13" ht="14.45" customHeight="1" x14ac:dyDescent="0.2">
      <c r="A271" s="420"/>
      <c r="B271" s="416"/>
      <c r="C271" s="417"/>
      <c r="D271" s="417"/>
      <c r="E271" s="418"/>
      <c r="F271" s="416"/>
      <c r="G271" s="417"/>
      <c r="H271" s="417"/>
      <c r="I271" s="417"/>
      <c r="J271" s="417"/>
      <c r="K271" s="419"/>
      <c r="L271" s="133"/>
      <c r="M271" s="415" t="str">
        <f t="shared" si="4"/>
        <v/>
      </c>
    </row>
    <row r="272" spans="1:13" ht="14.45" customHeight="1" x14ac:dyDescent="0.2">
      <c r="A272" s="420"/>
      <c r="B272" s="416"/>
      <c r="C272" s="417"/>
      <c r="D272" s="417"/>
      <c r="E272" s="418"/>
      <c r="F272" s="416"/>
      <c r="G272" s="417"/>
      <c r="H272" s="417"/>
      <c r="I272" s="417"/>
      <c r="J272" s="417"/>
      <c r="K272" s="419"/>
      <c r="L272" s="133"/>
      <c r="M272" s="415" t="str">
        <f t="shared" si="4"/>
        <v/>
      </c>
    </row>
    <row r="273" spans="1:13" ht="14.45" customHeight="1" x14ac:dyDescent="0.2">
      <c r="A273" s="420"/>
      <c r="B273" s="416"/>
      <c r="C273" s="417"/>
      <c r="D273" s="417"/>
      <c r="E273" s="418"/>
      <c r="F273" s="416"/>
      <c r="G273" s="417"/>
      <c r="H273" s="417"/>
      <c r="I273" s="417"/>
      <c r="J273" s="417"/>
      <c r="K273" s="419"/>
      <c r="L273" s="133"/>
      <c r="M273" s="415" t="str">
        <f t="shared" si="4"/>
        <v/>
      </c>
    </row>
    <row r="274" spans="1:13" ht="14.45" customHeight="1" x14ac:dyDescent="0.2">
      <c r="A274" s="420"/>
      <c r="B274" s="416"/>
      <c r="C274" s="417"/>
      <c r="D274" s="417"/>
      <c r="E274" s="418"/>
      <c r="F274" s="416"/>
      <c r="G274" s="417"/>
      <c r="H274" s="417"/>
      <c r="I274" s="417"/>
      <c r="J274" s="417"/>
      <c r="K274" s="419"/>
      <c r="L274" s="133"/>
      <c r="M274" s="415" t="str">
        <f t="shared" si="4"/>
        <v/>
      </c>
    </row>
    <row r="275" spans="1:13" ht="14.45" customHeight="1" x14ac:dyDescent="0.2">
      <c r="A275" s="420"/>
      <c r="B275" s="416"/>
      <c r="C275" s="417"/>
      <c r="D275" s="417"/>
      <c r="E275" s="418"/>
      <c r="F275" s="416"/>
      <c r="G275" s="417"/>
      <c r="H275" s="417"/>
      <c r="I275" s="417"/>
      <c r="J275" s="417"/>
      <c r="K275" s="419"/>
      <c r="L275" s="133"/>
      <c r="M275" s="415" t="str">
        <f t="shared" si="4"/>
        <v/>
      </c>
    </row>
    <row r="276" spans="1:13" ht="14.45" customHeight="1" x14ac:dyDescent="0.2">
      <c r="A276" s="420"/>
      <c r="B276" s="416"/>
      <c r="C276" s="417"/>
      <c r="D276" s="417"/>
      <c r="E276" s="418"/>
      <c r="F276" s="416"/>
      <c r="G276" s="417"/>
      <c r="H276" s="417"/>
      <c r="I276" s="417"/>
      <c r="J276" s="417"/>
      <c r="K276" s="419"/>
      <c r="L276" s="133"/>
      <c r="M276" s="415" t="str">
        <f t="shared" si="4"/>
        <v/>
      </c>
    </row>
    <row r="277" spans="1:13" ht="14.45" customHeight="1" x14ac:dyDescent="0.2">
      <c r="A277" s="420"/>
      <c r="B277" s="416"/>
      <c r="C277" s="417"/>
      <c r="D277" s="417"/>
      <c r="E277" s="418"/>
      <c r="F277" s="416"/>
      <c r="G277" s="417"/>
      <c r="H277" s="417"/>
      <c r="I277" s="417"/>
      <c r="J277" s="417"/>
      <c r="K277" s="419"/>
      <c r="L277" s="133"/>
      <c r="M277" s="415" t="str">
        <f t="shared" si="4"/>
        <v/>
      </c>
    </row>
    <row r="278" spans="1:13" ht="14.45" customHeight="1" x14ac:dyDescent="0.2">
      <c r="A278" s="420"/>
      <c r="B278" s="416"/>
      <c r="C278" s="417"/>
      <c r="D278" s="417"/>
      <c r="E278" s="418"/>
      <c r="F278" s="416"/>
      <c r="G278" s="417"/>
      <c r="H278" s="417"/>
      <c r="I278" s="417"/>
      <c r="J278" s="417"/>
      <c r="K278" s="419"/>
      <c r="L278" s="133"/>
      <c r="M278" s="415" t="str">
        <f t="shared" si="4"/>
        <v/>
      </c>
    </row>
    <row r="279" spans="1:13" ht="14.45" customHeight="1" x14ac:dyDescent="0.2">
      <c r="A279" s="420"/>
      <c r="B279" s="416"/>
      <c r="C279" s="417"/>
      <c r="D279" s="417"/>
      <c r="E279" s="418"/>
      <c r="F279" s="416"/>
      <c r="G279" s="417"/>
      <c r="H279" s="417"/>
      <c r="I279" s="417"/>
      <c r="J279" s="417"/>
      <c r="K279" s="419"/>
      <c r="L279" s="133"/>
      <c r="M279" s="415" t="str">
        <f t="shared" si="4"/>
        <v/>
      </c>
    </row>
    <row r="280" spans="1:13" ht="14.45" customHeight="1" x14ac:dyDescent="0.2">
      <c r="A280" s="420"/>
      <c r="B280" s="416"/>
      <c r="C280" s="417"/>
      <c r="D280" s="417"/>
      <c r="E280" s="418"/>
      <c r="F280" s="416"/>
      <c r="G280" s="417"/>
      <c r="H280" s="417"/>
      <c r="I280" s="417"/>
      <c r="J280" s="417"/>
      <c r="K280" s="419"/>
      <c r="L280" s="133"/>
      <c r="M280" s="415" t="str">
        <f t="shared" si="4"/>
        <v/>
      </c>
    </row>
    <row r="281" spans="1:13" ht="14.45" customHeight="1" x14ac:dyDescent="0.2">
      <c r="A281" s="420"/>
      <c r="B281" s="416"/>
      <c r="C281" s="417"/>
      <c r="D281" s="417"/>
      <c r="E281" s="418"/>
      <c r="F281" s="416"/>
      <c r="G281" s="417"/>
      <c r="H281" s="417"/>
      <c r="I281" s="417"/>
      <c r="J281" s="417"/>
      <c r="K281" s="419"/>
      <c r="L281" s="133"/>
      <c r="M281" s="415" t="str">
        <f t="shared" si="4"/>
        <v/>
      </c>
    </row>
    <row r="282" spans="1:13" ht="14.45" customHeight="1" x14ac:dyDescent="0.2">
      <c r="A282" s="420"/>
      <c r="B282" s="416"/>
      <c r="C282" s="417"/>
      <c r="D282" s="417"/>
      <c r="E282" s="418"/>
      <c r="F282" s="416"/>
      <c r="G282" s="417"/>
      <c r="H282" s="417"/>
      <c r="I282" s="417"/>
      <c r="J282" s="417"/>
      <c r="K282" s="419"/>
      <c r="L282" s="133"/>
      <c r="M282" s="415" t="str">
        <f t="shared" si="4"/>
        <v/>
      </c>
    </row>
    <row r="283" spans="1:13" ht="14.45" customHeight="1" x14ac:dyDescent="0.2">
      <c r="A283" s="420"/>
      <c r="B283" s="416"/>
      <c r="C283" s="417"/>
      <c r="D283" s="417"/>
      <c r="E283" s="418"/>
      <c r="F283" s="416"/>
      <c r="G283" s="417"/>
      <c r="H283" s="417"/>
      <c r="I283" s="417"/>
      <c r="J283" s="417"/>
      <c r="K283" s="419"/>
      <c r="L283" s="133"/>
      <c r="M283" s="415" t="str">
        <f t="shared" si="4"/>
        <v/>
      </c>
    </row>
    <row r="284" spans="1:13" ht="14.45" customHeight="1" x14ac:dyDescent="0.2">
      <c r="A284" s="420"/>
      <c r="B284" s="416"/>
      <c r="C284" s="417"/>
      <c r="D284" s="417"/>
      <c r="E284" s="418"/>
      <c r="F284" s="416"/>
      <c r="G284" s="417"/>
      <c r="H284" s="417"/>
      <c r="I284" s="417"/>
      <c r="J284" s="417"/>
      <c r="K284" s="419"/>
      <c r="L284" s="133"/>
      <c r="M284" s="415" t="str">
        <f t="shared" si="4"/>
        <v/>
      </c>
    </row>
    <row r="285" spans="1:13" ht="14.45" customHeight="1" x14ac:dyDescent="0.2">
      <c r="A285" s="420"/>
      <c r="B285" s="416"/>
      <c r="C285" s="417"/>
      <c r="D285" s="417"/>
      <c r="E285" s="418"/>
      <c r="F285" s="416"/>
      <c r="G285" s="417"/>
      <c r="H285" s="417"/>
      <c r="I285" s="417"/>
      <c r="J285" s="417"/>
      <c r="K285" s="419"/>
      <c r="L285" s="133"/>
      <c r="M285" s="415" t="str">
        <f t="shared" si="4"/>
        <v/>
      </c>
    </row>
    <row r="286" spans="1:13" ht="14.45" customHeight="1" x14ac:dyDescent="0.2">
      <c r="A286" s="420"/>
      <c r="B286" s="416"/>
      <c r="C286" s="417"/>
      <c r="D286" s="417"/>
      <c r="E286" s="418"/>
      <c r="F286" s="416"/>
      <c r="G286" s="417"/>
      <c r="H286" s="417"/>
      <c r="I286" s="417"/>
      <c r="J286" s="417"/>
      <c r="K286" s="419"/>
      <c r="L286" s="133"/>
      <c r="M286" s="415" t="str">
        <f t="shared" si="4"/>
        <v/>
      </c>
    </row>
    <row r="287" spans="1:13" ht="14.45" customHeight="1" x14ac:dyDescent="0.2">
      <c r="A287" s="420"/>
      <c r="B287" s="416"/>
      <c r="C287" s="417"/>
      <c r="D287" s="417"/>
      <c r="E287" s="418"/>
      <c r="F287" s="416"/>
      <c r="G287" s="417"/>
      <c r="H287" s="417"/>
      <c r="I287" s="417"/>
      <c r="J287" s="417"/>
      <c r="K287" s="419"/>
      <c r="L287" s="133"/>
      <c r="M287" s="415" t="str">
        <f t="shared" si="4"/>
        <v/>
      </c>
    </row>
    <row r="288" spans="1:13" ht="14.45" customHeight="1" x14ac:dyDescent="0.2">
      <c r="A288" s="420"/>
      <c r="B288" s="416"/>
      <c r="C288" s="417"/>
      <c r="D288" s="417"/>
      <c r="E288" s="418"/>
      <c r="F288" s="416"/>
      <c r="G288" s="417"/>
      <c r="H288" s="417"/>
      <c r="I288" s="417"/>
      <c r="J288" s="417"/>
      <c r="K288" s="419"/>
      <c r="L288" s="133"/>
      <c r="M288" s="415" t="str">
        <f t="shared" si="4"/>
        <v/>
      </c>
    </row>
    <row r="289" spans="1:13" ht="14.45" customHeight="1" x14ac:dyDescent="0.2">
      <c r="A289" s="420"/>
      <c r="B289" s="416"/>
      <c r="C289" s="417"/>
      <c r="D289" s="417"/>
      <c r="E289" s="418"/>
      <c r="F289" s="416"/>
      <c r="G289" s="417"/>
      <c r="H289" s="417"/>
      <c r="I289" s="417"/>
      <c r="J289" s="417"/>
      <c r="K289" s="419"/>
      <c r="L289" s="133"/>
      <c r="M289" s="415" t="str">
        <f t="shared" si="4"/>
        <v/>
      </c>
    </row>
    <row r="290" spans="1:13" ht="14.45" customHeight="1" x14ac:dyDescent="0.2">
      <c r="A290" s="420"/>
      <c r="B290" s="416"/>
      <c r="C290" s="417"/>
      <c r="D290" s="417"/>
      <c r="E290" s="418"/>
      <c r="F290" s="416"/>
      <c r="G290" s="417"/>
      <c r="H290" s="417"/>
      <c r="I290" s="417"/>
      <c r="J290" s="417"/>
      <c r="K290" s="419"/>
      <c r="L290" s="133"/>
      <c r="M290" s="415" t="str">
        <f t="shared" si="4"/>
        <v/>
      </c>
    </row>
    <row r="291" spans="1:13" ht="14.45" customHeight="1" x14ac:dyDescent="0.2">
      <c r="A291" s="420"/>
      <c r="B291" s="416"/>
      <c r="C291" s="417"/>
      <c r="D291" s="417"/>
      <c r="E291" s="418"/>
      <c r="F291" s="416"/>
      <c r="G291" s="417"/>
      <c r="H291" s="417"/>
      <c r="I291" s="417"/>
      <c r="J291" s="417"/>
      <c r="K291" s="419"/>
      <c r="L291" s="133"/>
      <c r="M291" s="415" t="str">
        <f t="shared" si="4"/>
        <v/>
      </c>
    </row>
    <row r="292" spans="1:13" ht="14.45" customHeight="1" x14ac:dyDescent="0.2">
      <c r="A292" s="420"/>
      <c r="B292" s="416"/>
      <c r="C292" s="417"/>
      <c r="D292" s="417"/>
      <c r="E292" s="418"/>
      <c r="F292" s="416"/>
      <c r="G292" s="417"/>
      <c r="H292" s="417"/>
      <c r="I292" s="417"/>
      <c r="J292" s="417"/>
      <c r="K292" s="419"/>
      <c r="L292" s="133"/>
      <c r="M292" s="415" t="str">
        <f t="shared" si="4"/>
        <v/>
      </c>
    </row>
    <row r="293" spans="1:13" ht="14.45" customHeight="1" x14ac:dyDescent="0.2">
      <c r="A293" s="420"/>
      <c r="B293" s="416"/>
      <c r="C293" s="417"/>
      <c r="D293" s="417"/>
      <c r="E293" s="418"/>
      <c r="F293" s="416"/>
      <c r="G293" s="417"/>
      <c r="H293" s="417"/>
      <c r="I293" s="417"/>
      <c r="J293" s="417"/>
      <c r="K293" s="419"/>
      <c r="L293" s="133"/>
      <c r="M293" s="415" t="str">
        <f t="shared" si="4"/>
        <v/>
      </c>
    </row>
    <row r="294" spans="1:13" ht="14.45" customHeight="1" x14ac:dyDescent="0.2">
      <c r="A294" s="420"/>
      <c r="B294" s="416"/>
      <c r="C294" s="417"/>
      <c r="D294" s="417"/>
      <c r="E294" s="418"/>
      <c r="F294" s="416"/>
      <c r="G294" s="417"/>
      <c r="H294" s="417"/>
      <c r="I294" s="417"/>
      <c r="J294" s="417"/>
      <c r="K294" s="419"/>
      <c r="L294" s="133"/>
      <c r="M294" s="415" t="str">
        <f t="shared" si="4"/>
        <v/>
      </c>
    </row>
    <row r="295" spans="1:13" ht="14.45" customHeight="1" x14ac:dyDescent="0.2">
      <c r="A295" s="420"/>
      <c r="B295" s="416"/>
      <c r="C295" s="417"/>
      <c r="D295" s="417"/>
      <c r="E295" s="418"/>
      <c r="F295" s="416"/>
      <c r="G295" s="417"/>
      <c r="H295" s="417"/>
      <c r="I295" s="417"/>
      <c r="J295" s="417"/>
      <c r="K295" s="419"/>
      <c r="L295" s="133"/>
      <c r="M295" s="415" t="str">
        <f t="shared" si="4"/>
        <v/>
      </c>
    </row>
    <row r="296" spans="1:13" ht="14.45" customHeight="1" x14ac:dyDescent="0.2">
      <c r="A296" s="420"/>
      <c r="B296" s="416"/>
      <c r="C296" s="417"/>
      <c r="D296" s="417"/>
      <c r="E296" s="418"/>
      <c r="F296" s="416"/>
      <c r="G296" s="417"/>
      <c r="H296" s="417"/>
      <c r="I296" s="417"/>
      <c r="J296" s="417"/>
      <c r="K296" s="419"/>
      <c r="L296" s="133"/>
      <c r="M296" s="415" t="str">
        <f t="shared" si="4"/>
        <v/>
      </c>
    </row>
    <row r="297" spans="1:13" ht="14.45" customHeight="1" x14ac:dyDescent="0.2">
      <c r="A297" s="420"/>
      <c r="B297" s="416"/>
      <c r="C297" s="417"/>
      <c r="D297" s="417"/>
      <c r="E297" s="418"/>
      <c r="F297" s="416"/>
      <c r="G297" s="417"/>
      <c r="H297" s="417"/>
      <c r="I297" s="417"/>
      <c r="J297" s="417"/>
      <c r="K297" s="419"/>
      <c r="L297" s="133"/>
      <c r="M297" s="415" t="str">
        <f t="shared" si="4"/>
        <v/>
      </c>
    </row>
    <row r="298" spans="1:13" ht="14.45" customHeight="1" x14ac:dyDescent="0.2">
      <c r="A298" s="420"/>
      <c r="B298" s="416"/>
      <c r="C298" s="417"/>
      <c r="D298" s="417"/>
      <c r="E298" s="418"/>
      <c r="F298" s="416"/>
      <c r="G298" s="417"/>
      <c r="H298" s="417"/>
      <c r="I298" s="417"/>
      <c r="J298" s="417"/>
      <c r="K298" s="419"/>
      <c r="L298" s="133"/>
      <c r="M298" s="415" t="str">
        <f t="shared" si="4"/>
        <v/>
      </c>
    </row>
    <row r="299" spans="1:13" ht="14.45" customHeight="1" x14ac:dyDescent="0.2">
      <c r="A299" s="420"/>
      <c r="B299" s="416"/>
      <c r="C299" s="417"/>
      <c r="D299" s="417"/>
      <c r="E299" s="418"/>
      <c r="F299" s="416"/>
      <c r="G299" s="417"/>
      <c r="H299" s="417"/>
      <c r="I299" s="417"/>
      <c r="J299" s="417"/>
      <c r="K299" s="419"/>
      <c r="L299" s="133"/>
      <c r="M299" s="415" t="str">
        <f t="shared" si="4"/>
        <v/>
      </c>
    </row>
    <row r="300" spans="1:13" ht="14.45" customHeight="1" x14ac:dyDescent="0.2">
      <c r="A300" s="420"/>
      <c r="B300" s="416"/>
      <c r="C300" s="417"/>
      <c r="D300" s="417"/>
      <c r="E300" s="418"/>
      <c r="F300" s="416"/>
      <c r="G300" s="417"/>
      <c r="H300" s="417"/>
      <c r="I300" s="417"/>
      <c r="J300" s="417"/>
      <c r="K300" s="419"/>
      <c r="L300" s="133"/>
      <c r="M300" s="415" t="str">
        <f t="shared" si="4"/>
        <v/>
      </c>
    </row>
    <row r="301" spans="1:13" ht="14.45" customHeight="1" x14ac:dyDescent="0.2">
      <c r="A301" s="420"/>
      <c r="B301" s="416"/>
      <c r="C301" s="417"/>
      <c r="D301" s="417"/>
      <c r="E301" s="418"/>
      <c r="F301" s="416"/>
      <c r="G301" s="417"/>
      <c r="H301" s="417"/>
      <c r="I301" s="417"/>
      <c r="J301" s="417"/>
      <c r="K301" s="419"/>
      <c r="L301" s="133"/>
      <c r="M301" s="415" t="str">
        <f t="shared" si="4"/>
        <v/>
      </c>
    </row>
    <row r="302" spans="1:13" ht="14.45" customHeight="1" x14ac:dyDescent="0.2">
      <c r="A302" s="420"/>
      <c r="B302" s="416"/>
      <c r="C302" s="417"/>
      <c r="D302" s="417"/>
      <c r="E302" s="418"/>
      <c r="F302" s="416"/>
      <c r="G302" s="417"/>
      <c r="H302" s="417"/>
      <c r="I302" s="417"/>
      <c r="J302" s="417"/>
      <c r="K302" s="419"/>
      <c r="L302" s="133"/>
      <c r="M302" s="415" t="str">
        <f t="shared" si="4"/>
        <v/>
      </c>
    </row>
    <row r="303" spans="1:13" ht="14.45" customHeight="1" x14ac:dyDescent="0.2">
      <c r="A303" s="420"/>
      <c r="B303" s="416"/>
      <c r="C303" s="417"/>
      <c r="D303" s="417"/>
      <c r="E303" s="418"/>
      <c r="F303" s="416"/>
      <c r="G303" s="417"/>
      <c r="H303" s="417"/>
      <c r="I303" s="417"/>
      <c r="J303" s="417"/>
      <c r="K303" s="419"/>
      <c r="L303" s="133"/>
      <c r="M303" s="415" t="str">
        <f t="shared" si="4"/>
        <v/>
      </c>
    </row>
    <row r="304" spans="1:13" ht="14.45" customHeight="1" x14ac:dyDescent="0.2">
      <c r="A304" s="420"/>
      <c r="B304" s="416"/>
      <c r="C304" s="417"/>
      <c r="D304" s="417"/>
      <c r="E304" s="418"/>
      <c r="F304" s="416"/>
      <c r="G304" s="417"/>
      <c r="H304" s="417"/>
      <c r="I304" s="417"/>
      <c r="J304" s="417"/>
      <c r="K304" s="419"/>
      <c r="L304" s="133"/>
      <c r="M304" s="415" t="str">
        <f t="shared" si="4"/>
        <v/>
      </c>
    </row>
    <row r="305" spans="1:13" ht="14.45" customHeight="1" x14ac:dyDescent="0.2">
      <c r="A305" s="420"/>
      <c r="B305" s="416"/>
      <c r="C305" s="417"/>
      <c r="D305" s="417"/>
      <c r="E305" s="418"/>
      <c r="F305" s="416"/>
      <c r="G305" s="417"/>
      <c r="H305" s="417"/>
      <c r="I305" s="417"/>
      <c r="J305" s="417"/>
      <c r="K305" s="419"/>
      <c r="L305" s="133"/>
      <c r="M305" s="415" t="str">
        <f t="shared" si="4"/>
        <v/>
      </c>
    </row>
    <row r="306" spans="1:13" ht="14.45" customHeight="1" x14ac:dyDescent="0.2">
      <c r="A306" s="420"/>
      <c r="B306" s="416"/>
      <c r="C306" s="417"/>
      <c r="D306" s="417"/>
      <c r="E306" s="418"/>
      <c r="F306" s="416"/>
      <c r="G306" s="417"/>
      <c r="H306" s="417"/>
      <c r="I306" s="417"/>
      <c r="J306" s="417"/>
      <c r="K306" s="419"/>
      <c r="L306" s="133"/>
      <c r="M306" s="415" t="str">
        <f t="shared" si="4"/>
        <v/>
      </c>
    </row>
    <row r="307" spans="1:13" ht="14.45" customHeight="1" x14ac:dyDescent="0.2">
      <c r="A307" s="420"/>
      <c r="B307" s="416"/>
      <c r="C307" s="417"/>
      <c r="D307" s="417"/>
      <c r="E307" s="418"/>
      <c r="F307" s="416"/>
      <c r="G307" s="417"/>
      <c r="H307" s="417"/>
      <c r="I307" s="417"/>
      <c r="J307" s="417"/>
      <c r="K307" s="419"/>
      <c r="L307" s="133"/>
      <c r="M307" s="415" t="str">
        <f t="shared" si="4"/>
        <v/>
      </c>
    </row>
    <row r="308" spans="1:13" ht="14.45" customHeight="1" x14ac:dyDescent="0.2">
      <c r="A308" s="420"/>
      <c r="B308" s="416"/>
      <c r="C308" s="417"/>
      <c r="D308" s="417"/>
      <c r="E308" s="418"/>
      <c r="F308" s="416"/>
      <c r="G308" s="417"/>
      <c r="H308" s="417"/>
      <c r="I308" s="417"/>
      <c r="J308" s="417"/>
      <c r="K308" s="419"/>
      <c r="L308" s="133"/>
      <c r="M308" s="415" t="str">
        <f t="shared" si="4"/>
        <v/>
      </c>
    </row>
    <row r="309" spans="1:13" ht="14.45" customHeight="1" x14ac:dyDescent="0.2">
      <c r="A309" s="420"/>
      <c r="B309" s="416"/>
      <c r="C309" s="417"/>
      <c r="D309" s="417"/>
      <c r="E309" s="418"/>
      <c r="F309" s="416"/>
      <c r="G309" s="417"/>
      <c r="H309" s="417"/>
      <c r="I309" s="417"/>
      <c r="J309" s="417"/>
      <c r="K309" s="419"/>
      <c r="L309" s="133"/>
      <c r="M309" s="415" t="str">
        <f t="shared" si="4"/>
        <v/>
      </c>
    </row>
    <row r="310" spans="1:13" ht="14.45" customHeight="1" x14ac:dyDescent="0.2">
      <c r="A310" s="420"/>
      <c r="B310" s="416"/>
      <c r="C310" s="417"/>
      <c r="D310" s="417"/>
      <c r="E310" s="418"/>
      <c r="F310" s="416"/>
      <c r="G310" s="417"/>
      <c r="H310" s="417"/>
      <c r="I310" s="417"/>
      <c r="J310" s="417"/>
      <c r="K310" s="419"/>
      <c r="L310" s="133"/>
      <c r="M310" s="415" t="str">
        <f t="shared" si="4"/>
        <v/>
      </c>
    </row>
    <row r="311" spans="1:13" ht="14.45" customHeight="1" x14ac:dyDescent="0.2">
      <c r="A311" s="420"/>
      <c r="B311" s="416"/>
      <c r="C311" s="417"/>
      <c r="D311" s="417"/>
      <c r="E311" s="418"/>
      <c r="F311" s="416"/>
      <c r="G311" s="417"/>
      <c r="H311" s="417"/>
      <c r="I311" s="417"/>
      <c r="J311" s="417"/>
      <c r="K311" s="419"/>
      <c r="L311" s="133"/>
      <c r="M311" s="415" t="str">
        <f t="shared" si="4"/>
        <v/>
      </c>
    </row>
    <row r="312" spans="1:13" ht="14.45" customHeight="1" x14ac:dyDescent="0.2">
      <c r="A312" s="420"/>
      <c r="B312" s="416"/>
      <c r="C312" s="417"/>
      <c r="D312" s="417"/>
      <c r="E312" s="418"/>
      <c r="F312" s="416"/>
      <c r="G312" s="417"/>
      <c r="H312" s="417"/>
      <c r="I312" s="417"/>
      <c r="J312" s="417"/>
      <c r="K312" s="419"/>
      <c r="L312" s="133"/>
      <c r="M312" s="415" t="str">
        <f t="shared" si="4"/>
        <v/>
      </c>
    </row>
    <row r="313" spans="1:13" ht="14.45" customHeight="1" x14ac:dyDescent="0.2">
      <c r="A313" s="420"/>
      <c r="B313" s="416"/>
      <c r="C313" s="417"/>
      <c r="D313" s="417"/>
      <c r="E313" s="418"/>
      <c r="F313" s="416"/>
      <c r="G313" s="417"/>
      <c r="H313" s="417"/>
      <c r="I313" s="417"/>
      <c r="J313" s="417"/>
      <c r="K313" s="419"/>
      <c r="L313" s="133"/>
      <c r="M313" s="415" t="str">
        <f t="shared" si="4"/>
        <v/>
      </c>
    </row>
    <row r="314" spans="1:13" ht="14.45" customHeight="1" x14ac:dyDescent="0.2">
      <c r="A314" s="420"/>
      <c r="B314" s="416"/>
      <c r="C314" s="417"/>
      <c r="D314" s="417"/>
      <c r="E314" s="418"/>
      <c r="F314" s="416"/>
      <c r="G314" s="417"/>
      <c r="H314" s="417"/>
      <c r="I314" s="417"/>
      <c r="J314" s="417"/>
      <c r="K314" s="419"/>
      <c r="L314" s="133"/>
      <c r="M314" s="415" t="str">
        <f t="shared" si="4"/>
        <v/>
      </c>
    </row>
    <row r="315" spans="1:13" ht="14.45" customHeight="1" x14ac:dyDescent="0.2">
      <c r="A315" s="420"/>
      <c r="B315" s="416"/>
      <c r="C315" s="417"/>
      <c r="D315" s="417"/>
      <c r="E315" s="418"/>
      <c r="F315" s="416"/>
      <c r="G315" s="417"/>
      <c r="H315" s="417"/>
      <c r="I315" s="417"/>
      <c r="J315" s="417"/>
      <c r="K315" s="419"/>
      <c r="L315" s="133"/>
      <c r="M315" s="415" t="str">
        <f t="shared" si="4"/>
        <v/>
      </c>
    </row>
    <row r="316" spans="1:13" ht="14.45" customHeight="1" x14ac:dyDescent="0.2">
      <c r="A316" s="420"/>
      <c r="B316" s="416"/>
      <c r="C316" s="417"/>
      <c r="D316" s="417"/>
      <c r="E316" s="418"/>
      <c r="F316" s="416"/>
      <c r="G316" s="417"/>
      <c r="H316" s="417"/>
      <c r="I316" s="417"/>
      <c r="J316" s="417"/>
      <c r="K316" s="419"/>
      <c r="L316" s="133"/>
      <c r="M316" s="415" t="str">
        <f t="shared" si="4"/>
        <v/>
      </c>
    </row>
    <row r="317" spans="1:13" ht="14.45" customHeight="1" x14ac:dyDescent="0.2">
      <c r="A317" s="420"/>
      <c r="B317" s="416"/>
      <c r="C317" s="417"/>
      <c r="D317" s="417"/>
      <c r="E317" s="418"/>
      <c r="F317" s="416"/>
      <c r="G317" s="417"/>
      <c r="H317" s="417"/>
      <c r="I317" s="417"/>
      <c r="J317" s="417"/>
      <c r="K317" s="419"/>
      <c r="L317" s="133"/>
      <c r="M317" s="415" t="str">
        <f t="shared" si="4"/>
        <v/>
      </c>
    </row>
    <row r="318" spans="1:13" ht="14.45" customHeight="1" x14ac:dyDescent="0.2">
      <c r="A318" s="420"/>
      <c r="B318" s="416"/>
      <c r="C318" s="417"/>
      <c r="D318" s="417"/>
      <c r="E318" s="418"/>
      <c r="F318" s="416"/>
      <c r="G318" s="417"/>
      <c r="H318" s="417"/>
      <c r="I318" s="417"/>
      <c r="J318" s="417"/>
      <c r="K318" s="419"/>
      <c r="L318" s="133"/>
      <c r="M318" s="415" t="str">
        <f t="shared" si="4"/>
        <v/>
      </c>
    </row>
    <row r="319" spans="1:13" ht="14.45" customHeight="1" x14ac:dyDescent="0.2">
      <c r="A319" s="420"/>
      <c r="B319" s="416"/>
      <c r="C319" s="417"/>
      <c r="D319" s="417"/>
      <c r="E319" s="418"/>
      <c r="F319" s="416"/>
      <c r="G319" s="417"/>
      <c r="H319" s="417"/>
      <c r="I319" s="417"/>
      <c r="J319" s="417"/>
      <c r="K319" s="419"/>
      <c r="L319" s="133"/>
      <c r="M319" s="415" t="str">
        <f t="shared" si="4"/>
        <v/>
      </c>
    </row>
    <row r="320" spans="1:13" ht="14.45" customHeight="1" x14ac:dyDescent="0.2">
      <c r="A320" s="420"/>
      <c r="B320" s="416"/>
      <c r="C320" s="417"/>
      <c r="D320" s="417"/>
      <c r="E320" s="418"/>
      <c r="F320" s="416"/>
      <c r="G320" s="417"/>
      <c r="H320" s="417"/>
      <c r="I320" s="417"/>
      <c r="J320" s="417"/>
      <c r="K320" s="419"/>
      <c r="L320" s="133"/>
      <c r="M320" s="415" t="str">
        <f t="shared" si="4"/>
        <v/>
      </c>
    </row>
    <row r="321" spans="1:13" ht="14.45" customHeight="1" x14ac:dyDescent="0.2">
      <c r="A321" s="420"/>
      <c r="B321" s="416"/>
      <c r="C321" s="417"/>
      <c r="D321" s="417"/>
      <c r="E321" s="418"/>
      <c r="F321" s="416"/>
      <c r="G321" s="417"/>
      <c r="H321" s="417"/>
      <c r="I321" s="417"/>
      <c r="J321" s="417"/>
      <c r="K321" s="419"/>
      <c r="L321" s="133"/>
      <c r="M321" s="415" t="str">
        <f t="shared" si="4"/>
        <v/>
      </c>
    </row>
    <row r="322" spans="1:13" ht="14.45" customHeight="1" x14ac:dyDescent="0.2">
      <c r="A322" s="420"/>
      <c r="B322" s="416"/>
      <c r="C322" s="417"/>
      <c r="D322" s="417"/>
      <c r="E322" s="418"/>
      <c r="F322" s="416"/>
      <c r="G322" s="417"/>
      <c r="H322" s="417"/>
      <c r="I322" s="417"/>
      <c r="J322" s="417"/>
      <c r="K322" s="419"/>
      <c r="L322" s="133"/>
      <c r="M322" s="415" t="str">
        <f t="shared" si="4"/>
        <v/>
      </c>
    </row>
    <row r="323" spans="1:13" ht="14.45" customHeight="1" x14ac:dyDescent="0.2">
      <c r="A323" s="420"/>
      <c r="B323" s="416"/>
      <c r="C323" s="417"/>
      <c r="D323" s="417"/>
      <c r="E323" s="418"/>
      <c r="F323" s="416"/>
      <c r="G323" s="417"/>
      <c r="H323" s="417"/>
      <c r="I323" s="417"/>
      <c r="J323" s="417"/>
      <c r="K323" s="419"/>
      <c r="L323" s="133"/>
      <c r="M323" s="415" t="str">
        <f t="shared" si="4"/>
        <v/>
      </c>
    </row>
    <row r="324" spans="1:13" ht="14.45" customHeight="1" x14ac:dyDescent="0.2">
      <c r="A324" s="420"/>
      <c r="B324" s="416"/>
      <c r="C324" s="417"/>
      <c r="D324" s="417"/>
      <c r="E324" s="418"/>
      <c r="F324" s="416"/>
      <c r="G324" s="417"/>
      <c r="H324" s="417"/>
      <c r="I324" s="417"/>
      <c r="J324" s="417"/>
      <c r="K324" s="419"/>
      <c r="L324" s="133"/>
      <c r="M324" s="415" t="str">
        <f t="shared" si="4"/>
        <v/>
      </c>
    </row>
    <row r="325" spans="1:13" ht="14.45" customHeight="1" x14ac:dyDescent="0.2">
      <c r="A325" s="420"/>
      <c r="B325" s="416"/>
      <c r="C325" s="417"/>
      <c r="D325" s="417"/>
      <c r="E325" s="418"/>
      <c r="F325" s="416"/>
      <c r="G325" s="417"/>
      <c r="H325" s="417"/>
      <c r="I325" s="417"/>
      <c r="J325" s="417"/>
      <c r="K325" s="419"/>
      <c r="L325" s="133"/>
      <c r="M325" s="415" t="str">
        <f t="shared" si="4"/>
        <v/>
      </c>
    </row>
    <row r="326" spans="1:13" ht="14.45" customHeight="1" x14ac:dyDescent="0.2">
      <c r="A326" s="420"/>
      <c r="B326" s="416"/>
      <c r="C326" s="417"/>
      <c r="D326" s="417"/>
      <c r="E326" s="418"/>
      <c r="F326" s="416"/>
      <c r="G326" s="417"/>
      <c r="H326" s="417"/>
      <c r="I326" s="417"/>
      <c r="J326" s="417"/>
      <c r="K326" s="419"/>
      <c r="L326" s="133"/>
      <c r="M326" s="415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420"/>
      <c r="B327" s="416"/>
      <c r="C327" s="417"/>
      <c r="D327" s="417"/>
      <c r="E327" s="418"/>
      <c r="F327" s="416"/>
      <c r="G327" s="417"/>
      <c r="H327" s="417"/>
      <c r="I327" s="417"/>
      <c r="J327" s="417"/>
      <c r="K327" s="419"/>
      <c r="L327" s="133"/>
      <c r="M327" s="415" t="str">
        <f t="shared" si="5"/>
        <v/>
      </c>
    </row>
    <row r="328" spans="1:13" ht="14.45" customHeight="1" x14ac:dyDescent="0.2">
      <c r="A328" s="420"/>
      <c r="B328" s="416"/>
      <c r="C328" s="417"/>
      <c r="D328" s="417"/>
      <c r="E328" s="418"/>
      <c r="F328" s="416"/>
      <c r="G328" s="417"/>
      <c r="H328" s="417"/>
      <c r="I328" s="417"/>
      <c r="J328" s="417"/>
      <c r="K328" s="419"/>
      <c r="L328" s="133"/>
      <c r="M328" s="415" t="str">
        <f t="shared" si="5"/>
        <v/>
      </c>
    </row>
    <row r="329" spans="1:13" ht="14.45" customHeight="1" x14ac:dyDescent="0.2">
      <c r="A329" s="420"/>
      <c r="B329" s="416"/>
      <c r="C329" s="417"/>
      <c r="D329" s="417"/>
      <c r="E329" s="418"/>
      <c r="F329" s="416"/>
      <c r="G329" s="417"/>
      <c r="H329" s="417"/>
      <c r="I329" s="417"/>
      <c r="J329" s="417"/>
      <c r="K329" s="419"/>
      <c r="L329" s="133"/>
      <c r="M329" s="415" t="str">
        <f t="shared" si="5"/>
        <v/>
      </c>
    </row>
    <row r="330" spans="1:13" ht="14.45" customHeight="1" x14ac:dyDescent="0.2">
      <c r="A330" s="420"/>
      <c r="B330" s="416"/>
      <c r="C330" s="417"/>
      <c r="D330" s="417"/>
      <c r="E330" s="418"/>
      <c r="F330" s="416"/>
      <c r="G330" s="417"/>
      <c r="H330" s="417"/>
      <c r="I330" s="417"/>
      <c r="J330" s="417"/>
      <c r="K330" s="419"/>
      <c r="L330" s="133"/>
      <c r="M330" s="415" t="str">
        <f t="shared" si="5"/>
        <v/>
      </c>
    </row>
    <row r="331" spans="1:13" ht="14.45" customHeight="1" x14ac:dyDescent="0.2">
      <c r="A331" s="420"/>
      <c r="B331" s="416"/>
      <c r="C331" s="417"/>
      <c r="D331" s="417"/>
      <c r="E331" s="418"/>
      <c r="F331" s="416"/>
      <c r="G331" s="417"/>
      <c r="H331" s="417"/>
      <c r="I331" s="417"/>
      <c r="J331" s="417"/>
      <c r="K331" s="419"/>
      <c r="L331" s="133"/>
      <c r="M331" s="415" t="str">
        <f t="shared" si="5"/>
        <v/>
      </c>
    </row>
    <row r="332" spans="1:13" ht="14.45" customHeight="1" x14ac:dyDescent="0.2">
      <c r="A332" s="420"/>
      <c r="B332" s="416"/>
      <c r="C332" s="417"/>
      <c r="D332" s="417"/>
      <c r="E332" s="418"/>
      <c r="F332" s="416"/>
      <c r="G332" s="417"/>
      <c r="H332" s="417"/>
      <c r="I332" s="417"/>
      <c r="J332" s="417"/>
      <c r="K332" s="419"/>
      <c r="L332" s="133"/>
      <c r="M332" s="415" t="str">
        <f t="shared" si="5"/>
        <v/>
      </c>
    </row>
    <row r="333" spans="1:13" ht="14.45" customHeight="1" x14ac:dyDescent="0.2">
      <c r="A333" s="420"/>
      <c r="B333" s="416"/>
      <c r="C333" s="417"/>
      <c r="D333" s="417"/>
      <c r="E333" s="418"/>
      <c r="F333" s="416"/>
      <c r="G333" s="417"/>
      <c r="H333" s="417"/>
      <c r="I333" s="417"/>
      <c r="J333" s="417"/>
      <c r="K333" s="419"/>
      <c r="L333" s="133"/>
      <c r="M333" s="415" t="str">
        <f t="shared" si="5"/>
        <v/>
      </c>
    </row>
    <row r="334" spans="1:13" ht="14.45" customHeight="1" x14ac:dyDescent="0.2">
      <c r="A334" s="420"/>
      <c r="B334" s="416"/>
      <c r="C334" s="417"/>
      <c r="D334" s="417"/>
      <c r="E334" s="418"/>
      <c r="F334" s="416"/>
      <c r="G334" s="417"/>
      <c r="H334" s="417"/>
      <c r="I334" s="417"/>
      <c r="J334" s="417"/>
      <c r="K334" s="419"/>
      <c r="L334" s="133"/>
      <c r="M334" s="415" t="str">
        <f t="shared" si="5"/>
        <v/>
      </c>
    </row>
    <row r="335" spans="1:13" ht="14.45" customHeight="1" x14ac:dyDescent="0.2">
      <c r="A335" s="420"/>
      <c r="B335" s="416"/>
      <c r="C335" s="417"/>
      <c r="D335" s="417"/>
      <c r="E335" s="418"/>
      <c r="F335" s="416"/>
      <c r="G335" s="417"/>
      <c r="H335" s="417"/>
      <c r="I335" s="417"/>
      <c r="J335" s="417"/>
      <c r="K335" s="419"/>
      <c r="L335" s="133"/>
      <c r="M335" s="415" t="str">
        <f t="shared" si="5"/>
        <v/>
      </c>
    </row>
    <row r="336" spans="1:13" ht="14.45" customHeight="1" x14ac:dyDescent="0.2">
      <c r="A336" s="420"/>
      <c r="B336" s="416"/>
      <c r="C336" s="417"/>
      <c r="D336" s="417"/>
      <c r="E336" s="418"/>
      <c r="F336" s="416"/>
      <c r="G336" s="417"/>
      <c r="H336" s="417"/>
      <c r="I336" s="417"/>
      <c r="J336" s="417"/>
      <c r="K336" s="419"/>
      <c r="L336" s="133"/>
      <c r="M336" s="415" t="str">
        <f t="shared" si="5"/>
        <v/>
      </c>
    </row>
    <row r="337" spans="1:13" ht="14.45" customHeight="1" x14ac:dyDescent="0.2">
      <c r="A337" s="420"/>
      <c r="B337" s="416"/>
      <c r="C337" s="417"/>
      <c r="D337" s="417"/>
      <c r="E337" s="418"/>
      <c r="F337" s="416"/>
      <c r="G337" s="417"/>
      <c r="H337" s="417"/>
      <c r="I337" s="417"/>
      <c r="J337" s="417"/>
      <c r="K337" s="419"/>
      <c r="L337" s="133"/>
      <c r="M337" s="415" t="str">
        <f t="shared" si="5"/>
        <v/>
      </c>
    </row>
    <row r="338" spans="1:13" ht="14.45" customHeight="1" x14ac:dyDescent="0.2">
      <c r="A338" s="420"/>
      <c r="B338" s="416"/>
      <c r="C338" s="417"/>
      <c r="D338" s="417"/>
      <c r="E338" s="418"/>
      <c r="F338" s="416"/>
      <c r="G338" s="417"/>
      <c r="H338" s="417"/>
      <c r="I338" s="417"/>
      <c r="J338" s="417"/>
      <c r="K338" s="419"/>
      <c r="L338" s="133"/>
      <c r="M338" s="415" t="str">
        <f t="shared" si="5"/>
        <v/>
      </c>
    </row>
    <row r="339" spans="1:13" ht="14.45" customHeight="1" x14ac:dyDescent="0.2">
      <c r="A339" s="420"/>
      <c r="B339" s="416"/>
      <c r="C339" s="417"/>
      <c r="D339" s="417"/>
      <c r="E339" s="418"/>
      <c r="F339" s="416"/>
      <c r="G339" s="417"/>
      <c r="H339" s="417"/>
      <c r="I339" s="417"/>
      <c r="J339" s="417"/>
      <c r="K339" s="419"/>
      <c r="L339" s="133"/>
      <c r="M339" s="415" t="str">
        <f t="shared" si="5"/>
        <v/>
      </c>
    </row>
    <row r="340" spans="1:13" ht="14.45" customHeight="1" x14ac:dyDescent="0.2">
      <c r="A340" s="420"/>
      <c r="B340" s="416"/>
      <c r="C340" s="417"/>
      <c r="D340" s="417"/>
      <c r="E340" s="418"/>
      <c r="F340" s="416"/>
      <c r="G340" s="417"/>
      <c r="H340" s="417"/>
      <c r="I340" s="417"/>
      <c r="J340" s="417"/>
      <c r="K340" s="419"/>
      <c r="L340" s="133"/>
      <c r="M340" s="415" t="str">
        <f t="shared" si="5"/>
        <v/>
      </c>
    </row>
    <row r="341" spans="1:13" ht="14.45" customHeight="1" x14ac:dyDescent="0.2">
      <c r="A341" s="420"/>
      <c r="B341" s="416"/>
      <c r="C341" s="417"/>
      <c r="D341" s="417"/>
      <c r="E341" s="418"/>
      <c r="F341" s="416"/>
      <c r="G341" s="417"/>
      <c r="H341" s="417"/>
      <c r="I341" s="417"/>
      <c r="J341" s="417"/>
      <c r="K341" s="419"/>
      <c r="L341" s="133"/>
      <c r="M341" s="415" t="str">
        <f t="shared" si="5"/>
        <v/>
      </c>
    </row>
    <row r="342" spans="1:13" ht="14.45" customHeight="1" x14ac:dyDescent="0.2">
      <c r="A342" s="420"/>
      <c r="B342" s="416"/>
      <c r="C342" s="417"/>
      <c r="D342" s="417"/>
      <c r="E342" s="418"/>
      <c r="F342" s="416"/>
      <c r="G342" s="417"/>
      <c r="H342" s="417"/>
      <c r="I342" s="417"/>
      <c r="J342" s="417"/>
      <c r="K342" s="419"/>
      <c r="L342" s="133"/>
      <c r="M342" s="415" t="str">
        <f t="shared" si="5"/>
        <v/>
      </c>
    </row>
    <row r="343" spans="1:13" ht="14.45" customHeight="1" x14ac:dyDescent="0.2">
      <c r="A343" s="420"/>
      <c r="B343" s="416"/>
      <c r="C343" s="417"/>
      <c r="D343" s="417"/>
      <c r="E343" s="418"/>
      <c r="F343" s="416"/>
      <c r="G343" s="417"/>
      <c r="H343" s="417"/>
      <c r="I343" s="417"/>
      <c r="J343" s="417"/>
      <c r="K343" s="419"/>
      <c r="L343" s="133"/>
      <c r="M343" s="415" t="str">
        <f t="shared" si="5"/>
        <v/>
      </c>
    </row>
    <row r="344" spans="1:13" ht="14.45" customHeight="1" x14ac:dyDescent="0.2">
      <c r="A344" s="420"/>
      <c r="B344" s="416"/>
      <c r="C344" s="417"/>
      <c r="D344" s="417"/>
      <c r="E344" s="418"/>
      <c r="F344" s="416"/>
      <c r="G344" s="417"/>
      <c r="H344" s="417"/>
      <c r="I344" s="417"/>
      <c r="J344" s="417"/>
      <c r="K344" s="419"/>
      <c r="L344" s="133"/>
      <c r="M344" s="415" t="str">
        <f t="shared" si="5"/>
        <v/>
      </c>
    </row>
    <row r="345" spans="1:13" ht="14.45" customHeight="1" x14ac:dyDescent="0.2">
      <c r="A345" s="420"/>
      <c r="B345" s="416"/>
      <c r="C345" s="417"/>
      <c r="D345" s="417"/>
      <c r="E345" s="418"/>
      <c r="F345" s="416"/>
      <c r="G345" s="417"/>
      <c r="H345" s="417"/>
      <c r="I345" s="417"/>
      <c r="J345" s="417"/>
      <c r="K345" s="419"/>
      <c r="L345" s="133"/>
      <c r="M345" s="415" t="str">
        <f t="shared" si="5"/>
        <v/>
      </c>
    </row>
    <row r="346" spans="1:13" ht="14.45" customHeight="1" x14ac:dyDescent="0.2">
      <c r="A346" s="420"/>
      <c r="B346" s="416"/>
      <c r="C346" s="417"/>
      <c r="D346" s="417"/>
      <c r="E346" s="418"/>
      <c r="F346" s="416"/>
      <c r="G346" s="417"/>
      <c r="H346" s="417"/>
      <c r="I346" s="417"/>
      <c r="J346" s="417"/>
      <c r="K346" s="419"/>
      <c r="L346" s="133"/>
      <c r="M346" s="415" t="str">
        <f t="shared" si="5"/>
        <v/>
      </c>
    </row>
    <row r="347" spans="1:13" ht="14.45" customHeight="1" x14ac:dyDescent="0.2">
      <c r="A347" s="420"/>
      <c r="B347" s="416"/>
      <c r="C347" s="417"/>
      <c r="D347" s="417"/>
      <c r="E347" s="418"/>
      <c r="F347" s="416"/>
      <c r="G347" s="417"/>
      <c r="H347" s="417"/>
      <c r="I347" s="417"/>
      <c r="J347" s="417"/>
      <c r="K347" s="419"/>
      <c r="L347" s="133"/>
      <c r="M347" s="415" t="str">
        <f t="shared" si="5"/>
        <v/>
      </c>
    </row>
    <row r="348" spans="1:13" ht="14.45" customHeight="1" x14ac:dyDescent="0.2">
      <c r="A348" s="420"/>
      <c r="B348" s="416"/>
      <c r="C348" s="417"/>
      <c r="D348" s="417"/>
      <c r="E348" s="418"/>
      <c r="F348" s="416"/>
      <c r="G348" s="417"/>
      <c r="H348" s="417"/>
      <c r="I348" s="417"/>
      <c r="J348" s="417"/>
      <c r="K348" s="419"/>
      <c r="L348" s="133"/>
      <c r="M348" s="415" t="str">
        <f t="shared" si="5"/>
        <v/>
      </c>
    </row>
    <row r="349" spans="1:13" ht="14.45" customHeight="1" x14ac:dyDescent="0.2">
      <c r="A349" s="420"/>
      <c r="B349" s="416"/>
      <c r="C349" s="417"/>
      <c r="D349" s="417"/>
      <c r="E349" s="418"/>
      <c r="F349" s="416"/>
      <c r="G349" s="417"/>
      <c r="H349" s="417"/>
      <c r="I349" s="417"/>
      <c r="J349" s="417"/>
      <c r="K349" s="419"/>
      <c r="L349" s="133"/>
      <c r="M349" s="415" t="str">
        <f t="shared" si="5"/>
        <v/>
      </c>
    </row>
    <row r="350" spans="1:13" ht="14.45" customHeight="1" x14ac:dyDescent="0.2">
      <c r="A350" s="420"/>
      <c r="B350" s="416"/>
      <c r="C350" s="417"/>
      <c r="D350" s="417"/>
      <c r="E350" s="418"/>
      <c r="F350" s="416"/>
      <c r="G350" s="417"/>
      <c r="H350" s="417"/>
      <c r="I350" s="417"/>
      <c r="J350" s="417"/>
      <c r="K350" s="419"/>
      <c r="L350" s="133"/>
      <c r="M350" s="415" t="str">
        <f t="shared" si="5"/>
        <v/>
      </c>
    </row>
    <row r="351" spans="1:13" ht="14.45" customHeight="1" x14ac:dyDescent="0.2">
      <c r="A351" s="420"/>
      <c r="B351" s="416"/>
      <c r="C351" s="417"/>
      <c r="D351" s="417"/>
      <c r="E351" s="418"/>
      <c r="F351" s="416"/>
      <c r="G351" s="417"/>
      <c r="H351" s="417"/>
      <c r="I351" s="417"/>
      <c r="J351" s="417"/>
      <c r="K351" s="419"/>
      <c r="L351" s="133"/>
      <c r="M351" s="415" t="str">
        <f t="shared" si="5"/>
        <v/>
      </c>
    </row>
    <row r="352" spans="1:13" ht="14.45" customHeight="1" x14ac:dyDescent="0.2">
      <c r="A352" s="420"/>
      <c r="B352" s="416"/>
      <c r="C352" s="417"/>
      <c r="D352" s="417"/>
      <c r="E352" s="418"/>
      <c r="F352" s="416"/>
      <c r="G352" s="417"/>
      <c r="H352" s="417"/>
      <c r="I352" s="417"/>
      <c r="J352" s="417"/>
      <c r="K352" s="419"/>
      <c r="L352" s="133"/>
      <c r="M352" s="415" t="str">
        <f t="shared" si="5"/>
        <v/>
      </c>
    </row>
    <row r="353" spans="1:13" ht="14.45" customHeight="1" x14ac:dyDescent="0.2">
      <c r="A353" s="420"/>
      <c r="B353" s="416"/>
      <c r="C353" s="417"/>
      <c r="D353" s="417"/>
      <c r="E353" s="418"/>
      <c r="F353" s="416"/>
      <c r="G353" s="417"/>
      <c r="H353" s="417"/>
      <c r="I353" s="417"/>
      <c r="J353" s="417"/>
      <c r="K353" s="419"/>
      <c r="L353" s="133"/>
      <c r="M353" s="415" t="str">
        <f t="shared" si="5"/>
        <v/>
      </c>
    </row>
    <row r="354" spans="1:13" ht="14.45" customHeight="1" x14ac:dyDescent="0.2">
      <c r="A354" s="420"/>
      <c r="B354" s="416"/>
      <c r="C354" s="417"/>
      <c r="D354" s="417"/>
      <c r="E354" s="418"/>
      <c r="F354" s="416"/>
      <c r="G354" s="417"/>
      <c r="H354" s="417"/>
      <c r="I354" s="417"/>
      <c r="J354" s="417"/>
      <c r="K354" s="419"/>
      <c r="L354" s="133"/>
      <c r="M354" s="415" t="str">
        <f t="shared" si="5"/>
        <v/>
      </c>
    </row>
    <row r="355" spans="1:13" ht="14.45" customHeight="1" x14ac:dyDescent="0.2">
      <c r="A355" s="420"/>
      <c r="B355" s="416"/>
      <c r="C355" s="417"/>
      <c r="D355" s="417"/>
      <c r="E355" s="418"/>
      <c r="F355" s="416"/>
      <c r="G355" s="417"/>
      <c r="H355" s="417"/>
      <c r="I355" s="417"/>
      <c r="J355" s="417"/>
      <c r="K355" s="419"/>
      <c r="L355" s="133"/>
      <c r="M355" s="415" t="str">
        <f t="shared" si="5"/>
        <v/>
      </c>
    </row>
    <row r="356" spans="1:13" ht="14.45" customHeight="1" x14ac:dyDescent="0.2">
      <c r="A356" s="420"/>
      <c r="B356" s="416"/>
      <c r="C356" s="417"/>
      <c r="D356" s="417"/>
      <c r="E356" s="418"/>
      <c r="F356" s="416"/>
      <c r="G356" s="417"/>
      <c r="H356" s="417"/>
      <c r="I356" s="417"/>
      <c r="J356" s="417"/>
      <c r="K356" s="419"/>
      <c r="L356" s="133"/>
      <c r="M356" s="415" t="str">
        <f t="shared" si="5"/>
        <v/>
      </c>
    </row>
    <row r="357" spans="1:13" ht="14.45" customHeight="1" x14ac:dyDescent="0.2">
      <c r="A357" s="420"/>
      <c r="B357" s="416"/>
      <c r="C357" s="417"/>
      <c r="D357" s="417"/>
      <c r="E357" s="418"/>
      <c r="F357" s="416"/>
      <c r="G357" s="417"/>
      <c r="H357" s="417"/>
      <c r="I357" s="417"/>
      <c r="J357" s="417"/>
      <c r="K357" s="419"/>
      <c r="L357" s="133"/>
      <c r="M357" s="415" t="str">
        <f t="shared" si="5"/>
        <v/>
      </c>
    </row>
    <row r="358" spans="1:13" ht="14.45" customHeight="1" x14ac:dyDescent="0.2">
      <c r="A358" s="420"/>
      <c r="B358" s="416"/>
      <c r="C358" s="417"/>
      <c r="D358" s="417"/>
      <c r="E358" s="418"/>
      <c r="F358" s="416"/>
      <c r="G358" s="417"/>
      <c r="H358" s="417"/>
      <c r="I358" s="417"/>
      <c r="J358" s="417"/>
      <c r="K358" s="419"/>
      <c r="L358" s="133"/>
      <c r="M358" s="415" t="str">
        <f t="shared" si="5"/>
        <v/>
      </c>
    </row>
    <row r="359" spans="1:13" ht="14.45" customHeight="1" x14ac:dyDescent="0.2">
      <c r="A359" s="420"/>
      <c r="B359" s="416"/>
      <c r="C359" s="417"/>
      <c r="D359" s="417"/>
      <c r="E359" s="418"/>
      <c r="F359" s="416"/>
      <c r="G359" s="417"/>
      <c r="H359" s="417"/>
      <c r="I359" s="417"/>
      <c r="J359" s="417"/>
      <c r="K359" s="419"/>
      <c r="L359" s="133"/>
      <c r="M359" s="415" t="str">
        <f t="shared" si="5"/>
        <v/>
      </c>
    </row>
    <row r="360" spans="1:13" ht="14.45" customHeight="1" x14ac:dyDescent="0.2">
      <c r="A360" s="420"/>
      <c r="B360" s="416"/>
      <c r="C360" s="417"/>
      <c r="D360" s="417"/>
      <c r="E360" s="418"/>
      <c r="F360" s="416"/>
      <c r="G360" s="417"/>
      <c r="H360" s="417"/>
      <c r="I360" s="417"/>
      <c r="J360" s="417"/>
      <c r="K360" s="419"/>
      <c r="L360" s="133"/>
      <c r="M360" s="415" t="str">
        <f t="shared" si="5"/>
        <v/>
      </c>
    </row>
    <row r="361" spans="1:13" ht="14.45" customHeight="1" x14ac:dyDescent="0.2">
      <c r="A361" s="420"/>
      <c r="B361" s="416"/>
      <c r="C361" s="417"/>
      <c r="D361" s="417"/>
      <c r="E361" s="418"/>
      <c r="F361" s="416"/>
      <c r="G361" s="417"/>
      <c r="H361" s="417"/>
      <c r="I361" s="417"/>
      <c r="J361" s="417"/>
      <c r="K361" s="419"/>
      <c r="L361" s="133"/>
      <c r="M361" s="415" t="str">
        <f t="shared" si="5"/>
        <v/>
      </c>
    </row>
    <row r="362" spans="1:13" ht="14.45" customHeight="1" x14ac:dyDescent="0.2">
      <c r="A362" s="420"/>
      <c r="B362" s="416"/>
      <c r="C362" s="417"/>
      <c r="D362" s="417"/>
      <c r="E362" s="418"/>
      <c r="F362" s="416"/>
      <c r="G362" s="417"/>
      <c r="H362" s="417"/>
      <c r="I362" s="417"/>
      <c r="J362" s="417"/>
      <c r="K362" s="419"/>
      <c r="L362" s="133"/>
      <c r="M362" s="415" t="str">
        <f t="shared" si="5"/>
        <v/>
      </c>
    </row>
    <row r="363" spans="1:13" ht="14.45" customHeight="1" x14ac:dyDescent="0.2">
      <c r="A363" s="420"/>
      <c r="B363" s="416"/>
      <c r="C363" s="417"/>
      <c r="D363" s="417"/>
      <c r="E363" s="418"/>
      <c r="F363" s="416"/>
      <c r="G363" s="417"/>
      <c r="H363" s="417"/>
      <c r="I363" s="417"/>
      <c r="J363" s="417"/>
      <c r="K363" s="419"/>
      <c r="L363" s="133"/>
      <c r="M363" s="415" t="str">
        <f t="shared" si="5"/>
        <v/>
      </c>
    </row>
    <row r="364" spans="1:13" ht="14.45" customHeight="1" x14ac:dyDescent="0.2">
      <c r="A364" s="420"/>
      <c r="B364" s="416"/>
      <c r="C364" s="417"/>
      <c r="D364" s="417"/>
      <c r="E364" s="418"/>
      <c r="F364" s="416"/>
      <c r="G364" s="417"/>
      <c r="H364" s="417"/>
      <c r="I364" s="417"/>
      <c r="J364" s="417"/>
      <c r="K364" s="419"/>
      <c r="L364" s="133"/>
      <c r="M364" s="415" t="str">
        <f t="shared" si="5"/>
        <v/>
      </c>
    </row>
    <row r="365" spans="1:13" ht="14.45" customHeight="1" x14ac:dyDescent="0.2">
      <c r="A365" s="420"/>
      <c r="B365" s="416"/>
      <c r="C365" s="417"/>
      <c r="D365" s="417"/>
      <c r="E365" s="418"/>
      <c r="F365" s="416"/>
      <c r="G365" s="417"/>
      <c r="H365" s="417"/>
      <c r="I365" s="417"/>
      <c r="J365" s="417"/>
      <c r="K365" s="419"/>
      <c r="L365" s="133"/>
      <c r="M365" s="415" t="str">
        <f t="shared" si="5"/>
        <v/>
      </c>
    </row>
    <row r="366" spans="1:13" ht="14.45" customHeight="1" x14ac:dyDescent="0.2">
      <c r="A366" s="420"/>
      <c r="B366" s="416"/>
      <c r="C366" s="417"/>
      <c r="D366" s="417"/>
      <c r="E366" s="418"/>
      <c r="F366" s="416"/>
      <c r="G366" s="417"/>
      <c r="H366" s="417"/>
      <c r="I366" s="417"/>
      <c r="J366" s="417"/>
      <c r="K366" s="419"/>
      <c r="L366" s="133"/>
      <c r="M366" s="415" t="str">
        <f t="shared" si="5"/>
        <v/>
      </c>
    </row>
    <row r="367" spans="1:13" ht="14.45" customHeight="1" x14ac:dyDescent="0.2">
      <c r="A367" s="420"/>
      <c r="B367" s="416"/>
      <c r="C367" s="417"/>
      <c r="D367" s="417"/>
      <c r="E367" s="418"/>
      <c r="F367" s="416"/>
      <c r="G367" s="417"/>
      <c r="H367" s="417"/>
      <c r="I367" s="417"/>
      <c r="J367" s="417"/>
      <c r="K367" s="419"/>
      <c r="L367" s="133"/>
      <c r="M367" s="415" t="str">
        <f t="shared" si="5"/>
        <v/>
      </c>
    </row>
    <row r="368" spans="1:13" ht="14.45" customHeight="1" x14ac:dyDescent="0.2">
      <c r="A368" s="420"/>
      <c r="B368" s="416"/>
      <c r="C368" s="417"/>
      <c r="D368" s="417"/>
      <c r="E368" s="418"/>
      <c r="F368" s="416"/>
      <c r="G368" s="417"/>
      <c r="H368" s="417"/>
      <c r="I368" s="417"/>
      <c r="J368" s="417"/>
      <c r="K368" s="419"/>
      <c r="L368" s="133"/>
      <c r="M368" s="415" t="str">
        <f t="shared" si="5"/>
        <v/>
      </c>
    </row>
    <row r="369" spans="1:13" ht="14.45" customHeight="1" x14ac:dyDescent="0.2">
      <c r="A369" s="420"/>
      <c r="B369" s="416"/>
      <c r="C369" s="417"/>
      <c r="D369" s="417"/>
      <c r="E369" s="418"/>
      <c r="F369" s="416"/>
      <c r="G369" s="417"/>
      <c r="H369" s="417"/>
      <c r="I369" s="417"/>
      <c r="J369" s="417"/>
      <c r="K369" s="419"/>
      <c r="L369" s="133"/>
      <c r="M369" s="415" t="str">
        <f t="shared" si="5"/>
        <v/>
      </c>
    </row>
    <row r="370" spans="1:13" ht="14.45" customHeight="1" x14ac:dyDescent="0.2">
      <c r="A370" s="420"/>
      <c r="B370" s="416"/>
      <c r="C370" s="417"/>
      <c r="D370" s="417"/>
      <c r="E370" s="418"/>
      <c r="F370" s="416"/>
      <c r="G370" s="417"/>
      <c r="H370" s="417"/>
      <c r="I370" s="417"/>
      <c r="J370" s="417"/>
      <c r="K370" s="419"/>
      <c r="L370" s="133"/>
      <c r="M370" s="415" t="str">
        <f t="shared" si="5"/>
        <v/>
      </c>
    </row>
    <row r="371" spans="1:13" ht="14.45" customHeight="1" x14ac:dyDescent="0.2">
      <c r="A371" s="420"/>
      <c r="B371" s="416"/>
      <c r="C371" s="417"/>
      <c r="D371" s="417"/>
      <c r="E371" s="418"/>
      <c r="F371" s="416"/>
      <c r="G371" s="417"/>
      <c r="H371" s="417"/>
      <c r="I371" s="417"/>
      <c r="J371" s="417"/>
      <c r="K371" s="419"/>
      <c r="L371" s="133"/>
      <c r="M371" s="415" t="str">
        <f t="shared" si="5"/>
        <v/>
      </c>
    </row>
    <row r="372" spans="1:13" ht="14.45" customHeight="1" x14ac:dyDescent="0.2">
      <c r="A372" s="420"/>
      <c r="B372" s="416"/>
      <c r="C372" s="417"/>
      <c r="D372" s="417"/>
      <c r="E372" s="418"/>
      <c r="F372" s="416"/>
      <c r="G372" s="417"/>
      <c r="H372" s="417"/>
      <c r="I372" s="417"/>
      <c r="J372" s="417"/>
      <c r="K372" s="419"/>
      <c r="L372" s="133"/>
      <c r="M372" s="415" t="str">
        <f t="shared" si="5"/>
        <v/>
      </c>
    </row>
    <row r="373" spans="1:13" ht="14.45" customHeight="1" x14ac:dyDescent="0.2">
      <c r="A373" s="420"/>
      <c r="B373" s="416"/>
      <c r="C373" s="417"/>
      <c r="D373" s="417"/>
      <c r="E373" s="418"/>
      <c r="F373" s="416"/>
      <c r="G373" s="417"/>
      <c r="H373" s="417"/>
      <c r="I373" s="417"/>
      <c r="J373" s="417"/>
      <c r="K373" s="419"/>
      <c r="L373" s="133"/>
      <c r="M373" s="415" t="str">
        <f t="shared" si="5"/>
        <v/>
      </c>
    </row>
    <row r="374" spans="1:13" ht="14.45" customHeight="1" x14ac:dyDescent="0.2">
      <c r="A374" s="420"/>
      <c r="B374" s="416"/>
      <c r="C374" s="417"/>
      <c r="D374" s="417"/>
      <c r="E374" s="418"/>
      <c r="F374" s="416"/>
      <c r="G374" s="417"/>
      <c r="H374" s="417"/>
      <c r="I374" s="417"/>
      <c r="J374" s="417"/>
      <c r="K374" s="419"/>
      <c r="L374" s="133"/>
      <c r="M374" s="415" t="str">
        <f t="shared" si="5"/>
        <v/>
      </c>
    </row>
    <row r="375" spans="1:13" ht="14.45" customHeight="1" x14ac:dyDescent="0.2">
      <c r="A375" s="420"/>
      <c r="B375" s="416"/>
      <c r="C375" s="417"/>
      <c r="D375" s="417"/>
      <c r="E375" s="418"/>
      <c r="F375" s="416"/>
      <c r="G375" s="417"/>
      <c r="H375" s="417"/>
      <c r="I375" s="417"/>
      <c r="J375" s="417"/>
      <c r="K375" s="419"/>
      <c r="L375" s="133"/>
      <c r="M375" s="415" t="str">
        <f t="shared" si="5"/>
        <v/>
      </c>
    </row>
    <row r="376" spans="1:13" ht="14.45" customHeight="1" x14ac:dyDescent="0.2">
      <c r="A376" s="420"/>
      <c r="B376" s="416"/>
      <c r="C376" s="417"/>
      <c r="D376" s="417"/>
      <c r="E376" s="418"/>
      <c r="F376" s="416"/>
      <c r="G376" s="417"/>
      <c r="H376" s="417"/>
      <c r="I376" s="417"/>
      <c r="J376" s="417"/>
      <c r="K376" s="419"/>
      <c r="L376" s="133"/>
      <c r="M376" s="415" t="str">
        <f t="shared" si="5"/>
        <v/>
      </c>
    </row>
    <row r="377" spans="1:13" ht="14.45" customHeight="1" x14ac:dyDescent="0.2">
      <c r="A377" s="420"/>
      <c r="B377" s="416"/>
      <c r="C377" s="417"/>
      <c r="D377" s="417"/>
      <c r="E377" s="418"/>
      <c r="F377" s="416"/>
      <c r="G377" s="417"/>
      <c r="H377" s="417"/>
      <c r="I377" s="417"/>
      <c r="J377" s="417"/>
      <c r="K377" s="419"/>
      <c r="L377" s="133"/>
      <c r="M377" s="415" t="str">
        <f t="shared" si="5"/>
        <v/>
      </c>
    </row>
    <row r="378" spans="1:13" ht="14.45" customHeight="1" x14ac:dyDescent="0.2">
      <c r="A378" s="420"/>
      <c r="B378" s="416"/>
      <c r="C378" s="417"/>
      <c r="D378" s="417"/>
      <c r="E378" s="418"/>
      <c r="F378" s="416"/>
      <c r="G378" s="417"/>
      <c r="H378" s="417"/>
      <c r="I378" s="417"/>
      <c r="J378" s="417"/>
      <c r="K378" s="419"/>
      <c r="L378" s="133"/>
      <c r="M378" s="415" t="str">
        <f t="shared" si="5"/>
        <v/>
      </c>
    </row>
    <row r="379" spans="1:13" ht="14.45" customHeight="1" x14ac:dyDescent="0.2">
      <c r="A379" s="420"/>
      <c r="B379" s="416"/>
      <c r="C379" s="417"/>
      <c r="D379" s="417"/>
      <c r="E379" s="418"/>
      <c r="F379" s="416"/>
      <c r="G379" s="417"/>
      <c r="H379" s="417"/>
      <c r="I379" s="417"/>
      <c r="J379" s="417"/>
      <c r="K379" s="419"/>
      <c r="L379" s="133"/>
      <c r="M379" s="415" t="str">
        <f t="shared" si="5"/>
        <v/>
      </c>
    </row>
    <row r="380" spans="1:13" ht="14.45" customHeight="1" x14ac:dyDescent="0.2">
      <c r="A380" s="420"/>
      <c r="B380" s="416"/>
      <c r="C380" s="417"/>
      <c r="D380" s="417"/>
      <c r="E380" s="418"/>
      <c r="F380" s="416"/>
      <c r="G380" s="417"/>
      <c r="H380" s="417"/>
      <c r="I380" s="417"/>
      <c r="J380" s="417"/>
      <c r="K380" s="419"/>
      <c r="L380" s="133"/>
      <c r="M380" s="415" t="str">
        <f t="shared" si="5"/>
        <v/>
      </c>
    </row>
    <row r="381" spans="1:13" ht="14.45" customHeight="1" x14ac:dyDescent="0.2">
      <c r="A381" s="420"/>
      <c r="B381" s="416"/>
      <c r="C381" s="417"/>
      <c r="D381" s="417"/>
      <c r="E381" s="418"/>
      <c r="F381" s="416"/>
      <c r="G381" s="417"/>
      <c r="H381" s="417"/>
      <c r="I381" s="417"/>
      <c r="J381" s="417"/>
      <c r="K381" s="419"/>
      <c r="L381" s="133"/>
      <c r="M381" s="415" t="str">
        <f t="shared" si="5"/>
        <v/>
      </c>
    </row>
    <row r="382" spans="1:13" ht="14.45" customHeight="1" x14ac:dyDescent="0.2">
      <c r="A382" s="420"/>
      <c r="B382" s="416"/>
      <c r="C382" s="417"/>
      <c r="D382" s="417"/>
      <c r="E382" s="418"/>
      <c r="F382" s="416"/>
      <c r="G382" s="417"/>
      <c r="H382" s="417"/>
      <c r="I382" s="417"/>
      <c r="J382" s="417"/>
      <c r="K382" s="419"/>
      <c r="L382" s="133"/>
      <c r="M382" s="415" t="str">
        <f t="shared" si="5"/>
        <v/>
      </c>
    </row>
    <row r="383" spans="1:13" ht="14.45" customHeight="1" x14ac:dyDescent="0.2">
      <c r="A383" s="420"/>
      <c r="B383" s="416"/>
      <c r="C383" s="417"/>
      <c r="D383" s="417"/>
      <c r="E383" s="418"/>
      <c r="F383" s="416"/>
      <c r="G383" s="417"/>
      <c r="H383" s="417"/>
      <c r="I383" s="417"/>
      <c r="J383" s="417"/>
      <c r="K383" s="419"/>
      <c r="L383" s="133"/>
      <c r="M383" s="415" t="str">
        <f t="shared" si="5"/>
        <v/>
      </c>
    </row>
    <row r="384" spans="1:13" ht="14.45" customHeight="1" x14ac:dyDescent="0.2">
      <c r="A384" s="420"/>
      <c r="B384" s="416"/>
      <c r="C384" s="417"/>
      <c r="D384" s="417"/>
      <c r="E384" s="418"/>
      <c r="F384" s="416"/>
      <c r="G384" s="417"/>
      <c r="H384" s="417"/>
      <c r="I384" s="417"/>
      <c r="J384" s="417"/>
      <c r="K384" s="419"/>
      <c r="L384" s="133"/>
      <c r="M384" s="415" t="str">
        <f t="shared" si="5"/>
        <v/>
      </c>
    </row>
    <row r="385" spans="1:13" ht="14.45" customHeight="1" x14ac:dyDescent="0.2">
      <c r="A385" s="420"/>
      <c r="B385" s="416"/>
      <c r="C385" s="417"/>
      <c r="D385" s="417"/>
      <c r="E385" s="418"/>
      <c r="F385" s="416"/>
      <c r="G385" s="417"/>
      <c r="H385" s="417"/>
      <c r="I385" s="417"/>
      <c r="J385" s="417"/>
      <c r="K385" s="419"/>
      <c r="L385" s="133"/>
      <c r="M385" s="415" t="str">
        <f t="shared" si="5"/>
        <v/>
      </c>
    </row>
    <row r="386" spans="1:13" ht="14.45" customHeight="1" x14ac:dyDescent="0.2">
      <c r="A386" s="420"/>
      <c r="B386" s="416"/>
      <c r="C386" s="417"/>
      <c r="D386" s="417"/>
      <c r="E386" s="418"/>
      <c r="F386" s="416"/>
      <c r="G386" s="417"/>
      <c r="H386" s="417"/>
      <c r="I386" s="417"/>
      <c r="J386" s="417"/>
      <c r="K386" s="419"/>
      <c r="L386" s="133"/>
      <c r="M386" s="415" t="str">
        <f t="shared" si="5"/>
        <v/>
      </c>
    </row>
    <row r="387" spans="1:13" ht="14.45" customHeight="1" x14ac:dyDescent="0.2">
      <c r="A387" s="420"/>
      <c r="B387" s="416"/>
      <c r="C387" s="417"/>
      <c r="D387" s="417"/>
      <c r="E387" s="418"/>
      <c r="F387" s="416"/>
      <c r="G387" s="417"/>
      <c r="H387" s="417"/>
      <c r="I387" s="417"/>
      <c r="J387" s="417"/>
      <c r="K387" s="419"/>
      <c r="L387" s="133"/>
      <c r="M387" s="415" t="str">
        <f t="shared" si="5"/>
        <v/>
      </c>
    </row>
    <row r="388" spans="1:13" ht="14.45" customHeight="1" x14ac:dyDescent="0.2">
      <c r="A388" s="420"/>
      <c r="B388" s="416"/>
      <c r="C388" s="417"/>
      <c r="D388" s="417"/>
      <c r="E388" s="418"/>
      <c r="F388" s="416"/>
      <c r="G388" s="417"/>
      <c r="H388" s="417"/>
      <c r="I388" s="417"/>
      <c r="J388" s="417"/>
      <c r="K388" s="419"/>
      <c r="L388" s="133"/>
      <c r="M388" s="415" t="str">
        <f t="shared" si="5"/>
        <v/>
      </c>
    </row>
    <row r="389" spans="1:13" ht="14.45" customHeight="1" x14ac:dyDescent="0.2">
      <c r="A389" s="420"/>
      <c r="B389" s="416"/>
      <c r="C389" s="417"/>
      <c r="D389" s="417"/>
      <c r="E389" s="418"/>
      <c r="F389" s="416"/>
      <c r="G389" s="417"/>
      <c r="H389" s="417"/>
      <c r="I389" s="417"/>
      <c r="J389" s="417"/>
      <c r="K389" s="419"/>
      <c r="L389" s="133"/>
      <c r="M389" s="415" t="str">
        <f t="shared" si="5"/>
        <v/>
      </c>
    </row>
    <row r="390" spans="1:13" ht="14.45" customHeight="1" x14ac:dyDescent="0.2">
      <c r="A390" s="420"/>
      <c r="B390" s="416"/>
      <c r="C390" s="417"/>
      <c r="D390" s="417"/>
      <c r="E390" s="418"/>
      <c r="F390" s="416"/>
      <c r="G390" s="417"/>
      <c r="H390" s="417"/>
      <c r="I390" s="417"/>
      <c r="J390" s="417"/>
      <c r="K390" s="419"/>
      <c r="L390" s="133"/>
      <c r="M390" s="415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420"/>
      <c r="B391" s="416"/>
      <c r="C391" s="417"/>
      <c r="D391" s="417"/>
      <c r="E391" s="418"/>
      <c r="F391" s="416"/>
      <c r="G391" s="417"/>
      <c r="H391" s="417"/>
      <c r="I391" s="417"/>
      <c r="J391" s="417"/>
      <c r="K391" s="419"/>
      <c r="L391" s="133"/>
      <c r="M391" s="415" t="str">
        <f t="shared" si="6"/>
        <v/>
      </c>
    </row>
    <row r="392" spans="1:13" ht="14.45" customHeight="1" x14ac:dyDescent="0.2">
      <c r="A392" s="420"/>
      <c r="B392" s="416"/>
      <c r="C392" s="417"/>
      <c r="D392" s="417"/>
      <c r="E392" s="418"/>
      <c r="F392" s="416"/>
      <c r="G392" s="417"/>
      <c r="H392" s="417"/>
      <c r="I392" s="417"/>
      <c r="J392" s="417"/>
      <c r="K392" s="419"/>
      <c r="L392" s="133"/>
      <c r="M392" s="415" t="str">
        <f t="shared" si="6"/>
        <v/>
      </c>
    </row>
    <row r="393" spans="1:13" ht="14.45" customHeight="1" x14ac:dyDescent="0.2">
      <c r="A393" s="420"/>
      <c r="B393" s="416"/>
      <c r="C393" s="417"/>
      <c r="D393" s="417"/>
      <c r="E393" s="418"/>
      <c r="F393" s="416"/>
      <c r="G393" s="417"/>
      <c r="H393" s="417"/>
      <c r="I393" s="417"/>
      <c r="J393" s="417"/>
      <c r="K393" s="419"/>
      <c r="L393" s="133"/>
      <c r="M393" s="415" t="str">
        <f t="shared" si="6"/>
        <v/>
      </c>
    </row>
    <row r="394" spans="1:13" ht="14.45" customHeight="1" x14ac:dyDescent="0.2">
      <c r="A394" s="420"/>
      <c r="B394" s="416"/>
      <c r="C394" s="417"/>
      <c r="D394" s="417"/>
      <c r="E394" s="418"/>
      <c r="F394" s="416"/>
      <c r="G394" s="417"/>
      <c r="H394" s="417"/>
      <c r="I394" s="417"/>
      <c r="J394" s="417"/>
      <c r="K394" s="419"/>
      <c r="L394" s="133"/>
      <c r="M394" s="415" t="str">
        <f t="shared" si="6"/>
        <v/>
      </c>
    </row>
    <row r="395" spans="1:13" ht="14.45" customHeight="1" x14ac:dyDescent="0.2">
      <c r="A395" s="420"/>
      <c r="B395" s="416"/>
      <c r="C395" s="417"/>
      <c r="D395" s="417"/>
      <c r="E395" s="418"/>
      <c r="F395" s="416"/>
      <c r="G395" s="417"/>
      <c r="H395" s="417"/>
      <c r="I395" s="417"/>
      <c r="J395" s="417"/>
      <c r="K395" s="419"/>
      <c r="L395" s="133"/>
      <c r="M395" s="415" t="str">
        <f t="shared" si="6"/>
        <v/>
      </c>
    </row>
    <row r="396" spans="1:13" ht="14.45" customHeight="1" x14ac:dyDescent="0.2">
      <c r="A396" s="420"/>
      <c r="B396" s="416"/>
      <c r="C396" s="417"/>
      <c r="D396" s="417"/>
      <c r="E396" s="418"/>
      <c r="F396" s="416"/>
      <c r="G396" s="417"/>
      <c r="H396" s="417"/>
      <c r="I396" s="417"/>
      <c r="J396" s="417"/>
      <c r="K396" s="419"/>
      <c r="L396" s="133"/>
      <c r="M396" s="415" t="str">
        <f t="shared" si="6"/>
        <v/>
      </c>
    </row>
    <row r="397" spans="1:13" ht="14.45" customHeight="1" x14ac:dyDescent="0.2">
      <c r="A397" s="420"/>
      <c r="B397" s="416"/>
      <c r="C397" s="417"/>
      <c r="D397" s="417"/>
      <c r="E397" s="418"/>
      <c r="F397" s="416"/>
      <c r="G397" s="417"/>
      <c r="H397" s="417"/>
      <c r="I397" s="417"/>
      <c r="J397" s="417"/>
      <c r="K397" s="419"/>
      <c r="L397" s="133"/>
      <c r="M397" s="415" t="str">
        <f t="shared" si="6"/>
        <v/>
      </c>
    </row>
    <row r="398" spans="1:13" ht="14.45" customHeight="1" x14ac:dyDescent="0.2">
      <c r="A398" s="420"/>
      <c r="B398" s="416"/>
      <c r="C398" s="417"/>
      <c r="D398" s="417"/>
      <c r="E398" s="418"/>
      <c r="F398" s="416"/>
      <c r="G398" s="417"/>
      <c r="H398" s="417"/>
      <c r="I398" s="417"/>
      <c r="J398" s="417"/>
      <c r="K398" s="419"/>
      <c r="L398" s="133"/>
      <c r="M398" s="415" t="str">
        <f t="shared" si="6"/>
        <v/>
      </c>
    </row>
    <row r="399" spans="1:13" ht="14.45" customHeight="1" x14ac:dyDescent="0.2">
      <c r="A399" s="420"/>
      <c r="B399" s="416"/>
      <c r="C399" s="417"/>
      <c r="D399" s="417"/>
      <c r="E399" s="418"/>
      <c r="F399" s="416"/>
      <c r="G399" s="417"/>
      <c r="H399" s="417"/>
      <c r="I399" s="417"/>
      <c r="J399" s="417"/>
      <c r="K399" s="419"/>
      <c r="L399" s="133"/>
      <c r="M399" s="415" t="str">
        <f t="shared" si="6"/>
        <v/>
      </c>
    </row>
    <row r="400" spans="1:13" ht="14.45" customHeight="1" x14ac:dyDescent="0.2">
      <c r="A400" s="420"/>
      <c r="B400" s="416"/>
      <c r="C400" s="417"/>
      <c r="D400" s="417"/>
      <c r="E400" s="418"/>
      <c r="F400" s="416"/>
      <c r="G400" s="417"/>
      <c r="H400" s="417"/>
      <c r="I400" s="417"/>
      <c r="J400" s="417"/>
      <c r="K400" s="419"/>
      <c r="L400" s="133"/>
      <c r="M400" s="415" t="str">
        <f t="shared" si="6"/>
        <v/>
      </c>
    </row>
    <row r="401" spans="1:13" ht="14.45" customHeight="1" x14ac:dyDescent="0.2">
      <c r="A401" s="420"/>
      <c r="B401" s="416"/>
      <c r="C401" s="417"/>
      <c r="D401" s="417"/>
      <c r="E401" s="418"/>
      <c r="F401" s="416"/>
      <c r="G401" s="417"/>
      <c r="H401" s="417"/>
      <c r="I401" s="417"/>
      <c r="J401" s="417"/>
      <c r="K401" s="419"/>
      <c r="L401" s="133"/>
      <c r="M401" s="415" t="str">
        <f t="shared" si="6"/>
        <v/>
      </c>
    </row>
    <row r="402" spans="1:13" ht="14.45" customHeight="1" x14ac:dyDescent="0.2">
      <c r="A402" s="420"/>
      <c r="B402" s="416"/>
      <c r="C402" s="417"/>
      <c r="D402" s="417"/>
      <c r="E402" s="418"/>
      <c r="F402" s="416"/>
      <c r="G402" s="417"/>
      <c r="H402" s="417"/>
      <c r="I402" s="417"/>
      <c r="J402" s="417"/>
      <c r="K402" s="419"/>
      <c r="L402" s="133"/>
      <c r="M402" s="415" t="str">
        <f t="shared" si="6"/>
        <v/>
      </c>
    </row>
    <row r="403" spans="1:13" ht="14.45" customHeight="1" x14ac:dyDescent="0.2">
      <c r="A403" s="420"/>
      <c r="B403" s="416"/>
      <c r="C403" s="417"/>
      <c r="D403" s="417"/>
      <c r="E403" s="418"/>
      <c r="F403" s="416"/>
      <c r="G403" s="417"/>
      <c r="H403" s="417"/>
      <c r="I403" s="417"/>
      <c r="J403" s="417"/>
      <c r="K403" s="419"/>
      <c r="L403" s="133"/>
      <c r="M403" s="415" t="str">
        <f t="shared" si="6"/>
        <v/>
      </c>
    </row>
    <row r="404" spans="1:13" ht="14.45" customHeight="1" x14ac:dyDescent="0.2">
      <c r="A404" s="420"/>
      <c r="B404" s="416"/>
      <c r="C404" s="417"/>
      <c r="D404" s="417"/>
      <c r="E404" s="418"/>
      <c r="F404" s="416"/>
      <c r="G404" s="417"/>
      <c r="H404" s="417"/>
      <c r="I404" s="417"/>
      <c r="J404" s="417"/>
      <c r="K404" s="419"/>
      <c r="L404" s="133"/>
      <c r="M404" s="415" t="str">
        <f t="shared" si="6"/>
        <v/>
      </c>
    </row>
    <row r="405" spans="1:13" ht="14.45" customHeight="1" x14ac:dyDescent="0.2">
      <c r="A405" s="420"/>
      <c r="B405" s="416"/>
      <c r="C405" s="417"/>
      <c r="D405" s="417"/>
      <c r="E405" s="418"/>
      <c r="F405" s="416"/>
      <c r="G405" s="417"/>
      <c r="H405" s="417"/>
      <c r="I405" s="417"/>
      <c r="J405" s="417"/>
      <c r="K405" s="419"/>
      <c r="L405" s="133"/>
      <c r="M405" s="415" t="str">
        <f t="shared" si="6"/>
        <v/>
      </c>
    </row>
    <row r="406" spans="1:13" ht="14.45" customHeight="1" x14ac:dyDescent="0.2">
      <c r="A406" s="420"/>
      <c r="B406" s="416"/>
      <c r="C406" s="417"/>
      <c r="D406" s="417"/>
      <c r="E406" s="418"/>
      <c r="F406" s="416"/>
      <c r="G406" s="417"/>
      <c r="H406" s="417"/>
      <c r="I406" s="417"/>
      <c r="J406" s="417"/>
      <c r="K406" s="419"/>
      <c r="L406" s="133"/>
      <c r="M406" s="415" t="str">
        <f t="shared" si="6"/>
        <v/>
      </c>
    </row>
    <row r="407" spans="1:13" ht="14.45" customHeight="1" x14ac:dyDescent="0.2">
      <c r="A407" s="420"/>
      <c r="B407" s="416"/>
      <c r="C407" s="417"/>
      <c r="D407" s="417"/>
      <c r="E407" s="418"/>
      <c r="F407" s="416"/>
      <c r="G407" s="417"/>
      <c r="H407" s="417"/>
      <c r="I407" s="417"/>
      <c r="J407" s="417"/>
      <c r="K407" s="419"/>
      <c r="L407" s="133"/>
      <c r="M407" s="415" t="str">
        <f t="shared" si="6"/>
        <v/>
      </c>
    </row>
    <row r="408" spans="1:13" ht="14.45" customHeight="1" x14ac:dyDescent="0.2">
      <c r="A408" s="420"/>
      <c r="B408" s="416"/>
      <c r="C408" s="417"/>
      <c r="D408" s="417"/>
      <c r="E408" s="418"/>
      <c r="F408" s="416"/>
      <c r="G408" s="417"/>
      <c r="H408" s="417"/>
      <c r="I408" s="417"/>
      <c r="J408" s="417"/>
      <c r="K408" s="419"/>
      <c r="L408" s="133"/>
      <c r="M408" s="415" t="str">
        <f t="shared" si="6"/>
        <v/>
      </c>
    </row>
    <row r="409" spans="1:13" ht="14.45" customHeight="1" x14ac:dyDescent="0.2">
      <c r="A409" s="420"/>
      <c r="B409" s="416"/>
      <c r="C409" s="417"/>
      <c r="D409" s="417"/>
      <c r="E409" s="418"/>
      <c r="F409" s="416"/>
      <c r="G409" s="417"/>
      <c r="H409" s="417"/>
      <c r="I409" s="417"/>
      <c r="J409" s="417"/>
      <c r="K409" s="419"/>
      <c r="L409" s="133"/>
      <c r="M409" s="415" t="str">
        <f t="shared" si="6"/>
        <v/>
      </c>
    </row>
    <row r="410" spans="1:13" ht="14.45" customHeight="1" x14ac:dyDescent="0.2">
      <c r="A410" s="420"/>
      <c r="B410" s="416"/>
      <c r="C410" s="417"/>
      <c r="D410" s="417"/>
      <c r="E410" s="418"/>
      <c r="F410" s="416"/>
      <c r="G410" s="417"/>
      <c r="H410" s="417"/>
      <c r="I410" s="417"/>
      <c r="J410" s="417"/>
      <c r="K410" s="419"/>
      <c r="L410" s="133"/>
      <c r="M410" s="415" t="str">
        <f t="shared" si="6"/>
        <v/>
      </c>
    </row>
    <row r="411" spans="1:13" ht="14.45" customHeight="1" x14ac:dyDescent="0.2">
      <c r="A411" s="420"/>
      <c r="B411" s="416"/>
      <c r="C411" s="417"/>
      <c r="D411" s="417"/>
      <c r="E411" s="418"/>
      <c r="F411" s="416"/>
      <c r="G411" s="417"/>
      <c r="H411" s="417"/>
      <c r="I411" s="417"/>
      <c r="J411" s="417"/>
      <c r="K411" s="419"/>
      <c r="L411" s="133"/>
      <c r="M411" s="415" t="str">
        <f t="shared" si="6"/>
        <v/>
      </c>
    </row>
    <row r="412" spans="1:13" ht="14.45" customHeight="1" x14ac:dyDescent="0.2">
      <c r="A412" s="420"/>
      <c r="B412" s="416"/>
      <c r="C412" s="417"/>
      <c r="D412" s="417"/>
      <c r="E412" s="418"/>
      <c r="F412" s="416"/>
      <c r="G412" s="417"/>
      <c r="H412" s="417"/>
      <c r="I412" s="417"/>
      <c r="J412" s="417"/>
      <c r="K412" s="419"/>
      <c r="L412" s="133"/>
      <c r="M412" s="415" t="str">
        <f t="shared" si="6"/>
        <v/>
      </c>
    </row>
    <row r="413" spans="1:13" ht="14.45" customHeight="1" x14ac:dyDescent="0.2">
      <c r="A413" s="420"/>
      <c r="B413" s="416"/>
      <c r="C413" s="417"/>
      <c r="D413" s="417"/>
      <c r="E413" s="418"/>
      <c r="F413" s="416"/>
      <c r="G413" s="417"/>
      <c r="H413" s="417"/>
      <c r="I413" s="417"/>
      <c r="J413" s="417"/>
      <c r="K413" s="419"/>
      <c r="L413" s="133"/>
      <c r="M413" s="415" t="str">
        <f t="shared" si="6"/>
        <v/>
      </c>
    </row>
    <row r="414" spans="1:13" ht="14.45" customHeight="1" x14ac:dyDescent="0.2">
      <c r="A414" s="420"/>
      <c r="B414" s="416"/>
      <c r="C414" s="417"/>
      <c r="D414" s="417"/>
      <c r="E414" s="418"/>
      <c r="F414" s="416"/>
      <c r="G414" s="417"/>
      <c r="H414" s="417"/>
      <c r="I414" s="417"/>
      <c r="J414" s="417"/>
      <c r="K414" s="419"/>
      <c r="L414" s="133"/>
      <c r="M414" s="415" t="str">
        <f t="shared" si="6"/>
        <v/>
      </c>
    </row>
    <row r="415" spans="1:13" ht="14.45" customHeight="1" x14ac:dyDescent="0.2">
      <c r="A415" s="420"/>
      <c r="B415" s="416"/>
      <c r="C415" s="417"/>
      <c r="D415" s="417"/>
      <c r="E415" s="418"/>
      <c r="F415" s="416"/>
      <c r="G415" s="417"/>
      <c r="H415" s="417"/>
      <c r="I415" s="417"/>
      <c r="J415" s="417"/>
      <c r="K415" s="419"/>
      <c r="L415" s="133"/>
      <c r="M415" s="415" t="str">
        <f t="shared" si="6"/>
        <v/>
      </c>
    </row>
    <row r="416" spans="1:13" ht="14.45" customHeight="1" x14ac:dyDescent="0.2">
      <c r="A416" s="420"/>
      <c r="B416" s="416"/>
      <c r="C416" s="417"/>
      <c r="D416" s="417"/>
      <c r="E416" s="418"/>
      <c r="F416" s="416"/>
      <c r="G416" s="417"/>
      <c r="H416" s="417"/>
      <c r="I416" s="417"/>
      <c r="J416" s="417"/>
      <c r="K416" s="419"/>
      <c r="L416" s="133"/>
      <c r="M416" s="415" t="str">
        <f t="shared" si="6"/>
        <v/>
      </c>
    </row>
    <row r="417" spans="1:13" ht="14.45" customHeight="1" x14ac:dyDescent="0.2">
      <c r="A417" s="420"/>
      <c r="B417" s="416"/>
      <c r="C417" s="417"/>
      <c r="D417" s="417"/>
      <c r="E417" s="418"/>
      <c r="F417" s="416"/>
      <c r="G417" s="417"/>
      <c r="H417" s="417"/>
      <c r="I417" s="417"/>
      <c r="J417" s="417"/>
      <c r="K417" s="419"/>
      <c r="L417" s="133"/>
      <c r="M417" s="415" t="str">
        <f t="shared" si="6"/>
        <v/>
      </c>
    </row>
    <row r="418" spans="1:13" ht="14.45" customHeight="1" x14ac:dyDescent="0.2">
      <c r="A418" s="420"/>
      <c r="B418" s="416"/>
      <c r="C418" s="417"/>
      <c r="D418" s="417"/>
      <c r="E418" s="418"/>
      <c r="F418" s="416"/>
      <c r="G418" s="417"/>
      <c r="H418" s="417"/>
      <c r="I418" s="417"/>
      <c r="J418" s="417"/>
      <c r="K418" s="419"/>
      <c r="L418" s="133"/>
      <c r="M418" s="415" t="str">
        <f t="shared" si="6"/>
        <v/>
      </c>
    </row>
    <row r="419" spans="1:13" ht="14.45" customHeight="1" x14ac:dyDescent="0.2">
      <c r="A419" s="420"/>
      <c r="B419" s="416"/>
      <c r="C419" s="417"/>
      <c r="D419" s="417"/>
      <c r="E419" s="418"/>
      <c r="F419" s="416"/>
      <c r="G419" s="417"/>
      <c r="H419" s="417"/>
      <c r="I419" s="417"/>
      <c r="J419" s="417"/>
      <c r="K419" s="419"/>
      <c r="L419" s="133"/>
      <c r="M419" s="415" t="str">
        <f t="shared" si="6"/>
        <v/>
      </c>
    </row>
    <row r="420" spans="1:13" ht="14.45" customHeight="1" x14ac:dyDescent="0.2">
      <c r="A420" s="420"/>
      <c r="B420" s="416"/>
      <c r="C420" s="417"/>
      <c r="D420" s="417"/>
      <c r="E420" s="418"/>
      <c r="F420" s="416"/>
      <c r="G420" s="417"/>
      <c r="H420" s="417"/>
      <c r="I420" s="417"/>
      <c r="J420" s="417"/>
      <c r="K420" s="419"/>
      <c r="L420" s="133"/>
      <c r="M420" s="415" t="str">
        <f t="shared" si="6"/>
        <v/>
      </c>
    </row>
    <row r="421" spans="1:13" ht="14.45" customHeight="1" x14ac:dyDescent="0.2">
      <c r="A421" s="420"/>
      <c r="B421" s="416"/>
      <c r="C421" s="417"/>
      <c r="D421" s="417"/>
      <c r="E421" s="418"/>
      <c r="F421" s="416"/>
      <c r="G421" s="417"/>
      <c r="H421" s="417"/>
      <c r="I421" s="417"/>
      <c r="J421" s="417"/>
      <c r="K421" s="419"/>
      <c r="L421" s="133"/>
      <c r="M421" s="415" t="str">
        <f t="shared" si="6"/>
        <v/>
      </c>
    </row>
    <row r="422" spans="1:13" ht="14.45" customHeight="1" x14ac:dyDescent="0.2">
      <c r="A422" s="420"/>
      <c r="B422" s="416"/>
      <c r="C422" s="417"/>
      <c r="D422" s="417"/>
      <c r="E422" s="418"/>
      <c r="F422" s="416"/>
      <c r="G422" s="417"/>
      <c r="H422" s="417"/>
      <c r="I422" s="417"/>
      <c r="J422" s="417"/>
      <c r="K422" s="419"/>
      <c r="L422" s="133"/>
      <c r="M422" s="415" t="str">
        <f t="shared" si="6"/>
        <v/>
      </c>
    </row>
    <row r="423" spans="1:13" ht="14.45" customHeight="1" x14ac:dyDescent="0.2">
      <c r="A423" s="420"/>
      <c r="B423" s="416"/>
      <c r="C423" s="417"/>
      <c r="D423" s="417"/>
      <c r="E423" s="418"/>
      <c r="F423" s="416"/>
      <c r="G423" s="417"/>
      <c r="H423" s="417"/>
      <c r="I423" s="417"/>
      <c r="J423" s="417"/>
      <c r="K423" s="419"/>
      <c r="L423" s="133"/>
      <c r="M423" s="415" t="str">
        <f t="shared" si="6"/>
        <v/>
      </c>
    </row>
    <row r="424" spans="1:13" ht="14.45" customHeight="1" x14ac:dyDescent="0.2">
      <c r="A424" s="420"/>
      <c r="B424" s="416"/>
      <c r="C424" s="417"/>
      <c r="D424" s="417"/>
      <c r="E424" s="418"/>
      <c r="F424" s="416"/>
      <c r="G424" s="417"/>
      <c r="H424" s="417"/>
      <c r="I424" s="417"/>
      <c r="J424" s="417"/>
      <c r="K424" s="419"/>
      <c r="L424" s="133"/>
      <c r="M424" s="415" t="str">
        <f t="shared" si="6"/>
        <v/>
      </c>
    </row>
    <row r="425" spans="1:13" ht="14.45" customHeight="1" x14ac:dyDescent="0.2">
      <c r="A425" s="420"/>
      <c r="B425" s="416"/>
      <c r="C425" s="417"/>
      <c r="D425" s="417"/>
      <c r="E425" s="418"/>
      <c r="F425" s="416"/>
      <c r="G425" s="417"/>
      <c r="H425" s="417"/>
      <c r="I425" s="417"/>
      <c r="J425" s="417"/>
      <c r="K425" s="419"/>
      <c r="L425" s="133"/>
      <c r="M425" s="415" t="str">
        <f t="shared" si="6"/>
        <v/>
      </c>
    </row>
    <row r="426" spans="1:13" ht="14.45" customHeight="1" x14ac:dyDescent="0.2">
      <c r="A426" s="420"/>
      <c r="B426" s="416"/>
      <c r="C426" s="417"/>
      <c r="D426" s="417"/>
      <c r="E426" s="418"/>
      <c r="F426" s="416"/>
      <c r="G426" s="417"/>
      <c r="H426" s="417"/>
      <c r="I426" s="417"/>
      <c r="J426" s="417"/>
      <c r="K426" s="419"/>
      <c r="L426" s="133"/>
      <c r="M426" s="415" t="str">
        <f t="shared" si="6"/>
        <v/>
      </c>
    </row>
    <row r="427" spans="1:13" ht="14.45" customHeight="1" x14ac:dyDescent="0.2">
      <c r="A427" s="420"/>
      <c r="B427" s="416"/>
      <c r="C427" s="417"/>
      <c r="D427" s="417"/>
      <c r="E427" s="418"/>
      <c r="F427" s="416"/>
      <c r="G427" s="417"/>
      <c r="H427" s="417"/>
      <c r="I427" s="417"/>
      <c r="J427" s="417"/>
      <c r="K427" s="419"/>
      <c r="L427" s="133"/>
      <c r="M427" s="415" t="str">
        <f t="shared" si="6"/>
        <v/>
      </c>
    </row>
    <row r="428" spans="1:13" ht="14.45" customHeight="1" x14ac:dyDescent="0.2">
      <c r="A428" s="420"/>
      <c r="B428" s="416"/>
      <c r="C428" s="417"/>
      <c r="D428" s="417"/>
      <c r="E428" s="418"/>
      <c r="F428" s="416"/>
      <c r="G428" s="417"/>
      <c r="H428" s="417"/>
      <c r="I428" s="417"/>
      <c r="J428" s="417"/>
      <c r="K428" s="419"/>
      <c r="L428" s="133"/>
      <c r="M428" s="415" t="str">
        <f t="shared" si="6"/>
        <v/>
      </c>
    </row>
    <row r="429" spans="1:13" ht="14.45" customHeight="1" x14ac:dyDescent="0.2">
      <c r="A429" s="420"/>
      <c r="B429" s="416"/>
      <c r="C429" s="417"/>
      <c r="D429" s="417"/>
      <c r="E429" s="418"/>
      <c r="F429" s="416"/>
      <c r="G429" s="417"/>
      <c r="H429" s="417"/>
      <c r="I429" s="417"/>
      <c r="J429" s="417"/>
      <c r="K429" s="419"/>
      <c r="L429" s="133"/>
      <c r="M429" s="415" t="str">
        <f t="shared" si="6"/>
        <v/>
      </c>
    </row>
    <row r="430" spans="1:13" ht="14.45" customHeight="1" x14ac:dyDescent="0.2">
      <c r="A430" s="420"/>
      <c r="B430" s="416"/>
      <c r="C430" s="417"/>
      <c r="D430" s="417"/>
      <c r="E430" s="418"/>
      <c r="F430" s="416"/>
      <c r="G430" s="417"/>
      <c r="H430" s="417"/>
      <c r="I430" s="417"/>
      <c r="J430" s="417"/>
      <c r="K430" s="419"/>
      <c r="L430" s="133"/>
      <c r="M430" s="415" t="str">
        <f t="shared" si="6"/>
        <v/>
      </c>
    </row>
    <row r="431" spans="1:13" ht="14.45" customHeight="1" x14ac:dyDescent="0.2">
      <c r="A431" s="420"/>
      <c r="B431" s="416"/>
      <c r="C431" s="417"/>
      <c r="D431" s="417"/>
      <c r="E431" s="418"/>
      <c r="F431" s="416"/>
      <c r="G431" s="417"/>
      <c r="H431" s="417"/>
      <c r="I431" s="417"/>
      <c r="J431" s="417"/>
      <c r="K431" s="419"/>
      <c r="L431" s="133"/>
      <c r="M431" s="415" t="str">
        <f t="shared" si="6"/>
        <v/>
      </c>
    </row>
    <row r="432" spans="1:13" ht="14.45" customHeight="1" x14ac:dyDescent="0.2">
      <c r="A432" s="420"/>
      <c r="B432" s="416"/>
      <c r="C432" s="417"/>
      <c r="D432" s="417"/>
      <c r="E432" s="418"/>
      <c r="F432" s="416"/>
      <c r="G432" s="417"/>
      <c r="H432" s="417"/>
      <c r="I432" s="417"/>
      <c r="J432" s="417"/>
      <c r="K432" s="419"/>
      <c r="L432" s="133"/>
      <c r="M432" s="415" t="str">
        <f t="shared" si="6"/>
        <v/>
      </c>
    </row>
    <row r="433" spans="1:13" ht="14.45" customHeight="1" x14ac:dyDescent="0.2">
      <c r="A433" s="420"/>
      <c r="B433" s="416"/>
      <c r="C433" s="417"/>
      <c r="D433" s="417"/>
      <c r="E433" s="418"/>
      <c r="F433" s="416"/>
      <c r="G433" s="417"/>
      <c r="H433" s="417"/>
      <c r="I433" s="417"/>
      <c r="J433" s="417"/>
      <c r="K433" s="419"/>
      <c r="L433" s="133"/>
      <c r="M433" s="415" t="str">
        <f t="shared" si="6"/>
        <v/>
      </c>
    </row>
    <row r="434" spans="1:13" ht="14.45" customHeight="1" x14ac:dyDescent="0.2">
      <c r="A434" s="420"/>
      <c r="B434" s="416"/>
      <c r="C434" s="417"/>
      <c r="D434" s="417"/>
      <c r="E434" s="418"/>
      <c r="F434" s="416"/>
      <c r="G434" s="417"/>
      <c r="H434" s="417"/>
      <c r="I434" s="417"/>
      <c r="J434" s="417"/>
      <c r="K434" s="419"/>
      <c r="L434" s="133"/>
      <c r="M434" s="415" t="str">
        <f t="shared" si="6"/>
        <v/>
      </c>
    </row>
    <row r="435" spans="1:13" ht="14.45" customHeight="1" x14ac:dyDescent="0.2">
      <c r="A435" s="420"/>
      <c r="B435" s="416"/>
      <c r="C435" s="417"/>
      <c r="D435" s="417"/>
      <c r="E435" s="418"/>
      <c r="F435" s="416"/>
      <c r="G435" s="417"/>
      <c r="H435" s="417"/>
      <c r="I435" s="417"/>
      <c r="J435" s="417"/>
      <c r="K435" s="419"/>
      <c r="L435" s="133"/>
      <c r="M435" s="415" t="str">
        <f t="shared" si="6"/>
        <v/>
      </c>
    </row>
    <row r="436" spans="1:13" ht="14.45" customHeight="1" x14ac:dyDescent="0.2">
      <c r="A436" s="420"/>
      <c r="B436" s="416"/>
      <c r="C436" s="417"/>
      <c r="D436" s="417"/>
      <c r="E436" s="418"/>
      <c r="F436" s="416"/>
      <c r="G436" s="417"/>
      <c r="H436" s="417"/>
      <c r="I436" s="417"/>
      <c r="J436" s="417"/>
      <c r="K436" s="419"/>
      <c r="L436" s="133"/>
      <c r="M436" s="415" t="str">
        <f t="shared" si="6"/>
        <v/>
      </c>
    </row>
    <row r="437" spans="1:13" ht="14.45" customHeight="1" x14ac:dyDescent="0.2">
      <c r="A437" s="420"/>
      <c r="B437" s="416"/>
      <c r="C437" s="417"/>
      <c r="D437" s="417"/>
      <c r="E437" s="418"/>
      <c r="F437" s="416"/>
      <c r="G437" s="417"/>
      <c r="H437" s="417"/>
      <c r="I437" s="417"/>
      <c r="J437" s="417"/>
      <c r="K437" s="419"/>
      <c r="L437" s="133"/>
      <c r="M437" s="415" t="str">
        <f t="shared" si="6"/>
        <v/>
      </c>
    </row>
    <row r="438" spans="1:13" ht="14.45" customHeight="1" x14ac:dyDescent="0.2">
      <c r="A438" s="420"/>
      <c r="B438" s="416"/>
      <c r="C438" s="417"/>
      <c r="D438" s="417"/>
      <c r="E438" s="418"/>
      <c r="F438" s="416"/>
      <c r="G438" s="417"/>
      <c r="H438" s="417"/>
      <c r="I438" s="417"/>
      <c r="J438" s="417"/>
      <c r="K438" s="419"/>
      <c r="L438" s="133"/>
      <c r="M438" s="415" t="str">
        <f t="shared" si="6"/>
        <v/>
      </c>
    </row>
    <row r="439" spans="1:13" ht="14.45" customHeight="1" x14ac:dyDescent="0.2">
      <c r="A439" s="420"/>
      <c r="B439" s="416"/>
      <c r="C439" s="417"/>
      <c r="D439" s="417"/>
      <c r="E439" s="418"/>
      <c r="F439" s="416"/>
      <c r="G439" s="417"/>
      <c r="H439" s="417"/>
      <c r="I439" s="417"/>
      <c r="J439" s="417"/>
      <c r="K439" s="419"/>
      <c r="L439" s="133"/>
      <c r="M439" s="415" t="str">
        <f t="shared" si="6"/>
        <v/>
      </c>
    </row>
    <row r="440" spans="1:13" ht="14.45" customHeight="1" x14ac:dyDescent="0.2">
      <c r="A440" s="420"/>
      <c r="B440" s="416"/>
      <c r="C440" s="417"/>
      <c r="D440" s="417"/>
      <c r="E440" s="418"/>
      <c r="F440" s="416"/>
      <c r="G440" s="417"/>
      <c r="H440" s="417"/>
      <c r="I440" s="417"/>
      <c r="J440" s="417"/>
      <c r="K440" s="419"/>
      <c r="L440" s="133"/>
      <c r="M440" s="415" t="str">
        <f t="shared" si="6"/>
        <v/>
      </c>
    </row>
    <row r="441" spans="1:13" ht="14.45" customHeight="1" x14ac:dyDescent="0.2">
      <c r="A441" s="420"/>
      <c r="B441" s="416"/>
      <c r="C441" s="417"/>
      <c r="D441" s="417"/>
      <c r="E441" s="418"/>
      <c r="F441" s="416"/>
      <c r="G441" s="417"/>
      <c r="H441" s="417"/>
      <c r="I441" s="417"/>
      <c r="J441" s="417"/>
      <c r="K441" s="419"/>
      <c r="L441" s="133"/>
      <c r="M441" s="415" t="str">
        <f t="shared" si="6"/>
        <v/>
      </c>
    </row>
    <row r="442" spans="1:13" ht="14.45" customHeight="1" x14ac:dyDescent="0.2">
      <c r="A442" s="420"/>
      <c r="B442" s="416"/>
      <c r="C442" s="417"/>
      <c r="D442" s="417"/>
      <c r="E442" s="418"/>
      <c r="F442" s="416"/>
      <c r="G442" s="417"/>
      <c r="H442" s="417"/>
      <c r="I442" s="417"/>
      <c r="J442" s="417"/>
      <c r="K442" s="419"/>
      <c r="L442" s="133"/>
      <c r="M442" s="415" t="str">
        <f t="shared" si="6"/>
        <v/>
      </c>
    </row>
    <row r="443" spans="1:13" ht="14.45" customHeight="1" x14ac:dyDescent="0.2">
      <c r="A443" s="420"/>
      <c r="B443" s="416"/>
      <c r="C443" s="417"/>
      <c r="D443" s="417"/>
      <c r="E443" s="418"/>
      <c r="F443" s="416"/>
      <c r="G443" s="417"/>
      <c r="H443" s="417"/>
      <c r="I443" s="417"/>
      <c r="J443" s="417"/>
      <c r="K443" s="419"/>
      <c r="L443" s="133"/>
      <c r="M443" s="415" t="str">
        <f t="shared" si="6"/>
        <v/>
      </c>
    </row>
    <row r="444" spans="1:13" ht="14.45" customHeight="1" x14ac:dyDescent="0.2">
      <c r="A444" s="420"/>
      <c r="B444" s="416"/>
      <c r="C444" s="417"/>
      <c r="D444" s="417"/>
      <c r="E444" s="418"/>
      <c r="F444" s="416"/>
      <c r="G444" s="417"/>
      <c r="H444" s="417"/>
      <c r="I444" s="417"/>
      <c r="J444" s="417"/>
      <c r="K444" s="419"/>
      <c r="L444" s="133"/>
      <c r="M444" s="415" t="str">
        <f t="shared" si="6"/>
        <v/>
      </c>
    </row>
    <row r="445" spans="1:13" ht="14.45" customHeight="1" x14ac:dyDescent="0.2">
      <c r="A445" s="420"/>
      <c r="B445" s="416"/>
      <c r="C445" s="417"/>
      <c r="D445" s="417"/>
      <c r="E445" s="418"/>
      <c r="F445" s="416"/>
      <c r="G445" s="417"/>
      <c r="H445" s="417"/>
      <c r="I445" s="417"/>
      <c r="J445" s="417"/>
      <c r="K445" s="419"/>
      <c r="L445" s="133"/>
      <c r="M445" s="415" t="str">
        <f t="shared" si="6"/>
        <v/>
      </c>
    </row>
    <row r="446" spans="1:13" ht="14.45" customHeight="1" x14ac:dyDescent="0.2">
      <c r="A446" s="420"/>
      <c r="B446" s="416"/>
      <c r="C446" s="417"/>
      <c r="D446" s="417"/>
      <c r="E446" s="418"/>
      <c r="F446" s="416"/>
      <c r="G446" s="417"/>
      <c r="H446" s="417"/>
      <c r="I446" s="417"/>
      <c r="J446" s="417"/>
      <c r="K446" s="419"/>
      <c r="L446" s="133"/>
      <c r="M446" s="415" t="str">
        <f t="shared" si="6"/>
        <v/>
      </c>
    </row>
    <row r="447" spans="1:13" ht="14.45" customHeight="1" x14ac:dyDescent="0.2">
      <c r="A447" s="420"/>
      <c r="B447" s="416"/>
      <c r="C447" s="417"/>
      <c r="D447" s="417"/>
      <c r="E447" s="418"/>
      <c r="F447" s="416"/>
      <c r="G447" s="417"/>
      <c r="H447" s="417"/>
      <c r="I447" s="417"/>
      <c r="J447" s="417"/>
      <c r="K447" s="419"/>
      <c r="L447" s="133"/>
      <c r="M447" s="415" t="str">
        <f t="shared" si="6"/>
        <v/>
      </c>
    </row>
    <row r="448" spans="1:13" ht="14.45" customHeight="1" x14ac:dyDescent="0.2">
      <c r="A448" s="420"/>
      <c r="B448" s="416"/>
      <c r="C448" s="417"/>
      <c r="D448" s="417"/>
      <c r="E448" s="418"/>
      <c r="F448" s="416"/>
      <c r="G448" s="417"/>
      <c r="H448" s="417"/>
      <c r="I448" s="417"/>
      <c r="J448" s="417"/>
      <c r="K448" s="419"/>
      <c r="L448" s="133"/>
      <c r="M448" s="415" t="str">
        <f t="shared" si="6"/>
        <v/>
      </c>
    </row>
    <row r="449" spans="1:13" ht="14.45" customHeight="1" x14ac:dyDescent="0.2">
      <c r="A449" s="420"/>
      <c r="B449" s="416"/>
      <c r="C449" s="417"/>
      <c r="D449" s="417"/>
      <c r="E449" s="418"/>
      <c r="F449" s="416"/>
      <c r="G449" s="417"/>
      <c r="H449" s="417"/>
      <c r="I449" s="417"/>
      <c r="J449" s="417"/>
      <c r="K449" s="419"/>
      <c r="L449" s="133"/>
      <c r="M449" s="415" t="str">
        <f t="shared" si="6"/>
        <v/>
      </c>
    </row>
    <row r="450" spans="1:13" ht="14.45" customHeight="1" x14ac:dyDescent="0.2">
      <c r="A450" s="420"/>
      <c r="B450" s="416"/>
      <c r="C450" s="417"/>
      <c r="D450" s="417"/>
      <c r="E450" s="418"/>
      <c r="F450" s="416"/>
      <c r="G450" s="417"/>
      <c r="H450" s="417"/>
      <c r="I450" s="417"/>
      <c r="J450" s="417"/>
      <c r="K450" s="419"/>
      <c r="L450" s="133"/>
      <c r="M450" s="415" t="str">
        <f t="shared" si="6"/>
        <v/>
      </c>
    </row>
    <row r="451" spans="1:13" ht="14.45" customHeight="1" x14ac:dyDescent="0.2">
      <c r="A451" s="420"/>
      <c r="B451" s="416"/>
      <c r="C451" s="417"/>
      <c r="D451" s="417"/>
      <c r="E451" s="418"/>
      <c r="F451" s="416"/>
      <c r="G451" s="417"/>
      <c r="H451" s="417"/>
      <c r="I451" s="417"/>
      <c r="J451" s="417"/>
      <c r="K451" s="419"/>
      <c r="L451" s="133"/>
      <c r="M451" s="415" t="str">
        <f t="shared" si="6"/>
        <v/>
      </c>
    </row>
    <row r="452" spans="1:13" ht="14.45" customHeight="1" x14ac:dyDescent="0.2">
      <c r="A452" s="420"/>
      <c r="B452" s="416"/>
      <c r="C452" s="417"/>
      <c r="D452" s="417"/>
      <c r="E452" s="418"/>
      <c r="F452" s="416"/>
      <c r="G452" s="417"/>
      <c r="H452" s="417"/>
      <c r="I452" s="417"/>
      <c r="J452" s="417"/>
      <c r="K452" s="419"/>
      <c r="L452" s="133"/>
      <c r="M452" s="415" t="str">
        <f t="shared" si="6"/>
        <v/>
      </c>
    </row>
    <row r="453" spans="1:13" ht="14.45" customHeight="1" x14ac:dyDescent="0.2">
      <c r="A453" s="420"/>
      <c r="B453" s="416"/>
      <c r="C453" s="417"/>
      <c r="D453" s="417"/>
      <c r="E453" s="418"/>
      <c r="F453" s="416"/>
      <c r="G453" s="417"/>
      <c r="H453" s="417"/>
      <c r="I453" s="417"/>
      <c r="J453" s="417"/>
      <c r="K453" s="419"/>
      <c r="L453" s="133"/>
      <c r="M453" s="415" t="str">
        <f t="shared" si="6"/>
        <v/>
      </c>
    </row>
    <row r="454" spans="1:13" ht="14.45" customHeight="1" x14ac:dyDescent="0.2">
      <c r="A454" s="420"/>
      <c r="B454" s="416"/>
      <c r="C454" s="417"/>
      <c r="D454" s="417"/>
      <c r="E454" s="418"/>
      <c r="F454" s="416"/>
      <c r="G454" s="417"/>
      <c r="H454" s="417"/>
      <c r="I454" s="417"/>
      <c r="J454" s="417"/>
      <c r="K454" s="419"/>
      <c r="L454" s="133"/>
      <c r="M454" s="415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420"/>
      <c r="B455" s="416"/>
      <c r="C455" s="417"/>
      <c r="D455" s="417"/>
      <c r="E455" s="418"/>
      <c r="F455" s="416"/>
      <c r="G455" s="417"/>
      <c r="H455" s="417"/>
      <c r="I455" s="417"/>
      <c r="J455" s="417"/>
      <c r="K455" s="419"/>
      <c r="L455" s="133"/>
      <c r="M455" s="415" t="str">
        <f t="shared" si="7"/>
        <v/>
      </c>
    </row>
    <row r="456" spans="1:13" ht="14.45" customHeight="1" x14ac:dyDescent="0.2">
      <c r="A456" s="420"/>
      <c r="B456" s="416"/>
      <c r="C456" s="417"/>
      <c r="D456" s="417"/>
      <c r="E456" s="418"/>
      <c r="F456" s="416"/>
      <c r="G456" s="417"/>
      <c r="H456" s="417"/>
      <c r="I456" s="417"/>
      <c r="J456" s="417"/>
      <c r="K456" s="419"/>
      <c r="L456" s="133"/>
      <c r="M456" s="415" t="str">
        <f t="shared" si="7"/>
        <v/>
      </c>
    </row>
    <row r="457" spans="1:13" ht="14.45" customHeight="1" x14ac:dyDescent="0.2">
      <c r="A457" s="420"/>
      <c r="B457" s="416"/>
      <c r="C457" s="417"/>
      <c r="D457" s="417"/>
      <c r="E457" s="418"/>
      <c r="F457" s="416"/>
      <c r="G457" s="417"/>
      <c r="H457" s="417"/>
      <c r="I457" s="417"/>
      <c r="J457" s="417"/>
      <c r="K457" s="419"/>
      <c r="L457" s="133"/>
      <c r="M457" s="415" t="str">
        <f t="shared" si="7"/>
        <v/>
      </c>
    </row>
    <row r="458" spans="1:13" ht="14.45" customHeight="1" x14ac:dyDescent="0.2">
      <c r="A458" s="420"/>
      <c r="B458" s="416"/>
      <c r="C458" s="417"/>
      <c r="D458" s="417"/>
      <c r="E458" s="418"/>
      <c r="F458" s="416"/>
      <c r="G458" s="417"/>
      <c r="H458" s="417"/>
      <c r="I458" s="417"/>
      <c r="J458" s="417"/>
      <c r="K458" s="419"/>
      <c r="L458" s="133"/>
      <c r="M458" s="415" t="str">
        <f t="shared" si="7"/>
        <v/>
      </c>
    </row>
    <row r="459" spans="1:13" ht="14.45" customHeight="1" x14ac:dyDescent="0.2">
      <c r="A459" s="420"/>
      <c r="B459" s="416"/>
      <c r="C459" s="417"/>
      <c r="D459" s="417"/>
      <c r="E459" s="418"/>
      <c r="F459" s="416"/>
      <c r="G459" s="417"/>
      <c r="H459" s="417"/>
      <c r="I459" s="417"/>
      <c r="J459" s="417"/>
      <c r="K459" s="419"/>
      <c r="L459" s="133"/>
      <c r="M459" s="415" t="str">
        <f t="shared" si="7"/>
        <v/>
      </c>
    </row>
    <row r="460" spans="1:13" ht="14.45" customHeight="1" x14ac:dyDescent="0.2">
      <c r="A460" s="420"/>
      <c r="B460" s="416"/>
      <c r="C460" s="417"/>
      <c r="D460" s="417"/>
      <c r="E460" s="418"/>
      <c r="F460" s="416"/>
      <c r="G460" s="417"/>
      <c r="H460" s="417"/>
      <c r="I460" s="417"/>
      <c r="J460" s="417"/>
      <c r="K460" s="419"/>
      <c r="L460" s="133"/>
      <c r="M460" s="415" t="str">
        <f t="shared" si="7"/>
        <v/>
      </c>
    </row>
    <row r="461" spans="1:13" ht="14.45" customHeight="1" x14ac:dyDescent="0.2">
      <c r="A461" s="420"/>
      <c r="B461" s="416"/>
      <c r="C461" s="417"/>
      <c r="D461" s="417"/>
      <c r="E461" s="418"/>
      <c r="F461" s="416"/>
      <c r="G461" s="417"/>
      <c r="H461" s="417"/>
      <c r="I461" s="417"/>
      <c r="J461" s="417"/>
      <c r="K461" s="419"/>
      <c r="L461" s="133"/>
      <c r="M461" s="415" t="str">
        <f t="shared" si="7"/>
        <v/>
      </c>
    </row>
    <row r="462" spans="1:13" ht="14.45" customHeight="1" x14ac:dyDescent="0.2">
      <c r="A462" s="420"/>
      <c r="B462" s="416"/>
      <c r="C462" s="417"/>
      <c r="D462" s="417"/>
      <c r="E462" s="418"/>
      <c r="F462" s="416"/>
      <c r="G462" s="417"/>
      <c r="H462" s="417"/>
      <c r="I462" s="417"/>
      <c r="J462" s="417"/>
      <c r="K462" s="419"/>
      <c r="L462" s="133"/>
      <c r="M462" s="415" t="str">
        <f t="shared" si="7"/>
        <v/>
      </c>
    </row>
    <row r="463" spans="1:13" ht="14.45" customHeight="1" x14ac:dyDescent="0.2">
      <c r="A463" s="420"/>
      <c r="B463" s="416"/>
      <c r="C463" s="417"/>
      <c r="D463" s="417"/>
      <c r="E463" s="418"/>
      <c r="F463" s="416"/>
      <c r="G463" s="417"/>
      <c r="H463" s="417"/>
      <c r="I463" s="417"/>
      <c r="J463" s="417"/>
      <c r="K463" s="419"/>
      <c r="L463" s="133"/>
      <c r="M463" s="415" t="str">
        <f t="shared" si="7"/>
        <v/>
      </c>
    </row>
    <row r="464" spans="1:13" ht="14.45" customHeight="1" x14ac:dyDescent="0.2">
      <c r="A464" s="420"/>
      <c r="B464" s="416"/>
      <c r="C464" s="417"/>
      <c r="D464" s="417"/>
      <c r="E464" s="418"/>
      <c r="F464" s="416"/>
      <c r="G464" s="417"/>
      <c r="H464" s="417"/>
      <c r="I464" s="417"/>
      <c r="J464" s="417"/>
      <c r="K464" s="419"/>
      <c r="L464" s="133"/>
      <c r="M464" s="415" t="str">
        <f t="shared" si="7"/>
        <v/>
      </c>
    </row>
    <row r="465" spans="1:13" ht="14.45" customHeight="1" x14ac:dyDescent="0.2">
      <c r="A465" s="420"/>
      <c r="B465" s="416"/>
      <c r="C465" s="417"/>
      <c r="D465" s="417"/>
      <c r="E465" s="418"/>
      <c r="F465" s="416"/>
      <c r="G465" s="417"/>
      <c r="H465" s="417"/>
      <c r="I465" s="417"/>
      <c r="J465" s="417"/>
      <c r="K465" s="419"/>
      <c r="L465" s="133"/>
      <c r="M465" s="415" t="str">
        <f t="shared" si="7"/>
        <v/>
      </c>
    </row>
    <row r="466" spans="1:13" ht="14.45" customHeight="1" x14ac:dyDescent="0.2">
      <c r="A466" s="420"/>
      <c r="B466" s="416"/>
      <c r="C466" s="417"/>
      <c r="D466" s="417"/>
      <c r="E466" s="418"/>
      <c r="F466" s="416"/>
      <c r="G466" s="417"/>
      <c r="H466" s="417"/>
      <c r="I466" s="417"/>
      <c r="J466" s="417"/>
      <c r="K466" s="419"/>
      <c r="L466" s="133"/>
      <c r="M466" s="415" t="str">
        <f t="shared" si="7"/>
        <v/>
      </c>
    </row>
    <row r="467" spans="1:13" ht="14.45" customHeight="1" x14ac:dyDescent="0.2">
      <c r="A467" s="420"/>
      <c r="B467" s="416"/>
      <c r="C467" s="417"/>
      <c r="D467" s="417"/>
      <c r="E467" s="418"/>
      <c r="F467" s="416"/>
      <c r="G467" s="417"/>
      <c r="H467" s="417"/>
      <c r="I467" s="417"/>
      <c r="J467" s="417"/>
      <c r="K467" s="419"/>
      <c r="L467" s="133"/>
      <c r="M467" s="415" t="str">
        <f t="shared" si="7"/>
        <v/>
      </c>
    </row>
    <row r="468" spans="1:13" ht="14.45" customHeight="1" x14ac:dyDescent="0.2">
      <c r="A468" s="420"/>
      <c r="B468" s="416"/>
      <c r="C468" s="417"/>
      <c r="D468" s="417"/>
      <c r="E468" s="418"/>
      <c r="F468" s="416"/>
      <c r="G468" s="417"/>
      <c r="H468" s="417"/>
      <c r="I468" s="417"/>
      <c r="J468" s="417"/>
      <c r="K468" s="419"/>
      <c r="L468" s="133"/>
      <c r="M468" s="415" t="str">
        <f t="shared" si="7"/>
        <v/>
      </c>
    </row>
    <row r="469" spans="1:13" ht="14.45" customHeight="1" x14ac:dyDescent="0.2">
      <c r="A469" s="420"/>
      <c r="B469" s="416"/>
      <c r="C469" s="417"/>
      <c r="D469" s="417"/>
      <c r="E469" s="418"/>
      <c r="F469" s="416"/>
      <c r="G469" s="417"/>
      <c r="H469" s="417"/>
      <c r="I469" s="417"/>
      <c r="J469" s="417"/>
      <c r="K469" s="419"/>
      <c r="L469" s="133"/>
      <c r="M469" s="415" t="str">
        <f t="shared" si="7"/>
        <v/>
      </c>
    </row>
    <row r="470" spans="1:13" ht="14.45" customHeight="1" x14ac:dyDescent="0.2">
      <c r="A470" s="420"/>
      <c r="B470" s="416"/>
      <c r="C470" s="417"/>
      <c r="D470" s="417"/>
      <c r="E470" s="418"/>
      <c r="F470" s="416"/>
      <c r="G470" s="417"/>
      <c r="H470" s="417"/>
      <c r="I470" s="417"/>
      <c r="J470" s="417"/>
      <c r="K470" s="419"/>
      <c r="L470" s="133"/>
      <c r="M470" s="415" t="str">
        <f t="shared" si="7"/>
        <v/>
      </c>
    </row>
    <row r="471" spans="1:13" ht="14.45" customHeight="1" x14ac:dyDescent="0.2">
      <c r="A471" s="420"/>
      <c r="B471" s="416"/>
      <c r="C471" s="417"/>
      <c r="D471" s="417"/>
      <c r="E471" s="418"/>
      <c r="F471" s="416"/>
      <c r="G471" s="417"/>
      <c r="H471" s="417"/>
      <c r="I471" s="417"/>
      <c r="J471" s="417"/>
      <c r="K471" s="419"/>
      <c r="L471" s="133"/>
      <c r="M471" s="415" t="str">
        <f t="shared" si="7"/>
        <v/>
      </c>
    </row>
    <row r="472" spans="1:13" ht="14.45" customHeight="1" x14ac:dyDescent="0.2">
      <c r="A472" s="420"/>
      <c r="B472" s="416"/>
      <c r="C472" s="417"/>
      <c r="D472" s="417"/>
      <c r="E472" s="418"/>
      <c r="F472" s="416"/>
      <c r="G472" s="417"/>
      <c r="H472" s="417"/>
      <c r="I472" s="417"/>
      <c r="J472" s="417"/>
      <c r="K472" s="419"/>
      <c r="L472" s="133"/>
      <c r="M472" s="415" t="str">
        <f t="shared" si="7"/>
        <v/>
      </c>
    </row>
    <row r="473" spans="1:13" ht="14.45" customHeight="1" x14ac:dyDescent="0.2">
      <c r="A473" s="420"/>
      <c r="B473" s="416"/>
      <c r="C473" s="417"/>
      <c r="D473" s="417"/>
      <c r="E473" s="418"/>
      <c r="F473" s="416"/>
      <c r="G473" s="417"/>
      <c r="H473" s="417"/>
      <c r="I473" s="417"/>
      <c r="J473" s="417"/>
      <c r="K473" s="419"/>
      <c r="L473" s="133"/>
      <c r="M473" s="415" t="str">
        <f t="shared" si="7"/>
        <v/>
      </c>
    </row>
    <row r="474" spans="1:13" ht="14.45" customHeight="1" x14ac:dyDescent="0.2">
      <c r="A474" s="420"/>
      <c r="B474" s="416"/>
      <c r="C474" s="417"/>
      <c r="D474" s="417"/>
      <c r="E474" s="418"/>
      <c r="F474" s="416"/>
      <c r="G474" s="417"/>
      <c r="H474" s="417"/>
      <c r="I474" s="417"/>
      <c r="J474" s="417"/>
      <c r="K474" s="419"/>
      <c r="L474" s="133"/>
      <c r="M474" s="415" t="str">
        <f t="shared" si="7"/>
        <v/>
      </c>
    </row>
    <row r="475" spans="1:13" ht="14.45" customHeight="1" x14ac:dyDescent="0.2">
      <c r="A475" s="420"/>
      <c r="B475" s="416"/>
      <c r="C475" s="417"/>
      <c r="D475" s="417"/>
      <c r="E475" s="418"/>
      <c r="F475" s="416"/>
      <c r="G475" s="417"/>
      <c r="H475" s="417"/>
      <c r="I475" s="417"/>
      <c r="J475" s="417"/>
      <c r="K475" s="419"/>
      <c r="L475" s="133"/>
      <c r="M475" s="415" t="str">
        <f t="shared" si="7"/>
        <v/>
      </c>
    </row>
    <row r="476" spans="1:13" ht="14.45" customHeight="1" x14ac:dyDescent="0.2">
      <c r="A476" s="420"/>
      <c r="B476" s="416"/>
      <c r="C476" s="417"/>
      <c r="D476" s="417"/>
      <c r="E476" s="418"/>
      <c r="F476" s="416"/>
      <c r="G476" s="417"/>
      <c r="H476" s="417"/>
      <c r="I476" s="417"/>
      <c r="J476" s="417"/>
      <c r="K476" s="419"/>
      <c r="L476" s="133"/>
      <c r="M476" s="415" t="str">
        <f t="shared" si="7"/>
        <v/>
      </c>
    </row>
    <row r="477" spans="1:13" ht="14.45" customHeight="1" x14ac:dyDescent="0.2">
      <c r="A477" s="420"/>
      <c r="B477" s="416"/>
      <c r="C477" s="417"/>
      <c r="D477" s="417"/>
      <c r="E477" s="418"/>
      <c r="F477" s="416"/>
      <c r="G477" s="417"/>
      <c r="H477" s="417"/>
      <c r="I477" s="417"/>
      <c r="J477" s="417"/>
      <c r="K477" s="419"/>
      <c r="L477" s="133"/>
      <c r="M477" s="415" t="str">
        <f t="shared" si="7"/>
        <v/>
      </c>
    </row>
    <row r="478" spans="1:13" ht="14.45" customHeight="1" x14ac:dyDescent="0.2">
      <c r="A478" s="420"/>
      <c r="B478" s="416"/>
      <c r="C478" s="417"/>
      <c r="D478" s="417"/>
      <c r="E478" s="418"/>
      <c r="F478" s="416"/>
      <c r="G478" s="417"/>
      <c r="H478" s="417"/>
      <c r="I478" s="417"/>
      <c r="J478" s="417"/>
      <c r="K478" s="419"/>
      <c r="L478" s="133"/>
      <c r="M478" s="415" t="str">
        <f t="shared" si="7"/>
        <v/>
      </c>
    </row>
    <row r="479" spans="1:13" ht="14.45" customHeight="1" x14ac:dyDescent="0.2">
      <c r="A479" s="420"/>
      <c r="B479" s="416"/>
      <c r="C479" s="417"/>
      <c r="D479" s="417"/>
      <c r="E479" s="418"/>
      <c r="F479" s="416"/>
      <c r="G479" s="417"/>
      <c r="H479" s="417"/>
      <c r="I479" s="417"/>
      <c r="J479" s="417"/>
      <c r="K479" s="419"/>
      <c r="L479" s="133"/>
      <c r="M479" s="415" t="str">
        <f t="shared" si="7"/>
        <v/>
      </c>
    </row>
    <row r="480" spans="1:13" ht="14.45" customHeight="1" x14ac:dyDescent="0.2">
      <c r="A480" s="420"/>
      <c r="B480" s="416"/>
      <c r="C480" s="417"/>
      <c r="D480" s="417"/>
      <c r="E480" s="418"/>
      <c r="F480" s="416"/>
      <c r="G480" s="417"/>
      <c r="H480" s="417"/>
      <c r="I480" s="417"/>
      <c r="J480" s="417"/>
      <c r="K480" s="419"/>
      <c r="L480" s="133"/>
      <c r="M480" s="415" t="str">
        <f t="shared" si="7"/>
        <v/>
      </c>
    </row>
    <row r="481" spans="1:13" ht="14.45" customHeight="1" x14ac:dyDescent="0.2">
      <c r="A481" s="420"/>
      <c r="B481" s="416"/>
      <c r="C481" s="417"/>
      <c r="D481" s="417"/>
      <c r="E481" s="418"/>
      <c r="F481" s="416"/>
      <c r="G481" s="417"/>
      <c r="H481" s="417"/>
      <c r="I481" s="417"/>
      <c r="J481" s="417"/>
      <c r="K481" s="419"/>
      <c r="L481" s="133"/>
      <c r="M481" s="415" t="str">
        <f t="shared" si="7"/>
        <v/>
      </c>
    </row>
    <row r="482" spans="1:13" ht="14.45" customHeight="1" x14ac:dyDescent="0.2">
      <c r="A482" s="420"/>
      <c r="B482" s="416"/>
      <c r="C482" s="417"/>
      <c r="D482" s="417"/>
      <c r="E482" s="418"/>
      <c r="F482" s="416"/>
      <c r="G482" s="417"/>
      <c r="H482" s="417"/>
      <c r="I482" s="417"/>
      <c r="J482" s="417"/>
      <c r="K482" s="419"/>
      <c r="L482" s="133"/>
      <c r="M482" s="415" t="str">
        <f t="shared" si="7"/>
        <v/>
      </c>
    </row>
    <row r="483" spans="1:13" ht="14.45" customHeight="1" x14ac:dyDescent="0.2">
      <c r="A483" s="420"/>
      <c r="B483" s="416"/>
      <c r="C483" s="417"/>
      <c r="D483" s="417"/>
      <c r="E483" s="418"/>
      <c r="F483" s="416"/>
      <c r="G483" s="417"/>
      <c r="H483" s="417"/>
      <c r="I483" s="417"/>
      <c r="J483" s="417"/>
      <c r="K483" s="419"/>
      <c r="L483" s="133"/>
      <c r="M483" s="415" t="str">
        <f t="shared" si="7"/>
        <v/>
      </c>
    </row>
    <row r="484" spans="1:13" ht="14.45" customHeight="1" x14ac:dyDescent="0.2">
      <c r="A484" s="420"/>
      <c r="B484" s="416"/>
      <c r="C484" s="417"/>
      <c r="D484" s="417"/>
      <c r="E484" s="418"/>
      <c r="F484" s="416"/>
      <c r="G484" s="417"/>
      <c r="H484" s="417"/>
      <c r="I484" s="417"/>
      <c r="J484" s="417"/>
      <c r="K484" s="419"/>
      <c r="L484" s="133"/>
      <c r="M484" s="415" t="str">
        <f t="shared" si="7"/>
        <v/>
      </c>
    </row>
    <row r="485" spans="1:13" ht="14.45" customHeight="1" x14ac:dyDescent="0.2">
      <c r="A485" s="420"/>
      <c r="B485" s="416"/>
      <c r="C485" s="417"/>
      <c r="D485" s="417"/>
      <c r="E485" s="418"/>
      <c r="F485" s="416"/>
      <c r="G485" s="417"/>
      <c r="H485" s="417"/>
      <c r="I485" s="417"/>
      <c r="J485" s="417"/>
      <c r="K485" s="419"/>
      <c r="L485" s="133"/>
      <c r="M485" s="415" t="str">
        <f t="shared" si="7"/>
        <v/>
      </c>
    </row>
    <row r="486" spans="1:13" ht="14.45" customHeight="1" x14ac:dyDescent="0.2">
      <c r="A486" s="420"/>
      <c r="B486" s="416"/>
      <c r="C486" s="417"/>
      <c r="D486" s="417"/>
      <c r="E486" s="418"/>
      <c r="F486" s="416"/>
      <c r="G486" s="417"/>
      <c r="H486" s="417"/>
      <c r="I486" s="417"/>
      <c r="J486" s="417"/>
      <c r="K486" s="419"/>
      <c r="L486" s="133"/>
      <c r="M486" s="415" t="str">
        <f t="shared" si="7"/>
        <v/>
      </c>
    </row>
    <row r="487" spans="1:13" ht="14.45" customHeight="1" x14ac:dyDescent="0.2">
      <c r="A487" s="420"/>
      <c r="B487" s="416"/>
      <c r="C487" s="417"/>
      <c r="D487" s="417"/>
      <c r="E487" s="418"/>
      <c r="F487" s="416"/>
      <c r="G487" s="417"/>
      <c r="H487" s="417"/>
      <c r="I487" s="417"/>
      <c r="J487" s="417"/>
      <c r="K487" s="419"/>
      <c r="L487" s="133"/>
      <c r="M487" s="415" t="str">
        <f t="shared" si="7"/>
        <v/>
      </c>
    </row>
    <row r="488" spans="1:13" ht="14.45" customHeight="1" x14ac:dyDescent="0.2">
      <c r="A488" s="420"/>
      <c r="B488" s="416"/>
      <c r="C488" s="417"/>
      <c r="D488" s="417"/>
      <c r="E488" s="418"/>
      <c r="F488" s="416"/>
      <c r="G488" s="417"/>
      <c r="H488" s="417"/>
      <c r="I488" s="417"/>
      <c r="J488" s="417"/>
      <c r="K488" s="419"/>
      <c r="L488" s="133"/>
      <c r="M488" s="415" t="str">
        <f t="shared" si="7"/>
        <v/>
      </c>
    </row>
    <row r="489" spans="1:13" ht="14.45" customHeight="1" x14ac:dyDescent="0.2">
      <c r="A489" s="420"/>
      <c r="B489" s="416"/>
      <c r="C489" s="417"/>
      <c r="D489" s="417"/>
      <c r="E489" s="418"/>
      <c r="F489" s="416"/>
      <c r="G489" s="417"/>
      <c r="H489" s="417"/>
      <c r="I489" s="417"/>
      <c r="J489" s="417"/>
      <c r="K489" s="419"/>
      <c r="L489" s="133"/>
      <c r="M489" s="415" t="str">
        <f t="shared" si="7"/>
        <v/>
      </c>
    </row>
    <row r="490" spans="1:13" ht="14.45" customHeight="1" x14ac:dyDescent="0.2">
      <c r="A490" s="420"/>
      <c r="B490" s="416"/>
      <c r="C490" s="417"/>
      <c r="D490" s="417"/>
      <c r="E490" s="418"/>
      <c r="F490" s="416"/>
      <c r="G490" s="417"/>
      <c r="H490" s="417"/>
      <c r="I490" s="417"/>
      <c r="J490" s="417"/>
      <c r="K490" s="419"/>
      <c r="L490" s="133"/>
      <c r="M490" s="415" t="str">
        <f t="shared" si="7"/>
        <v/>
      </c>
    </row>
    <row r="491" spans="1:13" ht="14.45" customHeight="1" x14ac:dyDescent="0.2">
      <c r="A491" s="420"/>
      <c r="B491" s="416"/>
      <c r="C491" s="417"/>
      <c r="D491" s="417"/>
      <c r="E491" s="418"/>
      <c r="F491" s="416"/>
      <c r="G491" s="417"/>
      <c r="H491" s="417"/>
      <c r="I491" s="417"/>
      <c r="J491" s="417"/>
      <c r="K491" s="419"/>
      <c r="L491" s="133"/>
      <c r="M491" s="415" t="str">
        <f t="shared" si="7"/>
        <v/>
      </c>
    </row>
    <row r="492" spans="1:13" ht="14.45" customHeight="1" x14ac:dyDescent="0.2">
      <c r="A492" s="420"/>
      <c r="B492" s="416"/>
      <c r="C492" s="417"/>
      <c r="D492" s="417"/>
      <c r="E492" s="418"/>
      <c r="F492" s="416"/>
      <c r="G492" s="417"/>
      <c r="H492" s="417"/>
      <c r="I492" s="417"/>
      <c r="J492" s="417"/>
      <c r="K492" s="419"/>
      <c r="L492" s="133"/>
      <c r="M492" s="415" t="str">
        <f t="shared" si="7"/>
        <v/>
      </c>
    </row>
    <row r="493" spans="1:13" ht="14.45" customHeight="1" x14ac:dyDescent="0.2">
      <c r="A493" s="420"/>
      <c r="B493" s="416"/>
      <c r="C493" s="417"/>
      <c r="D493" s="417"/>
      <c r="E493" s="418"/>
      <c r="F493" s="416"/>
      <c r="G493" s="417"/>
      <c r="H493" s="417"/>
      <c r="I493" s="417"/>
      <c r="J493" s="417"/>
      <c r="K493" s="419"/>
      <c r="L493" s="133"/>
      <c r="M493" s="415" t="str">
        <f t="shared" si="7"/>
        <v/>
      </c>
    </row>
    <row r="494" spans="1:13" ht="14.45" customHeight="1" x14ac:dyDescent="0.2">
      <c r="A494" s="420"/>
      <c r="B494" s="416"/>
      <c r="C494" s="417"/>
      <c r="D494" s="417"/>
      <c r="E494" s="418"/>
      <c r="F494" s="416"/>
      <c r="G494" s="417"/>
      <c r="H494" s="417"/>
      <c r="I494" s="417"/>
      <c r="J494" s="417"/>
      <c r="K494" s="419"/>
      <c r="L494" s="133"/>
      <c r="M494" s="415" t="str">
        <f t="shared" si="7"/>
        <v/>
      </c>
    </row>
    <row r="495" spans="1:13" ht="14.45" customHeight="1" x14ac:dyDescent="0.2">
      <c r="A495" s="420"/>
      <c r="B495" s="416"/>
      <c r="C495" s="417"/>
      <c r="D495" s="417"/>
      <c r="E495" s="418"/>
      <c r="F495" s="416"/>
      <c r="G495" s="417"/>
      <c r="H495" s="417"/>
      <c r="I495" s="417"/>
      <c r="J495" s="417"/>
      <c r="K495" s="419"/>
      <c r="L495" s="133"/>
      <c r="M495" s="415" t="str">
        <f t="shared" si="7"/>
        <v/>
      </c>
    </row>
    <row r="496" spans="1:13" ht="14.45" customHeight="1" x14ac:dyDescent="0.2">
      <c r="A496" s="420"/>
      <c r="B496" s="416"/>
      <c r="C496" s="417"/>
      <c r="D496" s="417"/>
      <c r="E496" s="418"/>
      <c r="F496" s="416"/>
      <c r="G496" s="417"/>
      <c r="H496" s="417"/>
      <c r="I496" s="417"/>
      <c r="J496" s="417"/>
      <c r="K496" s="419"/>
      <c r="L496" s="133"/>
      <c r="M496" s="415" t="str">
        <f t="shared" si="7"/>
        <v/>
      </c>
    </row>
    <row r="497" spans="1:13" ht="14.45" customHeight="1" x14ac:dyDescent="0.2">
      <c r="A497" s="420"/>
      <c r="B497" s="416"/>
      <c r="C497" s="417"/>
      <c r="D497" s="417"/>
      <c r="E497" s="418"/>
      <c r="F497" s="416"/>
      <c r="G497" s="417"/>
      <c r="H497" s="417"/>
      <c r="I497" s="417"/>
      <c r="J497" s="417"/>
      <c r="K497" s="419"/>
      <c r="L497" s="133"/>
      <c r="M497" s="415" t="str">
        <f t="shared" si="7"/>
        <v/>
      </c>
    </row>
    <row r="498" spans="1:13" ht="14.45" customHeight="1" x14ac:dyDescent="0.2">
      <c r="A498" s="420"/>
      <c r="B498" s="416"/>
      <c r="C498" s="417"/>
      <c r="D498" s="417"/>
      <c r="E498" s="418"/>
      <c r="F498" s="416"/>
      <c r="G498" s="417"/>
      <c r="H498" s="417"/>
      <c r="I498" s="417"/>
      <c r="J498" s="417"/>
      <c r="K498" s="419"/>
      <c r="L498" s="133"/>
      <c r="M498" s="415" t="str">
        <f t="shared" si="7"/>
        <v/>
      </c>
    </row>
    <row r="499" spans="1:13" ht="14.45" customHeight="1" x14ac:dyDescent="0.2">
      <c r="A499" s="420"/>
      <c r="B499" s="416"/>
      <c r="C499" s="417"/>
      <c r="D499" s="417"/>
      <c r="E499" s="418"/>
      <c r="F499" s="416"/>
      <c r="G499" s="417"/>
      <c r="H499" s="417"/>
      <c r="I499" s="417"/>
      <c r="J499" s="417"/>
      <c r="K499" s="419"/>
      <c r="L499" s="133"/>
      <c r="M499" s="415" t="str">
        <f t="shared" si="7"/>
        <v/>
      </c>
    </row>
    <row r="500" spans="1:13" ht="14.45" customHeight="1" x14ac:dyDescent="0.2">
      <c r="A500" s="420"/>
      <c r="B500" s="416"/>
      <c r="C500" s="417"/>
      <c r="D500" s="417"/>
      <c r="E500" s="418"/>
      <c r="F500" s="416"/>
      <c r="G500" s="417"/>
      <c r="H500" s="417"/>
      <c r="I500" s="417"/>
      <c r="J500" s="417"/>
      <c r="K500" s="419"/>
      <c r="L500" s="133"/>
      <c r="M500" s="415" t="str">
        <f t="shared" si="7"/>
        <v/>
      </c>
    </row>
    <row r="501" spans="1:13" ht="14.45" customHeight="1" x14ac:dyDescent="0.2">
      <c r="A501" s="420"/>
      <c r="B501" s="416"/>
      <c r="C501" s="417"/>
      <c r="D501" s="417"/>
      <c r="E501" s="418"/>
      <c r="F501" s="416"/>
      <c r="G501" s="417"/>
      <c r="H501" s="417"/>
      <c r="I501" s="417"/>
      <c r="J501" s="417"/>
      <c r="K501" s="419"/>
      <c r="L501" s="133"/>
      <c r="M501" s="415" t="str">
        <f t="shared" si="7"/>
        <v/>
      </c>
    </row>
    <row r="502" spans="1:13" ht="14.45" customHeight="1" x14ac:dyDescent="0.2">
      <c r="A502" s="420"/>
      <c r="B502" s="416"/>
      <c r="C502" s="417"/>
      <c r="D502" s="417"/>
      <c r="E502" s="418"/>
      <c r="F502" s="416"/>
      <c r="G502" s="417"/>
      <c r="H502" s="417"/>
      <c r="I502" s="417"/>
      <c r="J502" s="417"/>
      <c r="K502" s="419"/>
      <c r="L502" s="133"/>
      <c r="M502" s="415" t="str">
        <f t="shared" si="7"/>
        <v/>
      </c>
    </row>
    <row r="503" spans="1:13" ht="14.45" customHeight="1" x14ac:dyDescent="0.2">
      <c r="A503" s="420"/>
      <c r="B503" s="416"/>
      <c r="C503" s="417"/>
      <c r="D503" s="417"/>
      <c r="E503" s="418"/>
      <c r="F503" s="416"/>
      <c r="G503" s="417"/>
      <c r="H503" s="417"/>
      <c r="I503" s="417"/>
      <c r="J503" s="417"/>
      <c r="K503" s="419"/>
      <c r="L503" s="133"/>
      <c r="M503" s="415" t="str">
        <f t="shared" si="7"/>
        <v/>
      </c>
    </row>
    <row r="504" spans="1:13" ht="14.45" customHeight="1" x14ac:dyDescent="0.2">
      <c r="A504" s="420"/>
      <c r="B504" s="416"/>
      <c r="C504" s="417"/>
      <c r="D504" s="417"/>
      <c r="E504" s="418"/>
      <c r="F504" s="416"/>
      <c r="G504" s="417"/>
      <c r="H504" s="417"/>
      <c r="I504" s="417"/>
      <c r="J504" s="417"/>
      <c r="K504" s="419"/>
      <c r="L504" s="133"/>
      <c r="M504" s="415" t="str">
        <f t="shared" si="7"/>
        <v/>
      </c>
    </row>
    <row r="505" spans="1:13" ht="14.45" customHeight="1" x14ac:dyDescent="0.2">
      <c r="A505" s="420"/>
      <c r="B505" s="416"/>
      <c r="C505" s="417"/>
      <c r="D505" s="417"/>
      <c r="E505" s="418"/>
      <c r="F505" s="416"/>
      <c r="G505" s="417"/>
      <c r="H505" s="417"/>
      <c r="I505" s="417"/>
      <c r="J505" s="417"/>
      <c r="K505" s="419"/>
      <c r="L505" s="133"/>
      <c r="M505" s="415" t="str">
        <f t="shared" si="7"/>
        <v/>
      </c>
    </row>
    <row r="506" spans="1:13" ht="14.45" customHeight="1" x14ac:dyDescent="0.2">
      <c r="A506" s="420"/>
      <c r="B506" s="416"/>
      <c r="C506" s="417"/>
      <c r="D506" s="417"/>
      <c r="E506" s="418"/>
      <c r="F506" s="416"/>
      <c r="G506" s="417"/>
      <c r="H506" s="417"/>
      <c r="I506" s="417"/>
      <c r="J506" s="417"/>
      <c r="K506" s="419"/>
      <c r="L506" s="133"/>
      <c r="M506" s="415" t="str">
        <f t="shared" si="7"/>
        <v/>
      </c>
    </row>
    <row r="507" spans="1:13" ht="14.45" customHeight="1" x14ac:dyDescent="0.2">
      <c r="A507" s="420"/>
      <c r="B507" s="416"/>
      <c r="C507" s="417"/>
      <c r="D507" s="417"/>
      <c r="E507" s="418"/>
      <c r="F507" s="416"/>
      <c r="G507" s="417"/>
      <c r="H507" s="417"/>
      <c r="I507" s="417"/>
      <c r="J507" s="417"/>
      <c r="K507" s="419"/>
      <c r="L507" s="133"/>
      <c r="M507" s="415" t="str">
        <f t="shared" si="7"/>
        <v/>
      </c>
    </row>
    <row r="508" spans="1:13" ht="14.45" customHeight="1" x14ac:dyDescent="0.2">
      <c r="A508" s="420"/>
      <c r="B508" s="416"/>
      <c r="C508" s="417"/>
      <c r="D508" s="417"/>
      <c r="E508" s="418"/>
      <c r="F508" s="416"/>
      <c r="G508" s="417"/>
      <c r="H508" s="417"/>
      <c r="I508" s="417"/>
      <c r="J508" s="417"/>
      <c r="K508" s="419"/>
      <c r="L508" s="133"/>
      <c r="M508" s="415" t="str">
        <f t="shared" si="7"/>
        <v/>
      </c>
    </row>
    <row r="509" spans="1:13" ht="14.45" customHeight="1" x14ac:dyDescent="0.2">
      <c r="A509" s="420"/>
      <c r="B509" s="416"/>
      <c r="C509" s="417"/>
      <c r="D509" s="417"/>
      <c r="E509" s="418"/>
      <c r="F509" s="416"/>
      <c r="G509" s="417"/>
      <c r="H509" s="417"/>
      <c r="I509" s="417"/>
      <c r="J509" s="417"/>
      <c r="K509" s="419"/>
      <c r="L509" s="133"/>
      <c r="M509" s="415" t="str">
        <f t="shared" si="7"/>
        <v/>
      </c>
    </row>
    <row r="510" spans="1:13" ht="14.45" customHeight="1" x14ac:dyDescent="0.2">
      <c r="A510" s="420"/>
      <c r="B510" s="416"/>
      <c r="C510" s="417"/>
      <c r="D510" s="417"/>
      <c r="E510" s="418"/>
      <c r="F510" s="416"/>
      <c r="G510" s="417"/>
      <c r="H510" s="417"/>
      <c r="I510" s="417"/>
      <c r="J510" s="417"/>
      <c r="K510" s="419"/>
      <c r="L510" s="133"/>
      <c r="M510" s="415" t="str">
        <f t="shared" si="7"/>
        <v/>
      </c>
    </row>
    <row r="511" spans="1:13" ht="14.45" customHeight="1" x14ac:dyDescent="0.2">
      <c r="A511" s="420"/>
      <c r="B511" s="416"/>
      <c r="C511" s="417"/>
      <c r="D511" s="417"/>
      <c r="E511" s="418"/>
      <c r="F511" s="416"/>
      <c r="G511" s="417"/>
      <c r="H511" s="417"/>
      <c r="I511" s="417"/>
      <c r="J511" s="417"/>
      <c r="K511" s="419"/>
      <c r="L511" s="133"/>
      <c r="M511" s="415" t="str">
        <f t="shared" si="7"/>
        <v/>
      </c>
    </row>
    <row r="512" spans="1:13" ht="14.45" customHeight="1" x14ac:dyDescent="0.2">
      <c r="A512" s="420"/>
      <c r="B512" s="416"/>
      <c r="C512" s="417"/>
      <c r="D512" s="417"/>
      <c r="E512" s="418"/>
      <c r="F512" s="416"/>
      <c r="G512" s="417"/>
      <c r="H512" s="417"/>
      <c r="I512" s="417"/>
      <c r="J512" s="417"/>
      <c r="K512" s="419"/>
      <c r="L512" s="133"/>
      <c r="M512" s="415" t="str">
        <f t="shared" si="7"/>
        <v/>
      </c>
    </row>
    <row r="513" spans="1:13" ht="14.45" customHeight="1" x14ac:dyDescent="0.2">
      <c r="A513" s="420"/>
      <c r="B513" s="416"/>
      <c r="C513" s="417"/>
      <c r="D513" s="417"/>
      <c r="E513" s="418"/>
      <c r="F513" s="416"/>
      <c r="G513" s="417"/>
      <c r="H513" s="417"/>
      <c r="I513" s="417"/>
      <c r="J513" s="417"/>
      <c r="K513" s="419"/>
      <c r="L513" s="133"/>
      <c r="M513" s="415" t="str">
        <f t="shared" si="7"/>
        <v/>
      </c>
    </row>
    <row r="514" spans="1:13" ht="14.45" customHeight="1" x14ac:dyDescent="0.2">
      <c r="A514" s="420"/>
      <c r="B514" s="416"/>
      <c r="C514" s="417"/>
      <c r="D514" s="417"/>
      <c r="E514" s="418"/>
      <c r="F514" s="416"/>
      <c r="G514" s="417"/>
      <c r="H514" s="417"/>
      <c r="I514" s="417"/>
      <c r="J514" s="417"/>
      <c r="K514" s="419"/>
      <c r="L514" s="133"/>
      <c r="M514" s="415" t="str">
        <f t="shared" si="7"/>
        <v/>
      </c>
    </row>
    <row r="515" spans="1:13" ht="14.45" customHeight="1" x14ac:dyDescent="0.2">
      <c r="A515" s="420"/>
      <c r="B515" s="416"/>
      <c r="C515" s="417"/>
      <c r="D515" s="417"/>
      <c r="E515" s="418"/>
      <c r="F515" s="416"/>
      <c r="G515" s="417"/>
      <c r="H515" s="417"/>
      <c r="I515" s="417"/>
      <c r="J515" s="417"/>
      <c r="K515" s="419"/>
      <c r="L515" s="133"/>
      <c r="M515" s="415" t="str">
        <f t="shared" si="7"/>
        <v/>
      </c>
    </row>
    <row r="516" spans="1:13" ht="14.45" customHeight="1" x14ac:dyDescent="0.2">
      <c r="A516" s="420"/>
      <c r="B516" s="416"/>
      <c r="C516" s="417"/>
      <c r="D516" s="417"/>
      <c r="E516" s="418"/>
      <c r="F516" s="416"/>
      <c r="G516" s="417"/>
      <c r="H516" s="417"/>
      <c r="I516" s="417"/>
      <c r="J516" s="417"/>
      <c r="K516" s="419"/>
      <c r="L516" s="133"/>
      <c r="M516" s="415" t="str">
        <f t="shared" si="7"/>
        <v/>
      </c>
    </row>
    <row r="517" spans="1:13" ht="14.45" customHeight="1" x14ac:dyDescent="0.2">
      <c r="A517" s="420"/>
      <c r="B517" s="416"/>
      <c r="C517" s="417"/>
      <c r="D517" s="417"/>
      <c r="E517" s="418"/>
      <c r="F517" s="416"/>
      <c r="G517" s="417"/>
      <c r="H517" s="417"/>
      <c r="I517" s="417"/>
      <c r="J517" s="417"/>
      <c r="K517" s="419"/>
      <c r="L517" s="133"/>
      <c r="M517" s="415" t="str">
        <f t="shared" si="7"/>
        <v/>
      </c>
    </row>
    <row r="518" spans="1:13" ht="14.45" customHeight="1" x14ac:dyDescent="0.2">
      <c r="A518" s="420"/>
      <c r="B518" s="416"/>
      <c r="C518" s="417"/>
      <c r="D518" s="417"/>
      <c r="E518" s="418"/>
      <c r="F518" s="416"/>
      <c r="G518" s="417"/>
      <c r="H518" s="417"/>
      <c r="I518" s="417"/>
      <c r="J518" s="417"/>
      <c r="K518" s="419"/>
      <c r="L518" s="133"/>
      <c r="M518" s="415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420"/>
      <c r="B519" s="416"/>
      <c r="C519" s="417"/>
      <c r="D519" s="417"/>
      <c r="E519" s="418"/>
      <c r="F519" s="416"/>
      <c r="G519" s="417"/>
      <c r="H519" s="417"/>
      <c r="I519" s="417"/>
      <c r="J519" s="417"/>
      <c r="K519" s="419"/>
      <c r="L519" s="133"/>
      <c r="M519" s="415" t="str">
        <f t="shared" si="8"/>
        <v/>
      </c>
    </row>
    <row r="520" spans="1:13" ht="14.45" customHeight="1" x14ac:dyDescent="0.2">
      <c r="A520" s="420"/>
      <c r="B520" s="416"/>
      <c r="C520" s="417"/>
      <c r="D520" s="417"/>
      <c r="E520" s="418"/>
      <c r="F520" s="416"/>
      <c r="G520" s="417"/>
      <c r="H520" s="417"/>
      <c r="I520" s="417"/>
      <c r="J520" s="417"/>
      <c r="K520" s="419"/>
      <c r="L520" s="133"/>
      <c r="M520" s="415" t="str">
        <f t="shared" si="8"/>
        <v/>
      </c>
    </row>
    <row r="521" spans="1:13" ht="14.45" customHeight="1" x14ac:dyDescent="0.2">
      <c r="A521" s="420"/>
      <c r="B521" s="416"/>
      <c r="C521" s="417"/>
      <c r="D521" s="417"/>
      <c r="E521" s="418"/>
      <c r="F521" s="416"/>
      <c r="G521" s="417"/>
      <c r="H521" s="417"/>
      <c r="I521" s="417"/>
      <c r="J521" s="417"/>
      <c r="K521" s="419"/>
      <c r="L521" s="133"/>
      <c r="M521" s="415" t="str">
        <f t="shared" si="8"/>
        <v/>
      </c>
    </row>
    <row r="522" spans="1:13" ht="14.45" customHeight="1" x14ac:dyDescent="0.2">
      <c r="A522" s="420"/>
      <c r="B522" s="416"/>
      <c r="C522" s="417"/>
      <c r="D522" s="417"/>
      <c r="E522" s="418"/>
      <c r="F522" s="416"/>
      <c r="G522" s="417"/>
      <c r="H522" s="417"/>
      <c r="I522" s="417"/>
      <c r="J522" s="417"/>
      <c r="K522" s="419"/>
      <c r="L522" s="133"/>
      <c r="M522" s="415" t="str">
        <f t="shared" si="8"/>
        <v/>
      </c>
    </row>
    <row r="523" spans="1:13" ht="14.45" customHeight="1" x14ac:dyDescent="0.2">
      <c r="A523" s="420"/>
      <c r="B523" s="416"/>
      <c r="C523" s="417"/>
      <c r="D523" s="417"/>
      <c r="E523" s="418"/>
      <c r="F523" s="416"/>
      <c r="G523" s="417"/>
      <c r="H523" s="417"/>
      <c r="I523" s="417"/>
      <c r="J523" s="417"/>
      <c r="K523" s="419"/>
      <c r="L523" s="133"/>
      <c r="M523" s="415" t="str">
        <f t="shared" si="8"/>
        <v/>
      </c>
    </row>
    <row r="524" spans="1:13" ht="14.45" customHeight="1" x14ac:dyDescent="0.2">
      <c r="A524" s="420"/>
      <c r="B524" s="416"/>
      <c r="C524" s="417"/>
      <c r="D524" s="417"/>
      <c r="E524" s="418"/>
      <c r="F524" s="416"/>
      <c r="G524" s="417"/>
      <c r="H524" s="417"/>
      <c r="I524" s="417"/>
      <c r="J524" s="417"/>
      <c r="K524" s="419"/>
      <c r="L524" s="133"/>
      <c r="M524" s="415" t="str">
        <f t="shared" si="8"/>
        <v/>
      </c>
    </row>
    <row r="525" spans="1:13" ht="14.45" customHeight="1" x14ac:dyDescent="0.2">
      <c r="A525" s="420"/>
      <c r="B525" s="416"/>
      <c r="C525" s="417"/>
      <c r="D525" s="417"/>
      <c r="E525" s="418"/>
      <c r="F525" s="416"/>
      <c r="G525" s="417"/>
      <c r="H525" s="417"/>
      <c r="I525" s="417"/>
      <c r="J525" s="417"/>
      <c r="K525" s="419"/>
      <c r="L525" s="133"/>
      <c r="M525" s="415" t="str">
        <f t="shared" si="8"/>
        <v/>
      </c>
    </row>
    <row r="526" spans="1:13" ht="14.45" customHeight="1" x14ac:dyDescent="0.2">
      <c r="A526" s="420"/>
      <c r="B526" s="416"/>
      <c r="C526" s="417"/>
      <c r="D526" s="417"/>
      <c r="E526" s="418"/>
      <c r="F526" s="416"/>
      <c r="G526" s="417"/>
      <c r="H526" s="417"/>
      <c r="I526" s="417"/>
      <c r="J526" s="417"/>
      <c r="K526" s="419"/>
      <c r="L526" s="133"/>
      <c r="M526" s="415" t="str">
        <f t="shared" si="8"/>
        <v/>
      </c>
    </row>
    <row r="527" spans="1:13" ht="14.45" customHeight="1" x14ac:dyDescent="0.2">
      <c r="A527" s="420"/>
      <c r="B527" s="416"/>
      <c r="C527" s="417"/>
      <c r="D527" s="417"/>
      <c r="E527" s="418"/>
      <c r="F527" s="416"/>
      <c r="G527" s="417"/>
      <c r="H527" s="417"/>
      <c r="I527" s="417"/>
      <c r="J527" s="417"/>
      <c r="K527" s="419"/>
      <c r="L527" s="133"/>
      <c r="M527" s="415" t="str">
        <f t="shared" si="8"/>
        <v/>
      </c>
    </row>
    <row r="528" spans="1:13" ht="14.45" customHeight="1" x14ac:dyDescent="0.2">
      <c r="A528" s="420"/>
      <c r="B528" s="416"/>
      <c r="C528" s="417"/>
      <c r="D528" s="417"/>
      <c r="E528" s="418"/>
      <c r="F528" s="416"/>
      <c r="G528" s="417"/>
      <c r="H528" s="417"/>
      <c r="I528" s="417"/>
      <c r="J528" s="417"/>
      <c r="K528" s="419"/>
      <c r="L528" s="133"/>
      <c r="M528" s="415" t="str">
        <f t="shared" si="8"/>
        <v/>
      </c>
    </row>
    <row r="529" spans="1:13" ht="14.45" customHeight="1" x14ac:dyDescent="0.2">
      <c r="A529" s="420"/>
      <c r="B529" s="416"/>
      <c r="C529" s="417"/>
      <c r="D529" s="417"/>
      <c r="E529" s="418"/>
      <c r="F529" s="416"/>
      <c r="G529" s="417"/>
      <c r="H529" s="417"/>
      <c r="I529" s="417"/>
      <c r="J529" s="417"/>
      <c r="K529" s="419"/>
      <c r="L529" s="133"/>
      <c r="M529" s="415" t="str">
        <f t="shared" si="8"/>
        <v/>
      </c>
    </row>
    <row r="530" spans="1:13" ht="14.45" customHeight="1" x14ac:dyDescent="0.2">
      <c r="A530" s="420"/>
      <c r="B530" s="416"/>
      <c r="C530" s="417"/>
      <c r="D530" s="417"/>
      <c r="E530" s="418"/>
      <c r="F530" s="416"/>
      <c r="G530" s="417"/>
      <c r="H530" s="417"/>
      <c r="I530" s="417"/>
      <c r="J530" s="417"/>
      <c r="K530" s="419"/>
      <c r="L530" s="133"/>
      <c r="M530" s="415" t="str">
        <f t="shared" si="8"/>
        <v/>
      </c>
    </row>
    <row r="531" spans="1:13" ht="14.45" customHeight="1" x14ac:dyDescent="0.2">
      <c r="A531" s="420"/>
      <c r="B531" s="416"/>
      <c r="C531" s="417"/>
      <c r="D531" s="417"/>
      <c r="E531" s="418"/>
      <c r="F531" s="416"/>
      <c r="G531" s="417"/>
      <c r="H531" s="417"/>
      <c r="I531" s="417"/>
      <c r="J531" s="417"/>
      <c r="K531" s="419"/>
      <c r="L531" s="133"/>
      <c r="M531" s="415" t="str">
        <f t="shared" si="8"/>
        <v/>
      </c>
    </row>
    <row r="532" spans="1:13" ht="14.45" customHeight="1" x14ac:dyDescent="0.2">
      <c r="A532" s="420"/>
      <c r="B532" s="416"/>
      <c r="C532" s="417"/>
      <c r="D532" s="417"/>
      <c r="E532" s="418"/>
      <c r="F532" s="416"/>
      <c r="G532" s="417"/>
      <c r="H532" s="417"/>
      <c r="I532" s="417"/>
      <c r="J532" s="417"/>
      <c r="K532" s="419"/>
      <c r="L532" s="133"/>
      <c r="M532" s="415" t="str">
        <f t="shared" si="8"/>
        <v/>
      </c>
    </row>
    <row r="533" spans="1:13" ht="14.45" customHeight="1" x14ac:dyDescent="0.2">
      <c r="A533" s="420"/>
      <c r="B533" s="416"/>
      <c r="C533" s="417"/>
      <c r="D533" s="417"/>
      <c r="E533" s="418"/>
      <c r="F533" s="416"/>
      <c r="G533" s="417"/>
      <c r="H533" s="417"/>
      <c r="I533" s="417"/>
      <c r="J533" s="417"/>
      <c r="K533" s="419"/>
      <c r="L533" s="133"/>
      <c r="M533" s="415" t="str">
        <f t="shared" si="8"/>
        <v/>
      </c>
    </row>
    <row r="534" spans="1:13" ht="14.45" customHeight="1" x14ac:dyDescent="0.2">
      <c r="A534" s="420"/>
      <c r="B534" s="416"/>
      <c r="C534" s="417"/>
      <c r="D534" s="417"/>
      <c r="E534" s="418"/>
      <c r="F534" s="416"/>
      <c r="G534" s="417"/>
      <c r="H534" s="417"/>
      <c r="I534" s="417"/>
      <c r="J534" s="417"/>
      <c r="K534" s="419"/>
      <c r="L534" s="133"/>
      <c r="M534" s="415" t="str">
        <f t="shared" si="8"/>
        <v/>
      </c>
    </row>
    <row r="535" spans="1:13" ht="14.45" customHeight="1" x14ac:dyDescent="0.2">
      <c r="A535" s="420"/>
      <c r="B535" s="416"/>
      <c r="C535" s="417"/>
      <c r="D535" s="417"/>
      <c r="E535" s="418"/>
      <c r="F535" s="416"/>
      <c r="G535" s="417"/>
      <c r="H535" s="417"/>
      <c r="I535" s="417"/>
      <c r="J535" s="417"/>
      <c r="K535" s="419"/>
      <c r="L535" s="133"/>
      <c r="M535" s="415" t="str">
        <f t="shared" si="8"/>
        <v/>
      </c>
    </row>
    <row r="536" spans="1:13" ht="14.45" customHeight="1" x14ac:dyDescent="0.2">
      <c r="A536" s="420"/>
      <c r="B536" s="416"/>
      <c r="C536" s="417"/>
      <c r="D536" s="417"/>
      <c r="E536" s="418"/>
      <c r="F536" s="416"/>
      <c r="G536" s="417"/>
      <c r="H536" s="417"/>
      <c r="I536" s="417"/>
      <c r="J536" s="417"/>
      <c r="K536" s="419"/>
      <c r="L536" s="133"/>
      <c r="M536" s="415" t="str">
        <f t="shared" si="8"/>
        <v/>
      </c>
    </row>
    <row r="537" spans="1:13" ht="14.45" customHeight="1" x14ac:dyDescent="0.2">
      <c r="A537" s="420"/>
      <c r="B537" s="416"/>
      <c r="C537" s="417"/>
      <c r="D537" s="417"/>
      <c r="E537" s="418"/>
      <c r="F537" s="416"/>
      <c r="G537" s="417"/>
      <c r="H537" s="417"/>
      <c r="I537" s="417"/>
      <c r="J537" s="417"/>
      <c r="K537" s="419"/>
      <c r="L537" s="133"/>
      <c r="M537" s="415" t="str">
        <f t="shared" si="8"/>
        <v/>
      </c>
    </row>
    <row r="538" spans="1:13" ht="14.45" customHeight="1" x14ac:dyDescent="0.2">
      <c r="A538" s="420"/>
      <c r="B538" s="416"/>
      <c r="C538" s="417"/>
      <c r="D538" s="417"/>
      <c r="E538" s="418"/>
      <c r="F538" s="416"/>
      <c r="G538" s="417"/>
      <c r="H538" s="417"/>
      <c r="I538" s="417"/>
      <c r="J538" s="417"/>
      <c r="K538" s="419"/>
      <c r="L538" s="133"/>
      <c r="M538" s="415" t="str">
        <f t="shared" si="8"/>
        <v/>
      </c>
    </row>
    <row r="539" spans="1:13" ht="14.45" customHeight="1" x14ac:dyDescent="0.2">
      <c r="A539" s="420"/>
      <c r="B539" s="416"/>
      <c r="C539" s="417"/>
      <c r="D539" s="417"/>
      <c r="E539" s="418"/>
      <c r="F539" s="416"/>
      <c r="G539" s="417"/>
      <c r="H539" s="417"/>
      <c r="I539" s="417"/>
      <c r="J539" s="417"/>
      <c r="K539" s="419"/>
      <c r="L539" s="133"/>
      <c r="M539" s="415" t="str">
        <f t="shared" si="8"/>
        <v/>
      </c>
    </row>
    <row r="540" spans="1:13" ht="14.45" customHeight="1" x14ac:dyDescent="0.2">
      <c r="A540" s="420"/>
      <c r="B540" s="416"/>
      <c r="C540" s="417"/>
      <c r="D540" s="417"/>
      <c r="E540" s="418"/>
      <c r="F540" s="416"/>
      <c r="G540" s="417"/>
      <c r="H540" s="417"/>
      <c r="I540" s="417"/>
      <c r="J540" s="417"/>
      <c r="K540" s="419"/>
      <c r="L540" s="133"/>
      <c r="M540" s="415" t="str">
        <f t="shared" si="8"/>
        <v/>
      </c>
    </row>
    <row r="541" spans="1:13" ht="14.45" customHeight="1" x14ac:dyDescent="0.2">
      <c r="A541" s="420"/>
      <c r="B541" s="416"/>
      <c r="C541" s="417"/>
      <c r="D541" s="417"/>
      <c r="E541" s="418"/>
      <c r="F541" s="416"/>
      <c r="G541" s="417"/>
      <c r="H541" s="417"/>
      <c r="I541" s="417"/>
      <c r="J541" s="417"/>
      <c r="K541" s="419"/>
      <c r="L541" s="133"/>
      <c r="M541" s="415" t="str">
        <f t="shared" si="8"/>
        <v/>
      </c>
    </row>
    <row r="542" spans="1:13" ht="14.45" customHeight="1" x14ac:dyDescent="0.2">
      <c r="A542" s="420"/>
      <c r="B542" s="416"/>
      <c r="C542" s="417"/>
      <c r="D542" s="417"/>
      <c r="E542" s="418"/>
      <c r="F542" s="416"/>
      <c r="G542" s="417"/>
      <c r="H542" s="417"/>
      <c r="I542" s="417"/>
      <c r="J542" s="417"/>
      <c r="K542" s="419"/>
      <c r="L542" s="133"/>
      <c r="M542" s="415" t="str">
        <f t="shared" si="8"/>
        <v/>
      </c>
    </row>
    <row r="543" spans="1:13" ht="14.45" customHeight="1" x14ac:dyDescent="0.2">
      <c r="A543" s="420"/>
      <c r="B543" s="416"/>
      <c r="C543" s="417"/>
      <c r="D543" s="417"/>
      <c r="E543" s="418"/>
      <c r="F543" s="416"/>
      <c r="G543" s="417"/>
      <c r="H543" s="417"/>
      <c r="I543" s="417"/>
      <c r="J543" s="417"/>
      <c r="K543" s="419"/>
      <c r="L543" s="133"/>
      <c r="M543" s="415" t="str">
        <f t="shared" si="8"/>
        <v/>
      </c>
    </row>
    <row r="544" spans="1:13" ht="14.45" customHeight="1" x14ac:dyDescent="0.2">
      <c r="A544" s="420"/>
      <c r="B544" s="416"/>
      <c r="C544" s="417"/>
      <c r="D544" s="417"/>
      <c r="E544" s="418"/>
      <c r="F544" s="416"/>
      <c r="G544" s="417"/>
      <c r="H544" s="417"/>
      <c r="I544" s="417"/>
      <c r="J544" s="417"/>
      <c r="K544" s="419"/>
      <c r="L544" s="133"/>
      <c r="M544" s="415" t="str">
        <f t="shared" si="8"/>
        <v/>
      </c>
    </row>
    <row r="545" spans="1:13" ht="14.45" customHeight="1" x14ac:dyDescent="0.2">
      <c r="A545" s="420"/>
      <c r="B545" s="416"/>
      <c r="C545" s="417"/>
      <c r="D545" s="417"/>
      <c r="E545" s="418"/>
      <c r="F545" s="416"/>
      <c r="G545" s="417"/>
      <c r="H545" s="417"/>
      <c r="I545" s="417"/>
      <c r="J545" s="417"/>
      <c r="K545" s="419"/>
      <c r="L545" s="133"/>
      <c r="M545" s="415" t="str">
        <f t="shared" si="8"/>
        <v/>
      </c>
    </row>
    <row r="546" spans="1:13" ht="14.45" customHeight="1" x14ac:dyDescent="0.2">
      <c r="A546" s="420"/>
      <c r="B546" s="416"/>
      <c r="C546" s="417"/>
      <c r="D546" s="417"/>
      <c r="E546" s="418"/>
      <c r="F546" s="416"/>
      <c r="G546" s="417"/>
      <c r="H546" s="417"/>
      <c r="I546" s="417"/>
      <c r="J546" s="417"/>
      <c r="K546" s="419"/>
      <c r="L546" s="133"/>
      <c r="M546" s="415" t="str">
        <f t="shared" si="8"/>
        <v/>
      </c>
    </row>
    <row r="547" spans="1:13" ht="14.45" customHeight="1" x14ac:dyDescent="0.2">
      <c r="A547" s="420"/>
      <c r="B547" s="416"/>
      <c r="C547" s="417"/>
      <c r="D547" s="417"/>
      <c r="E547" s="418"/>
      <c r="F547" s="416"/>
      <c r="G547" s="417"/>
      <c r="H547" s="417"/>
      <c r="I547" s="417"/>
      <c r="J547" s="417"/>
      <c r="K547" s="419"/>
      <c r="L547" s="133"/>
      <c r="M547" s="415" t="str">
        <f t="shared" si="8"/>
        <v/>
      </c>
    </row>
    <row r="548" spans="1:13" ht="14.45" customHeight="1" x14ac:dyDescent="0.2">
      <c r="A548" s="420"/>
      <c r="B548" s="416"/>
      <c r="C548" s="417"/>
      <c r="D548" s="417"/>
      <c r="E548" s="418"/>
      <c r="F548" s="416"/>
      <c r="G548" s="417"/>
      <c r="H548" s="417"/>
      <c r="I548" s="417"/>
      <c r="J548" s="417"/>
      <c r="K548" s="419"/>
      <c r="L548" s="133"/>
      <c r="M548" s="415" t="str">
        <f t="shared" si="8"/>
        <v/>
      </c>
    </row>
    <row r="549" spans="1:13" ht="14.45" customHeight="1" x14ac:dyDescent="0.2">
      <c r="A549" s="420"/>
      <c r="B549" s="416"/>
      <c r="C549" s="417"/>
      <c r="D549" s="417"/>
      <c r="E549" s="418"/>
      <c r="F549" s="416"/>
      <c r="G549" s="417"/>
      <c r="H549" s="417"/>
      <c r="I549" s="417"/>
      <c r="J549" s="417"/>
      <c r="K549" s="419"/>
      <c r="L549" s="133"/>
      <c r="M549" s="415" t="str">
        <f t="shared" si="8"/>
        <v/>
      </c>
    </row>
    <row r="550" spans="1:13" ht="14.45" customHeight="1" x14ac:dyDescent="0.2">
      <c r="A550" s="420"/>
      <c r="B550" s="416"/>
      <c r="C550" s="417"/>
      <c r="D550" s="417"/>
      <c r="E550" s="418"/>
      <c r="F550" s="416"/>
      <c r="G550" s="417"/>
      <c r="H550" s="417"/>
      <c r="I550" s="417"/>
      <c r="J550" s="417"/>
      <c r="K550" s="419"/>
      <c r="L550" s="133"/>
      <c r="M550" s="415" t="str">
        <f t="shared" si="8"/>
        <v/>
      </c>
    </row>
    <row r="551" spans="1:13" ht="14.45" customHeight="1" x14ac:dyDescent="0.2">
      <c r="A551" s="420"/>
      <c r="B551" s="416"/>
      <c r="C551" s="417"/>
      <c r="D551" s="417"/>
      <c r="E551" s="418"/>
      <c r="F551" s="416"/>
      <c r="G551" s="417"/>
      <c r="H551" s="417"/>
      <c r="I551" s="417"/>
      <c r="J551" s="417"/>
      <c r="K551" s="419"/>
      <c r="L551" s="133"/>
      <c r="M551" s="415" t="str">
        <f t="shared" si="8"/>
        <v/>
      </c>
    </row>
    <row r="552" spans="1:13" ht="14.45" customHeight="1" x14ac:dyDescent="0.2">
      <c r="A552" s="420"/>
      <c r="B552" s="416"/>
      <c r="C552" s="417"/>
      <c r="D552" s="417"/>
      <c r="E552" s="418"/>
      <c r="F552" s="416"/>
      <c r="G552" s="417"/>
      <c r="H552" s="417"/>
      <c r="I552" s="417"/>
      <c r="J552" s="417"/>
      <c r="K552" s="419"/>
      <c r="L552" s="133"/>
      <c r="M552" s="415" t="str">
        <f t="shared" si="8"/>
        <v/>
      </c>
    </row>
    <row r="553" spans="1:13" ht="14.45" customHeight="1" x14ac:dyDescent="0.2">
      <c r="A553" s="420"/>
      <c r="B553" s="416"/>
      <c r="C553" s="417"/>
      <c r="D553" s="417"/>
      <c r="E553" s="418"/>
      <c r="F553" s="416"/>
      <c r="G553" s="417"/>
      <c r="H553" s="417"/>
      <c r="I553" s="417"/>
      <c r="J553" s="417"/>
      <c r="K553" s="419"/>
      <c r="L553" s="133"/>
      <c r="M553" s="415" t="str">
        <f t="shared" si="8"/>
        <v/>
      </c>
    </row>
    <row r="554" spans="1:13" ht="14.45" customHeight="1" x14ac:dyDescent="0.2">
      <c r="A554" s="420"/>
      <c r="B554" s="416"/>
      <c r="C554" s="417"/>
      <c r="D554" s="417"/>
      <c r="E554" s="418"/>
      <c r="F554" s="416"/>
      <c r="G554" s="417"/>
      <c r="H554" s="417"/>
      <c r="I554" s="417"/>
      <c r="J554" s="417"/>
      <c r="K554" s="419"/>
      <c r="L554" s="133"/>
      <c r="M554" s="415" t="str">
        <f t="shared" si="8"/>
        <v/>
      </c>
    </row>
    <row r="555" spans="1:13" ht="14.45" customHeight="1" x14ac:dyDescent="0.2">
      <c r="A555" s="420"/>
      <c r="B555" s="416"/>
      <c r="C555" s="417"/>
      <c r="D555" s="417"/>
      <c r="E555" s="418"/>
      <c r="F555" s="416"/>
      <c r="G555" s="417"/>
      <c r="H555" s="417"/>
      <c r="I555" s="417"/>
      <c r="J555" s="417"/>
      <c r="K555" s="419"/>
      <c r="L555" s="133"/>
      <c r="M555" s="415" t="str">
        <f t="shared" si="8"/>
        <v/>
      </c>
    </row>
    <row r="556" spans="1:13" ht="14.45" customHeight="1" x14ac:dyDescent="0.2">
      <c r="A556" s="420"/>
      <c r="B556" s="416"/>
      <c r="C556" s="417"/>
      <c r="D556" s="417"/>
      <c r="E556" s="418"/>
      <c r="F556" s="416"/>
      <c r="G556" s="417"/>
      <c r="H556" s="417"/>
      <c r="I556" s="417"/>
      <c r="J556" s="417"/>
      <c r="K556" s="419"/>
      <c r="L556" s="133"/>
      <c r="M556" s="415" t="str">
        <f t="shared" si="8"/>
        <v/>
      </c>
    </row>
    <row r="557" spans="1:13" ht="14.45" customHeight="1" x14ac:dyDescent="0.2">
      <c r="A557" s="420"/>
      <c r="B557" s="416"/>
      <c r="C557" s="417"/>
      <c r="D557" s="417"/>
      <c r="E557" s="418"/>
      <c r="F557" s="416"/>
      <c r="G557" s="417"/>
      <c r="H557" s="417"/>
      <c r="I557" s="417"/>
      <c r="J557" s="417"/>
      <c r="K557" s="419"/>
      <c r="L557" s="133"/>
      <c r="M557" s="415" t="str">
        <f t="shared" si="8"/>
        <v/>
      </c>
    </row>
    <row r="558" spans="1:13" ht="14.45" customHeight="1" x14ac:dyDescent="0.2">
      <c r="A558" s="420"/>
      <c r="B558" s="416"/>
      <c r="C558" s="417"/>
      <c r="D558" s="417"/>
      <c r="E558" s="418"/>
      <c r="F558" s="416"/>
      <c r="G558" s="417"/>
      <c r="H558" s="417"/>
      <c r="I558" s="417"/>
      <c r="J558" s="417"/>
      <c r="K558" s="419"/>
      <c r="L558" s="133"/>
      <c r="M558" s="415" t="str">
        <f t="shared" si="8"/>
        <v/>
      </c>
    </row>
    <row r="559" spans="1:13" ht="14.45" customHeight="1" x14ac:dyDescent="0.2">
      <c r="A559" s="420"/>
      <c r="B559" s="416"/>
      <c r="C559" s="417"/>
      <c r="D559" s="417"/>
      <c r="E559" s="418"/>
      <c r="F559" s="416"/>
      <c r="G559" s="417"/>
      <c r="H559" s="417"/>
      <c r="I559" s="417"/>
      <c r="J559" s="417"/>
      <c r="K559" s="419"/>
      <c r="L559" s="133"/>
      <c r="M559" s="415" t="str">
        <f t="shared" si="8"/>
        <v/>
      </c>
    </row>
    <row r="560" spans="1:13" ht="14.45" customHeight="1" x14ac:dyDescent="0.2">
      <c r="A560" s="420"/>
      <c r="B560" s="416"/>
      <c r="C560" s="417"/>
      <c r="D560" s="417"/>
      <c r="E560" s="418"/>
      <c r="F560" s="416"/>
      <c r="G560" s="417"/>
      <c r="H560" s="417"/>
      <c r="I560" s="417"/>
      <c r="J560" s="417"/>
      <c r="K560" s="419"/>
      <c r="L560" s="133"/>
      <c r="M560" s="415" t="str">
        <f t="shared" si="8"/>
        <v/>
      </c>
    </row>
    <row r="561" spans="1:13" ht="14.45" customHeight="1" x14ac:dyDescent="0.2">
      <c r="A561" s="420"/>
      <c r="B561" s="416"/>
      <c r="C561" s="417"/>
      <c r="D561" s="417"/>
      <c r="E561" s="418"/>
      <c r="F561" s="416"/>
      <c r="G561" s="417"/>
      <c r="H561" s="417"/>
      <c r="I561" s="417"/>
      <c r="J561" s="417"/>
      <c r="K561" s="419"/>
      <c r="L561" s="133"/>
      <c r="M561" s="415" t="str">
        <f t="shared" si="8"/>
        <v/>
      </c>
    </row>
    <row r="562" spans="1:13" ht="14.45" customHeight="1" x14ac:dyDescent="0.2">
      <c r="A562" s="420"/>
      <c r="B562" s="416"/>
      <c r="C562" s="417"/>
      <c r="D562" s="417"/>
      <c r="E562" s="418"/>
      <c r="F562" s="416"/>
      <c r="G562" s="417"/>
      <c r="H562" s="417"/>
      <c r="I562" s="417"/>
      <c r="J562" s="417"/>
      <c r="K562" s="419"/>
      <c r="L562" s="133"/>
      <c r="M562" s="415" t="str">
        <f t="shared" si="8"/>
        <v/>
      </c>
    </row>
    <row r="563" spans="1:13" ht="14.45" customHeight="1" x14ac:dyDescent="0.2">
      <c r="A563" s="420"/>
      <c r="B563" s="416"/>
      <c r="C563" s="417"/>
      <c r="D563" s="417"/>
      <c r="E563" s="418"/>
      <c r="F563" s="416"/>
      <c r="G563" s="417"/>
      <c r="H563" s="417"/>
      <c r="I563" s="417"/>
      <c r="J563" s="417"/>
      <c r="K563" s="419"/>
      <c r="L563" s="133"/>
      <c r="M563" s="415" t="str">
        <f t="shared" si="8"/>
        <v/>
      </c>
    </row>
    <row r="564" spans="1:13" ht="14.45" customHeight="1" x14ac:dyDescent="0.2">
      <c r="A564" s="420"/>
      <c r="B564" s="416"/>
      <c r="C564" s="417"/>
      <c r="D564" s="417"/>
      <c r="E564" s="418"/>
      <c r="F564" s="416"/>
      <c r="G564" s="417"/>
      <c r="H564" s="417"/>
      <c r="I564" s="417"/>
      <c r="J564" s="417"/>
      <c r="K564" s="419"/>
      <c r="L564" s="133"/>
      <c r="M564" s="415" t="str">
        <f t="shared" si="8"/>
        <v/>
      </c>
    </row>
    <row r="565" spans="1:13" ht="14.45" customHeight="1" x14ac:dyDescent="0.2">
      <c r="A565" s="420"/>
      <c r="B565" s="416"/>
      <c r="C565" s="417"/>
      <c r="D565" s="417"/>
      <c r="E565" s="418"/>
      <c r="F565" s="416"/>
      <c r="G565" s="417"/>
      <c r="H565" s="417"/>
      <c r="I565" s="417"/>
      <c r="J565" s="417"/>
      <c r="K565" s="419"/>
      <c r="L565" s="133"/>
      <c r="M565" s="415" t="str">
        <f t="shared" si="8"/>
        <v/>
      </c>
    </row>
    <row r="566" spans="1:13" ht="14.45" customHeight="1" x14ac:dyDescent="0.2">
      <c r="A566" s="420"/>
      <c r="B566" s="416"/>
      <c r="C566" s="417"/>
      <c r="D566" s="417"/>
      <c r="E566" s="418"/>
      <c r="F566" s="416"/>
      <c r="G566" s="417"/>
      <c r="H566" s="417"/>
      <c r="I566" s="417"/>
      <c r="J566" s="417"/>
      <c r="K566" s="419"/>
      <c r="L566" s="133"/>
      <c r="M566" s="415" t="str">
        <f t="shared" si="8"/>
        <v/>
      </c>
    </row>
    <row r="567" spans="1:13" ht="14.45" customHeight="1" x14ac:dyDescent="0.2">
      <c r="A567" s="420"/>
      <c r="B567" s="416"/>
      <c r="C567" s="417"/>
      <c r="D567" s="417"/>
      <c r="E567" s="418"/>
      <c r="F567" s="416"/>
      <c r="G567" s="417"/>
      <c r="H567" s="417"/>
      <c r="I567" s="417"/>
      <c r="J567" s="417"/>
      <c r="K567" s="419"/>
      <c r="L567" s="133"/>
      <c r="M567" s="415" t="str">
        <f t="shared" si="8"/>
        <v/>
      </c>
    </row>
    <row r="568" spans="1:13" ht="14.45" customHeight="1" x14ac:dyDescent="0.2">
      <c r="A568" s="420"/>
      <c r="B568" s="416"/>
      <c r="C568" s="417"/>
      <c r="D568" s="417"/>
      <c r="E568" s="418"/>
      <c r="F568" s="416"/>
      <c r="G568" s="417"/>
      <c r="H568" s="417"/>
      <c r="I568" s="417"/>
      <c r="J568" s="417"/>
      <c r="K568" s="419"/>
      <c r="L568" s="133"/>
      <c r="M568" s="415" t="str">
        <f t="shared" si="8"/>
        <v/>
      </c>
    </row>
    <row r="569" spans="1:13" ht="14.45" customHeight="1" x14ac:dyDescent="0.2">
      <c r="A569" s="420"/>
      <c r="B569" s="416"/>
      <c r="C569" s="417"/>
      <c r="D569" s="417"/>
      <c r="E569" s="418"/>
      <c r="F569" s="416"/>
      <c r="G569" s="417"/>
      <c r="H569" s="417"/>
      <c r="I569" s="417"/>
      <c r="J569" s="417"/>
      <c r="K569" s="419"/>
      <c r="L569" s="133"/>
      <c r="M569" s="415" t="str">
        <f t="shared" si="8"/>
        <v/>
      </c>
    </row>
    <row r="570" spans="1:13" ht="14.45" customHeight="1" x14ac:dyDescent="0.2">
      <c r="A570" s="420"/>
      <c r="B570" s="416"/>
      <c r="C570" s="417"/>
      <c r="D570" s="417"/>
      <c r="E570" s="418"/>
      <c r="F570" s="416"/>
      <c r="G570" s="417"/>
      <c r="H570" s="417"/>
      <c r="I570" s="417"/>
      <c r="J570" s="417"/>
      <c r="K570" s="419"/>
      <c r="L570" s="133"/>
      <c r="M570" s="415" t="str">
        <f t="shared" si="8"/>
        <v/>
      </c>
    </row>
    <row r="571" spans="1:13" ht="14.45" customHeight="1" x14ac:dyDescent="0.2">
      <c r="A571" s="420"/>
      <c r="B571" s="416"/>
      <c r="C571" s="417"/>
      <c r="D571" s="417"/>
      <c r="E571" s="418"/>
      <c r="F571" s="416"/>
      <c r="G571" s="417"/>
      <c r="H571" s="417"/>
      <c r="I571" s="417"/>
      <c r="J571" s="417"/>
      <c r="K571" s="419"/>
      <c r="L571" s="133"/>
      <c r="M571" s="415" t="str">
        <f t="shared" si="8"/>
        <v/>
      </c>
    </row>
    <row r="572" spans="1:13" ht="14.45" customHeight="1" x14ac:dyDescent="0.2">
      <c r="A572" s="420"/>
      <c r="B572" s="416"/>
      <c r="C572" s="417"/>
      <c r="D572" s="417"/>
      <c r="E572" s="418"/>
      <c r="F572" s="416"/>
      <c r="G572" s="417"/>
      <c r="H572" s="417"/>
      <c r="I572" s="417"/>
      <c r="J572" s="417"/>
      <c r="K572" s="419"/>
      <c r="L572" s="133"/>
      <c r="M572" s="415" t="str">
        <f t="shared" si="8"/>
        <v/>
      </c>
    </row>
    <row r="573" spans="1:13" ht="14.45" customHeight="1" x14ac:dyDescent="0.2">
      <c r="A573" s="420"/>
      <c r="B573" s="416"/>
      <c r="C573" s="417"/>
      <c r="D573" s="417"/>
      <c r="E573" s="418"/>
      <c r="F573" s="416"/>
      <c r="G573" s="417"/>
      <c r="H573" s="417"/>
      <c r="I573" s="417"/>
      <c r="J573" s="417"/>
      <c r="K573" s="419"/>
      <c r="L573" s="133"/>
      <c r="M573" s="415" t="str">
        <f t="shared" si="8"/>
        <v/>
      </c>
    </row>
    <row r="574" spans="1:13" ht="14.45" customHeight="1" x14ac:dyDescent="0.2">
      <c r="A574" s="420"/>
      <c r="B574" s="416"/>
      <c r="C574" s="417"/>
      <c r="D574" s="417"/>
      <c r="E574" s="418"/>
      <c r="F574" s="416"/>
      <c r="G574" s="417"/>
      <c r="H574" s="417"/>
      <c r="I574" s="417"/>
      <c r="J574" s="417"/>
      <c r="K574" s="419"/>
      <c r="L574" s="133"/>
      <c r="M574" s="415" t="str">
        <f t="shared" si="8"/>
        <v/>
      </c>
    </row>
    <row r="575" spans="1:13" ht="14.45" customHeight="1" x14ac:dyDescent="0.2">
      <c r="A575" s="420"/>
      <c r="B575" s="416"/>
      <c r="C575" s="417"/>
      <c r="D575" s="417"/>
      <c r="E575" s="418"/>
      <c r="F575" s="416"/>
      <c r="G575" s="417"/>
      <c r="H575" s="417"/>
      <c r="I575" s="417"/>
      <c r="J575" s="417"/>
      <c r="K575" s="419"/>
      <c r="L575" s="133"/>
      <c r="M575" s="415" t="str">
        <f t="shared" si="8"/>
        <v/>
      </c>
    </row>
    <row r="576" spans="1:13" ht="14.45" customHeight="1" x14ac:dyDescent="0.2">
      <c r="A576" s="420"/>
      <c r="B576" s="416"/>
      <c r="C576" s="417"/>
      <c r="D576" s="417"/>
      <c r="E576" s="418"/>
      <c r="F576" s="416"/>
      <c r="G576" s="417"/>
      <c r="H576" s="417"/>
      <c r="I576" s="417"/>
      <c r="J576" s="417"/>
      <c r="K576" s="419"/>
      <c r="L576" s="133"/>
      <c r="M576" s="415" t="str">
        <f t="shared" si="8"/>
        <v/>
      </c>
    </row>
    <row r="577" spans="1:13" ht="14.45" customHeight="1" x14ac:dyDescent="0.2">
      <c r="A577" s="420"/>
      <c r="B577" s="416"/>
      <c r="C577" s="417"/>
      <c r="D577" s="417"/>
      <c r="E577" s="418"/>
      <c r="F577" s="416"/>
      <c r="G577" s="417"/>
      <c r="H577" s="417"/>
      <c r="I577" s="417"/>
      <c r="J577" s="417"/>
      <c r="K577" s="419"/>
      <c r="L577" s="133"/>
      <c r="M577" s="415" t="str">
        <f t="shared" si="8"/>
        <v/>
      </c>
    </row>
    <row r="578" spans="1:13" ht="14.45" customHeight="1" x14ac:dyDescent="0.2">
      <c r="A578" s="420"/>
      <c r="B578" s="416"/>
      <c r="C578" s="417"/>
      <c r="D578" s="417"/>
      <c r="E578" s="418"/>
      <c r="F578" s="416"/>
      <c r="G578" s="417"/>
      <c r="H578" s="417"/>
      <c r="I578" s="417"/>
      <c r="J578" s="417"/>
      <c r="K578" s="419"/>
      <c r="L578" s="133"/>
      <c r="M578" s="415" t="str">
        <f t="shared" si="8"/>
        <v/>
      </c>
    </row>
    <row r="579" spans="1:13" ht="14.45" customHeight="1" x14ac:dyDescent="0.2">
      <c r="A579" s="420"/>
      <c r="B579" s="416"/>
      <c r="C579" s="417"/>
      <c r="D579" s="417"/>
      <c r="E579" s="418"/>
      <c r="F579" s="416"/>
      <c r="G579" s="417"/>
      <c r="H579" s="417"/>
      <c r="I579" s="417"/>
      <c r="J579" s="417"/>
      <c r="K579" s="419"/>
      <c r="L579" s="133"/>
      <c r="M579" s="415" t="str">
        <f t="shared" si="8"/>
        <v/>
      </c>
    </row>
    <row r="580" spans="1:13" ht="14.45" customHeight="1" x14ac:dyDescent="0.2">
      <c r="A580" s="420"/>
      <c r="B580" s="416"/>
      <c r="C580" s="417"/>
      <c r="D580" s="417"/>
      <c r="E580" s="418"/>
      <c r="F580" s="416"/>
      <c r="G580" s="417"/>
      <c r="H580" s="417"/>
      <c r="I580" s="417"/>
      <c r="J580" s="417"/>
      <c r="K580" s="419"/>
      <c r="L580" s="133"/>
      <c r="M580" s="415" t="str">
        <f t="shared" si="8"/>
        <v/>
      </c>
    </row>
    <row r="581" spans="1:13" ht="14.45" customHeight="1" x14ac:dyDescent="0.2">
      <c r="A581" s="420"/>
      <c r="B581" s="416"/>
      <c r="C581" s="417"/>
      <c r="D581" s="417"/>
      <c r="E581" s="418"/>
      <c r="F581" s="416"/>
      <c r="G581" s="417"/>
      <c r="H581" s="417"/>
      <c r="I581" s="417"/>
      <c r="J581" s="417"/>
      <c r="K581" s="419"/>
      <c r="L581" s="133"/>
      <c r="M581" s="415" t="str">
        <f t="shared" si="8"/>
        <v/>
      </c>
    </row>
    <row r="582" spans="1:13" ht="14.45" customHeight="1" x14ac:dyDescent="0.2">
      <c r="A582" s="420"/>
      <c r="B582" s="416"/>
      <c r="C582" s="417"/>
      <c r="D582" s="417"/>
      <c r="E582" s="418"/>
      <c r="F582" s="416"/>
      <c r="G582" s="417"/>
      <c r="H582" s="417"/>
      <c r="I582" s="417"/>
      <c r="J582" s="417"/>
      <c r="K582" s="419"/>
      <c r="L582" s="133"/>
      <c r="M582" s="415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420"/>
      <c r="B583" s="416"/>
      <c r="C583" s="417"/>
      <c r="D583" s="417"/>
      <c r="E583" s="418"/>
      <c r="F583" s="416"/>
      <c r="G583" s="417"/>
      <c r="H583" s="417"/>
      <c r="I583" s="417"/>
      <c r="J583" s="417"/>
      <c r="K583" s="419"/>
      <c r="L583" s="133"/>
      <c r="M583" s="415" t="str">
        <f t="shared" si="9"/>
        <v/>
      </c>
    </row>
    <row r="584" spans="1:13" ht="14.45" customHeight="1" x14ac:dyDescent="0.2">
      <c r="A584" s="420"/>
      <c r="B584" s="416"/>
      <c r="C584" s="417"/>
      <c r="D584" s="417"/>
      <c r="E584" s="418"/>
      <c r="F584" s="416"/>
      <c r="G584" s="417"/>
      <c r="H584" s="417"/>
      <c r="I584" s="417"/>
      <c r="J584" s="417"/>
      <c r="K584" s="419"/>
      <c r="L584" s="133"/>
      <c r="M584" s="415" t="str">
        <f t="shared" si="9"/>
        <v/>
      </c>
    </row>
    <row r="585" spans="1:13" ht="14.45" customHeight="1" x14ac:dyDescent="0.2">
      <c r="A585" s="420"/>
      <c r="B585" s="416"/>
      <c r="C585" s="417"/>
      <c r="D585" s="417"/>
      <c r="E585" s="418"/>
      <c r="F585" s="416"/>
      <c r="G585" s="417"/>
      <c r="H585" s="417"/>
      <c r="I585" s="417"/>
      <c r="J585" s="417"/>
      <c r="K585" s="419"/>
      <c r="L585" s="133"/>
      <c r="M585" s="415" t="str">
        <f t="shared" si="9"/>
        <v/>
      </c>
    </row>
    <row r="586" spans="1:13" ht="14.45" customHeight="1" x14ac:dyDescent="0.2">
      <c r="A586" s="420"/>
      <c r="B586" s="416"/>
      <c r="C586" s="417"/>
      <c r="D586" s="417"/>
      <c r="E586" s="418"/>
      <c r="F586" s="416"/>
      <c r="G586" s="417"/>
      <c r="H586" s="417"/>
      <c r="I586" s="417"/>
      <c r="J586" s="417"/>
      <c r="K586" s="419"/>
      <c r="L586" s="133"/>
      <c r="M586" s="415" t="str">
        <f t="shared" si="9"/>
        <v/>
      </c>
    </row>
    <row r="587" spans="1:13" ht="14.45" customHeight="1" x14ac:dyDescent="0.2">
      <c r="A587" s="420"/>
      <c r="B587" s="416"/>
      <c r="C587" s="417"/>
      <c r="D587" s="417"/>
      <c r="E587" s="418"/>
      <c r="F587" s="416"/>
      <c r="G587" s="417"/>
      <c r="H587" s="417"/>
      <c r="I587" s="417"/>
      <c r="J587" s="417"/>
      <c r="K587" s="419"/>
      <c r="L587" s="133"/>
      <c r="M587" s="415" t="str">
        <f t="shared" si="9"/>
        <v/>
      </c>
    </row>
    <row r="588" spans="1:13" ht="14.45" customHeight="1" x14ac:dyDescent="0.2">
      <c r="A588" s="420"/>
      <c r="B588" s="416"/>
      <c r="C588" s="417"/>
      <c r="D588" s="417"/>
      <c r="E588" s="418"/>
      <c r="F588" s="416"/>
      <c r="G588" s="417"/>
      <c r="H588" s="417"/>
      <c r="I588" s="417"/>
      <c r="J588" s="417"/>
      <c r="K588" s="419"/>
      <c r="L588" s="133"/>
      <c r="M588" s="415" t="str">
        <f t="shared" si="9"/>
        <v/>
      </c>
    </row>
    <row r="589" spans="1:13" ht="14.45" customHeight="1" x14ac:dyDescent="0.2">
      <c r="A589" s="420"/>
      <c r="B589" s="416"/>
      <c r="C589" s="417"/>
      <c r="D589" s="417"/>
      <c r="E589" s="418"/>
      <c r="F589" s="416"/>
      <c r="G589" s="417"/>
      <c r="H589" s="417"/>
      <c r="I589" s="417"/>
      <c r="J589" s="417"/>
      <c r="K589" s="419"/>
      <c r="L589" s="133"/>
      <c r="M589" s="415" t="str">
        <f t="shared" si="9"/>
        <v/>
      </c>
    </row>
    <row r="590" spans="1:13" ht="14.45" customHeight="1" x14ac:dyDescent="0.2">
      <c r="A590" s="420"/>
      <c r="B590" s="416"/>
      <c r="C590" s="417"/>
      <c r="D590" s="417"/>
      <c r="E590" s="418"/>
      <c r="F590" s="416"/>
      <c r="G590" s="417"/>
      <c r="H590" s="417"/>
      <c r="I590" s="417"/>
      <c r="J590" s="417"/>
      <c r="K590" s="419"/>
      <c r="L590" s="133"/>
      <c r="M590" s="415" t="str">
        <f t="shared" si="9"/>
        <v/>
      </c>
    </row>
    <row r="591" spans="1:13" ht="14.45" customHeight="1" x14ac:dyDescent="0.2">
      <c r="A591" s="420"/>
      <c r="B591" s="416"/>
      <c r="C591" s="417"/>
      <c r="D591" s="417"/>
      <c r="E591" s="418"/>
      <c r="F591" s="416"/>
      <c r="G591" s="417"/>
      <c r="H591" s="417"/>
      <c r="I591" s="417"/>
      <c r="J591" s="417"/>
      <c r="K591" s="419"/>
      <c r="L591" s="133"/>
      <c r="M591" s="415" t="str">
        <f t="shared" si="9"/>
        <v/>
      </c>
    </row>
    <row r="592" spans="1:13" ht="14.45" customHeight="1" x14ac:dyDescent="0.2">
      <c r="A592" s="420"/>
      <c r="B592" s="416"/>
      <c r="C592" s="417"/>
      <c r="D592" s="417"/>
      <c r="E592" s="418"/>
      <c r="F592" s="416"/>
      <c r="G592" s="417"/>
      <c r="H592" s="417"/>
      <c r="I592" s="417"/>
      <c r="J592" s="417"/>
      <c r="K592" s="419"/>
      <c r="L592" s="133"/>
      <c r="M592" s="415" t="str">
        <f t="shared" si="9"/>
        <v/>
      </c>
    </row>
    <row r="593" spans="1:13" ht="14.45" customHeight="1" x14ac:dyDescent="0.2">
      <c r="A593" s="420"/>
      <c r="B593" s="416"/>
      <c r="C593" s="417"/>
      <c r="D593" s="417"/>
      <c r="E593" s="418"/>
      <c r="F593" s="416"/>
      <c r="G593" s="417"/>
      <c r="H593" s="417"/>
      <c r="I593" s="417"/>
      <c r="J593" s="417"/>
      <c r="K593" s="419"/>
      <c r="L593" s="133"/>
      <c r="M593" s="415" t="str">
        <f t="shared" si="9"/>
        <v/>
      </c>
    </row>
    <row r="594" spans="1:13" ht="14.45" customHeight="1" x14ac:dyDescent="0.2">
      <c r="A594" s="420"/>
      <c r="B594" s="416"/>
      <c r="C594" s="417"/>
      <c r="D594" s="417"/>
      <c r="E594" s="418"/>
      <c r="F594" s="416"/>
      <c r="G594" s="417"/>
      <c r="H594" s="417"/>
      <c r="I594" s="417"/>
      <c r="J594" s="417"/>
      <c r="K594" s="419"/>
      <c r="L594" s="133"/>
      <c r="M594" s="415" t="str">
        <f t="shared" si="9"/>
        <v/>
      </c>
    </row>
    <row r="595" spans="1:13" ht="14.45" customHeight="1" x14ac:dyDescent="0.2">
      <c r="A595" s="420"/>
      <c r="B595" s="416"/>
      <c r="C595" s="417"/>
      <c r="D595" s="417"/>
      <c r="E595" s="418"/>
      <c r="F595" s="416"/>
      <c r="G595" s="417"/>
      <c r="H595" s="417"/>
      <c r="I595" s="417"/>
      <c r="J595" s="417"/>
      <c r="K595" s="419"/>
      <c r="L595" s="133"/>
      <c r="M595" s="415" t="str">
        <f t="shared" si="9"/>
        <v/>
      </c>
    </row>
    <row r="596" spans="1:13" ht="14.45" customHeight="1" x14ac:dyDescent="0.2">
      <c r="A596" s="420"/>
      <c r="B596" s="416"/>
      <c r="C596" s="417"/>
      <c r="D596" s="417"/>
      <c r="E596" s="418"/>
      <c r="F596" s="416"/>
      <c r="G596" s="417"/>
      <c r="H596" s="417"/>
      <c r="I596" s="417"/>
      <c r="J596" s="417"/>
      <c r="K596" s="419"/>
      <c r="L596" s="133"/>
      <c r="M596" s="415" t="str">
        <f t="shared" si="9"/>
        <v/>
      </c>
    </row>
    <row r="597" spans="1:13" ht="14.45" customHeight="1" x14ac:dyDescent="0.2">
      <c r="A597" s="420"/>
      <c r="B597" s="416"/>
      <c r="C597" s="417"/>
      <c r="D597" s="417"/>
      <c r="E597" s="418"/>
      <c r="F597" s="416"/>
      <c r="G597" s="417"/>
      <c r="H597" s="417"/>
      <c r="I597" s="417"/>
      <c r="J597" s="417"/>
      <c r="K597" s="419"/>
      <c r="L597" s="133"/>
      <c r="M597" s="415" t="str">
        <f t="shared" si="9"/>
        <v/>
      </c>
    </row>
    <row r="598" spans="1:13" ht="14.45" customHeight="1" x14ac:dyDescent="0.2">
      <c r="A598" s="420"/>
      <c r="B598" s="416"/>
      <c r="C598" s="417"/>
      <c r="D598" s="417"/>
      <c r="E598" s="418"/>
      <c r="F598" s="416"/>
      <c r="G598" s="417"/>
      <c r="H598" s="417"/>
      <c r="I598" s="417"/>
      <c r="J598" s="417"/>
      <c r="K598" s="419"/>
      <c r="L598" s="133"/>
      <c r="M598" s="415" t="str">
        <f t="shared" si="9"/>
        <v/>
      </c>
    </row>
    <row r="599" spans="1:13" ht="14.45" customHeight="1" x14ac:dyDescent="0.2">
      <c r="A599" s="420"/>
      <c r="B599" s="416"/>
      <c r="C599" s="417"/>
      <c r="D599" s="417"/>
      <c r="E599" s="418"/>
      <c r="F599" s="416"/>
      <c r="G599" s="417"/>
      <c r="H599" s="417"/>
      <c r="I599" s="417"/>
      <c r="J599" s="417"/>
      <c r="K599" s="419"/>
      <c r="L599" s="133"/>
      <c r="M599" s="415" t="str">
        <f t="shared" si="9"/>
        <v/>
      </c>
    </row>
    <row r="600" spans="1:13" ht="14.45" customHeight="1" x14ac:dyDescent="0.2">
      <c r="A600" s="420"/>
      <c r="B600" s="416"/>
      <c r="C600" s="417"/>
      <c r="D600" s="417"/>
      <c r="E600" s="418"/>
      <c r="F600" s="416"/>
      <c r="G600" s="417"/>
      <c r="H600" s="417"/>
      <c r="I600" s="417"/>
      <c r="J600" s="417"/>
      <c r="K600" s="419"/>
      <c r="L600" s="133"/>
      <c r="M600" s="415" t="str">
        <f t="shared" si="9"/>
        <v/>
      </c>
    </row>
    <row r="601" spans="1:13" ht="14.45" customHeight="1" x14ac:dyDescent="0.2">
      <c r="A601" s="420"/>
      <c r="B601" s="416"/>
      <c r="C601" s="417"/>
      <c r="D601" s="417"/>
      <c r="E601" s="418"/>
      <c r="F601" s="416"/>
      <c r="G601" s="417"/>
      <c r="H601" s="417"/>
      <c r="I601" s="417"/>
      <c r="J601" s="417"/>
      <c r="K601" s="419"/>
      <c r="L601" s="133"/>
      <c r="M601" s="415" t="str">
        <f t="shared" si="9"/>
        <v/>
      </c>
    </row>
    <row r="602" spans="1:13" ht="14.45" customHeight="1" x14ac:dyDescent="0.2">
      <c r="A602" s="420"/>
      <c r="B602" s="416"/>
      <c r="C602" s="417"/>
      <c r="D602" s="417"/>
      <c r="E602" s="418"/>
      <c r="F602" s="416"/>
      <c r="G602" s="417"/>
      <c r="H602" s="417"/>
      <c r="I602" s="417"/>
      <c r="J602" s="417"/>
      <c r="K602" s="419"/>
      <c r="L602" s="133"/>
      <c r="M602" s="415" t="str">
        <f t="shared" si="9"/>
        <v/>
      </c>
    </row>
    <row r="603" spans="1:13" ht="14.45" customHeight="1" x14ac:dyDescent="0.2">
      <c r="A603" s="420"/>
      <c r="B603" s="416"/>
      <c r="C603" s="417"/>
      <c r="D603" s="417"/>
      <c r="E603" s="418"/>
      <c r="F603" s="416"/>
      <c r="G603" s="417"/>
      <c r="H603" s="417"/>
      <c r="I603" s="417"/>
      <c r="J603" s="417"/>
      <c r="K603" s="419"/>
      <c r="L603" s="133"/>
      <c r="M603" s="415" t="str">
        <f t="shared" si="9"/>
        <v/>
      </c>
    </row>
    <row r="604" spans="1:13" ht="14.45" customHeight="1" x14ac:dyDescent="0.2">
      <c r="A604" s="420"/>
      <c r="B604" s="416"/>
      <c r="C604" s="417"/>
      <c r="D604" s="417"/>
      <c r="E604" s="418"/>
      <c r="F604" s="416"/>
      <c r="G604" s="417"/>
      <c r="H604" s="417"/>
      <c r="I604" s="417"/>
      <c r="J604" s="417"/>
      <c r="K604" s="419"/>
      <c r="L604" s="133"/>
      <c r="M604" s="415" t="str">
        <f t="shared" si="9"/>
        <v/>
      </c>
    </row>
    <row r="605" spans="1:13" ht="14.45" customHeight="1" x14ac:dyDescent="0.2">
      <c r="A605" s="420"/>
      <c r="B605" s="416"/>
      <c r="C605" s="417"/>
      <c r="D605" s="417"/>
      <c r="E605" s="418"/>
      <c r="F605" s="416"/>
      <c r="G605" s="417"/>
      <c r="H605" s="417"/>
      <c r="I605" s="417"/>
      <c r="J605" s="417"/>
      <c r="K605" s="419"/>
      <c r="L605" s="133"/>
      <c r="M605" s="415" t="str">
        <f t="shared" si="9"/>
        <v/>
      </c>
    </row>
    <row r="606" spans="1:13" ht="14.45" customHeight="1" x14ac:dyDescent="0.2">
      <c r="A606" s="420"/>
      <c r="B606" s="416"/>
      <c r="C606" s="417"/>
      <c r="D606" s="417"/>
      <c r="E606" s="418"/>
      <c r="F606" s="416"/>
      <c r="G606" s="417"/>
      <c r="H606" s="417"/>
      <c r="I606" s="417"/>
      <c r="J606" s="417"/>
      <c r="K606" s="419"/>
      <c r="L606" s="133"/>
      <c r="M606" s="415" t="str">
        <f t="shared" si="9"/>
        <v/>
      </c>
    </row>
    <row r="607" spans="1:13" ht="14.45" customHeight="1" x14ac:dyDescent="0.2">
      <c r="A607" s="420"/>
      <c r="B607" s="416"/>
      <c r="C607" s="417"/>
      <c r="D607" s="417"/>
      <c r="E607" s="418"/>
      <c r="F607" s="416"/>
      <c r="G607" s="417"/>
      <c r="H607" s="417"/>
      <c r="I607" s="417"/>
      <c r="J607" s="417"/>
      <c r="K607" s="419"/>
      <c r="L607" s="133"/>
      <c r="M607" s="415" t="str">
        <f t="shared" si="9"/>
        <v/>
      </c>
    </row>
    <row r="608" spans="1:13" ht="14.45" customHeight="1" x14ac:dyDescent="0.2">
      <c r="A608" s="420"/>
      <c r="B608" s="416"/>
      <c r="C608" s="417"/>
      <c r="D608" s="417"/>
      <c r="E608" s="418"/>
      <c r="F608" s="416"/>
      <c r="G608" s="417"/>
      <c r="H608" s="417"/>
      <c r="I608" s="417"/>
      <c r="J608" s="417"/>
      <c r="K608" s="419"/>
      <c r="L608" s="133"/>
      <c r="M608" s="415" t="str">
        <f t="shared" si="9"/>
        <v/>
      </c>
    </row>
    <row r="609" spans="1:13" ht="14.45" customHeight="1" x14ac:dyDescent="0.2">
      <c r="A609" s="420"/>
      <c r="B609" s="416"/>
      <c r="C609" s="417"/>
      <c r="D609" s="417"/>
      <c r="E609" s="418"/>
      <c r="F609" s="416"/>
      <c r="G609" s="417"/>
      <c r="H609" s="417"/>
      <c r="I609" s="417"/>
      <c r="J609" s="417"/>
      <c r="K609" s="419"/>
      <c r="L609" s="133"/>
      <c r="M609" s="415" t="str">
        <f t="shared" si="9"/>
        <v/>
      </c>
    </row>
    <row r="610" spans="1:13" ht="14.45" customHeight="1" x14ac:dyDescent="0.2">
      <c r="A610" s="420"/>
      <c r="B610" s="416"/>
      <c r="C610" s="417"/>
      <c r="D610" s="417"/>
      <c r="E610" s="418"/>
      <c r="F610" s="416"/>
      <c r="G610" s="417"/>
      <c r="H610" s="417"/>
      <c r="I610" s="417"/>
      <c r="J610" s="417"/>
      <c r="K610" s="419"/>
      <c r="L610" s="133"/>
      <c r="M610" s="415" t="str">
        <f t="shared" si="9"/>
        <v/>
      </c>
    </row>
    <row r="611" spans="1:13" ht="14.45" customHeight="1" x14ac:dyDescent="0.2">
      <c r="A611" s="420"/>
      <c r="B611" s="416"/>
      <c r="C611" s="417"/>
      <c r="D611" s="417"/>
      <c r="E611" s="418"/>
      <c r="F611" s="416"/>
      <c r="G611" s="417"/>
      <c r="H611" s="417"/>
      <c r="I611" s="417"/>
      <c r="J611" s="417"/>
      <c r="K611" s="419"/>
      <c r="L611" s="133"/>
      <c r="M611" s="415" t="str">
        <f t="shared" si="9"/>
        <v/>
      </c>
    </row>
    <row r="612" spans="1:13" ht="14.45" customHeight="1" x14ac:dyDescent="0.2">
      <c r="A612" s="420"/>
      <c r="B612" s="416"/>
      <c r="C612" s="417"/>
      <c r="D612" s="417"/>
      <c r="E612" s="418"/>
      <c r="F612" s="416"/>
      <c r="G612" s="417"/>
      <c r="H612" s="417"/>
      <c r="I612" s="417"/>
      <c r="J612" s="417"/>
      <c r="K612" s="419"/>
      <c r="L612" s="133"/>
      <c r="M612" s="415" t="str">
        <f t="shared" si="9"/>
        <v/>
      </c>
    </row>
    <row r="613" spans="1:13" ht="14.45" customHeight="1" x14ac:dyDescent="0.2">
      <c r="A613" s="420"/>
      <c r="B613" s="416"/>
      <c r="C613" s="417"/>
      <c r="D613" s="417"/>
      <c r="E613" s="418"/>
      <c r="F613" s="416"/>
      <c r="G613" s="417"/>
      <c r="H613" s="417"/>
      <c r="I613" s="417"/>
      <c r="J613" s="417"/>
      <c r="K613" s="419"/>
      <c r="L613" s="133"/>
      <c r="M613" s="415" t="str">
        <f t="shared" si="9"/>
        <v/>
      </c>
    </row>
    <row r="614" spans="1:13" ht="14.45" customHeight="1" x14ac:dyDescent="0.2">
      <c r="A614" s="420"/>
      <c r="B614" s="416"/>
      <c r="C614" s="417"/>
      <c r="D614" s="417"/>
      <c r="E614" s="418"/>
      <c r="F614" s="416"/>
      <c r="G614" s="417"/>
      <c r="H614" s="417"/>
      <c r="I614" s="417"/>
      <c r="J614" s="417"/>
      <c r="K614" s="419"/>
      <c r="L614" s="133"/>
      <c r="M614" s="415" t="str">
        <f t="shared" si="9"/>
        <v/>
      </c>
    </row>
    <row r="615" spans="1:13" ht="14.45" customHeight="1" x14ac:dyDescent="0.2">
      <c r="A615" s="420"/>
      <c r="B615" s="416"/>
      <c r="C615" s="417"/>
      <c r="D615" s="417"/>
      <c r="E615" s="418"/>
      <c r="F615" s="416"/>
      <c r="G615" s="417"/>
      <c r="H615" s="417"/>
      <c r="I615" s="417"/>
      <c r="J615" s="417"/>
      <c r="K615" s="419"/>
      <c r="L615" s="133"/>
      <c r="M615" s="415" t="str">
        <f t="shared" si="9"/>
        <v/>
      </c>
    </row>
    <row r="616" spans="1:13" ht="14.45" customHeight="1" x14ac:dyDescent="0.2">
      <c r="A616" s="420"/>
      <c r="B616" s="416"/>
      <c r="C616" s="417"/>
      <c r="D616" s="417"/>
      <c r="E616" s="418"/>
      <c r="F616" s="416"/>
      <c r="G616" s="417"/>
      <c r="H616" s="417"/>
      <c r="I616" s="417"/>
      <c r="J616" s="417"/>
      <c r="K616" s="419"/>
      <c r="L616" s="133"/>
      <c r="M616" s="415" t="str">
        <f t="shared" si="9"/>
        <v/>
      </c>
    </row>
    <row r="617" spans="1:13" ht="14.45" customHeight="1" x14ac:dyDescent="0.2">
      <c r="A617" s="420"/>
      <c r="B617" s="416"/>
      <c r="C617" s="417"/>
      <c r="D617" s="417"/>
      <c r="E617" s="418"/>
      <c r="F617" s="416"/>
      <c r="G617" s="417"/>
      <c r="H617" s="417"/>
      <c r="I617" s="417"/>
      <c r="J617" s="417"/>
      <c r="K617" s="419"/>
      <c r="L617" s="133"/>
      <c r="M617" s="415" t="str">
        <f t="shared" si="9"/>
        <v/>
      </c>
    </row>
    <row r="618" spans="1:13" ht="14.45" customHeight="1" x14ac:dyDescent="0.2">
      <c r="A618" s="420"/>
      <c r="B618" s="416"/>
      <c r="C618" s="417"/>
      <c r="D618" s="417"/>
      <c r="E618" s="418"/>
      <c r="F618" s="416"/>
      <c r="G618" s="417"/>
      <c r="H618" s="417"/>
      <c r="I618" s="417"/>
      <c r="J618" s="417"/>
      <c r="K618" s="419"/>
      <c r="L618" s="133"/>
      <c r="M618" s="415" t="str">
        <f t="shared" si="9"/>
        <v/>
      </c>
    </row>
    <row r="619" spans="1:13" ht="14.45" customHeight="1" x14ac:dyDescent="0.2">
      <c r="A619" s="420"/>
      <c r="B619" s="416"/>
      <c r="C619" s="417"/>
      <c r="D619" s="417"/>
      <c r="E619" s="418"/>
      <c r="F619" s="416"/>
      <c r="G619" s="417"/>
      <c r="H619" s="417"/>
      <c r="I619" s="417"/>
      <c r="J619" s="417"/>
      <c r="K619" s="419"/>
      <c r="L619" s="133"/>
      <c r="M619" s="415" t="str">
        <f t="shared" si="9"/>
        <v/>
      </c>
    </row>
    <row r="620" spans="1:13" ht="14.45" customHeight="1" x14ac:dyDescent="0.2">
      <c r="A620" s="420"/>
      <c r="B620" s="416"/>
      <c r="C620" s="417"/>
      <c r="D620" s="417"/>
      <c r="E620" s="418"/>
      <c r="F620" s="416"/>
      <c r="G620" s="417"/>
      <c r="H620" s="417"/>
      <c r="I620" s="417"/>
      <c r="J620" s="417"/>
      <c r="K620" s="419"/>
      <c r="L620" s="133"/>
      <c r="M620" s="415" t="str">
        <f t="shared" si="9"/>
        <v/>
      </c>
    </row>
    <row r="621" spans="1:13" ht="14.45" customHeight="1" x14ac:dyDescent="0.2">
      <c r="A621" s="420"/>
      <c r="B621" s="416"/>
      <c r="C621" s="417"/>
      <c r="D621" s="417"/>
      <c r="E621" s="418"/>
      <c r="F621" s="416"/>
      <c r="G621" s="417"/>
      <c r="H621" s="417"/>
      <c r="I621" s="417"/>
      <c r="J621" s="417"/>
      <c r="K621" s="419"/>
      <c r="L621" s="133"/>
      <c r="M621" s="415" t="str">
        <f t="shared" si="9"/>
        <v/>
      </c>
    </row>
    <row r="622" spans="1:13" ht="14.45" customHeight="1" x14ac:dyDescent="0.2">
      <c r="A622" s="420"/>
      <c r="B622" s="416"/>
      <c r="C622" s="417"/>
      <c r="D622" s="417"/>
      <c r="E622" s="418"/>
      <c r="F622" s="416"/>
      <c r="G622" s="417"/>
      <c r="H622" s="417"/>
      <c r="I622" s="417"/>
      <c r="J622" s="417"/>
      <c r="K622" s="419"/>
      <c r="L622" s="133"/>
      <c r="M622" s="415" t="str">
        <f t="shared" si="9"/>
        <v/>
      </c>
    </row>
    <row r="623" spans="1:13" ht="14.45" customHeight="1" x14ac:dyDescent="0.2">
      <c r="A623" s="420"/>
      <c r="B623" s="416"/>
      <c r="C623" s="417"/>
      <c r="D623" s="417"/>
      <c r="E623" s="418"/>
      <c r="F623" s="416"/>
      <c r="G623" s="417"/>
      <c r="H623" s="417"/>
      <c r="I623" s="417"/>
      <c r="J623" s="417"/>
      <c r="K623" s="419"/>
      <c r="L623" s="133"/>
      <c r="M623" s="415" t="str">
        <f t="shared" si="9"/>
        <v/>
      </c>
    </row>
    <row r="624" spans="1:13" ht="14.45" customHeight="1" x14ac:dyDescent="0.2">
      <c r="A624" s="420"/>
      <c r="B624" s="416"/>
      <c r="C624" s="417"/>
      <c r="D624" s="417"/>
      <c r="E624" s="418"/>
      <c r="F624" s="416"/>
      <c r="G624" s="417"/>
      <c r="H624" s="417"/>
      <c r="I624" s="417"/>
      <c r="J624" s="417"/>
      <c r="K624" s="419"/>
      <c r="L624" s="133"/>
      <c r="M624" s="415" t="str">
        <f t="shared" si="9"/>
        <v/>
      </c>
    </row>
    <row r="625" spans="1:13" ht="14.45" customHeight="1" x14ac:dyDescent="0.2">
      <c r="A625" s="420"/>
      <c r="B625" s="416"/>
      <c r="C625" s="417"/>
      <c r="D625" s="417"/>
      <c r="E625" s="418"/>
      <c r="F625" s="416"/>
      <c r="G625" s="417"/>
      <c r="H625" s="417"/>
      <c r="I625" s="417"/>
      <c r="J625" s="417"/>
      <c r="K625" s="419"/>
      <c r="L625" s="133"/>
      <c r="M625" s="415" t="str">
        <f t="shared" si="9"/>
        <v/>
      </c>
    </row>
    <row r="626" spans="1:13" ht="14.45" customHeight="1" x14ac:dyDescent="0.2">
      <c r="A626" s="420"/>
      <c r="B626" s="416"/>
      <c r="C626" s="417"/>
      <c r="D626" s="417"/>
      <c r="E626" s="418"/>
      <c r="F626" s="416"/>
      <c r="G626" s="417"/>
      <c r="H626" s="417"/>
      <c r="I626" s="417"/>
      <c r="J626" s="417"/>
      <c r="K626" s="419"/>
      <c r="L626" s="133"/>
      <c r="M626" s="415" t="str">
        <f t="shared" si="9"/>
        <v/>
      </c>
    </row>
    <row r="627" spans="1:13" ht="14.45" customHeight="1" x14ac:dyDescent="0.2">
      <c r="A627" s="420"/>
      <c r="B627" s="416"/>
      <c r="C627" s="417"/>
      <c r="D627" s="417"/>
      <c r="E627" s="418"/>
      <c r="F627" s="416"/>
      <c r="G627" s="417"/>
      <c r="H627" s="417"/>
      <c r="I627" s="417"/>
      <c r="J627" s="417"/>
      <c r="K627" s="419"/>
      <c r="L627" s="133"/>
      <c r="M627" s="415" t="str">
        <f t="shared" si="9"/>
        <v/>
      </c>
    </row>
    <row r="628" spans="1:13" ht="14.45" customHeight="1" x14ac:dyDescent="0.2">
      <c r="A628" s="420"/>
      <c r="B628" s="416"/>
      <c r="C628" s="417"/>
      <c r="D628" s="417"/>
      <c r="E628" s="418"/>
      <c r="F628" s="416"/>
      <c r="G628" s="417"/>
      <c r="H628" s="417"/>
      <c r="I628" s="417"/>
      <c r="J628" s="417"/>
      <c r="K628" s="419"/>
      <c r="L628" s="133"/>
      <c r="M628" s="415" t="str">
        <f t="shared" si="9"/>
        <v/>
      </c>
    </row>
    <row r="629" spans="1:13" ht="14.45" customHeight="1" x14ac:dyDescent="0.2">
      <c r="A629" s="420"/>
      <c r="B629" s="416"/>
      <c r="C629" s="417"/>
      <c r="D629" s="417"/>
      <c r="E629" s="418"/>
      <c r="F629" s="416"/>
      <c r="G629" s="417"/>
      <c r="H629" s="417"/>
      <c r="I629" s="417"/>
      <c r="J629" s="417"/>
      <c r="K629" s="419"/>
      <c r="L629" s="133"/>
      <c r="M629" s="415" t="str">
        <f t="shared" si="9"/>
        <v/>
      </c>
    </row>
    <row r="630" spans="1:13" ht="14.45" customHeight="1" x14ac:dyDescent="0.2">
      <c r="A630" s="420"/>
      <c r="B630" s="416"/>
      <c r="C630" s="417"/>
      <c r="D630" s="417"/>
      <c r="E630" s="418"/>
      <c r="F630" s="416"/>
      <c r="G630" s="417"/>
      <c r="H630" s="417"/>
      <c r="I630" s="417"/>
      <c r="J630" s="417"/>
      <c r="K630" s="419"/>
      <c r="L630" s="133"/>
      <c r="M630" s="415" t="str">
        <f t="shared" si="9"/>
        <v/>
      </c>
    </row>
    <row r="631" spans="1:13" ht="14.45" customHeight="1" x14ac:dyDescent="0.2">
      <c r="A631" s="420"/>
      <c r="B631" s="416"/>
      <c r="C631" s="417"/>
      <c r="D631" s="417"/>
      <c r="E631" s="418"/>
      <c r="F631" s="416"/>
      <c r="G631" s="417"/>
      <c r="H631" s="417"/>
      <c r="I631" s="417"/>
      <c r="J631" s="417"/>
      <c r="K631" s="419"/>
      <c r="L631" s="133"/>
      <c r="M631" s="415" t="str">
        <f t="shared" si="9"/>
        <v/>
      </c>
    </row>
    <row r="632" spans="1:13" ht="14.45" customHeight="1" x14ac:dyDescent="0.2">
      <c r="A632" s="420"/>
      <c r="B632" s="416"/>
      <c r="C632" s="417"/>
      <c r="D632" s="417"/>
      <c r="E632" s="418"/>
      <c r="F632" s="416"/>
      <c r="G632" s="417"/>
      <c r="H632" s="417"/>
      <c r="I632" s="417"/>
      <c r="J632" s="417"/>
      <c r="K632" s="419"/>
      <c r="L632" s="133"/>
      <c r="M632" s="415" t="str">
        <f t="shared" si="9"/>
        <v/>
      </c>
    </row>
    <row r="633" spans="1:13" ht="14.45" customHeight="1" x14ac:dyDescent="0.2">
      <c r="A633" s="420"/>
      <c r="B633" s="416"/>
      <c r="C633" s="417"/>
      <c r="D633" s="417"/>
      <c r="E633" s="418"/>
      <c r="F633" s="416"/>
      <c r="G633" s="417"/>
      <c r="H633" s="417"/>
      <c r="I633" s="417"/>
      <c r="J633" s="417"/>
      <c r="K633" s="419"/>
      <c r="L633" s="133"/>
      <c r="M633" s="415" t="str">
        <f t="shared" si="9"/>
        <v/>
      </c>
    </row>
    <row r="634" spans="1:13" ht="14.45" customHeight="1" x14ac:dyDescent="0.2">
      <c r="A634" s="420"/>
      <c r="B634" s="416"/>
      <c r="C634" s="417"/>
      <c r="D634" s="417"/>
      <c r="E634" s="418"/>
      <c r="F634" s="416"/>
      <c r="G634" s="417"/>
      <c r="H634" s="417"/>
      <c r="I634" s="417"/>
      <c r="J634" s="417"/>
      <c r="K634" s="419"/>
      <c r="L634" s="133"/>
      <c r="M634" s="415" t="str">
        <f t="shared" si="9"/>
        <v/>
      </c>
    </row>
    <row r="635" spans="1:13" ht="14.45" customHeight="1" x14ac:dyDescent="0.2">
      <c r="A635" s="420"/>
      <c r="B635" s="416"/>
      <c r="C635" s="417"/>
      <c r="D635" s="417"/>
      <c r="E635" s="418"/>
      <c r="F635" s="416"/>
      <c r="G635" s="417"/>
      <c r="H635" s="417"/>
      <c r="I635" s="417"/>
      <c r="J635" s="417"/>
      <c r="K635" s="419"/>
      <c r="L635" s="133"/>
      <c r="M635" s="415" t="str">
        <f t="shared" si="9"/>
        <v/>
      </c>
    </row>
    <row r="636" spans="1:13" ht="14.45" customHeight="1" x14ac:dyDescent="0.2">
      <c r="A636" s="420"/>
      <c r="B636" s="416"/>
      <c r="C636" s="417"/>
      <c r="D636" s="417"/>
      <c r="E636" s="418"/>
      <c r="F636" s="416"/>
      <c r="G636" s="417"/>
      <c r="H636" s="417"/>
      <c r="I636" s="417"/>
      <c r="J636" s="417"/>
      <c r="K636" s="419"/>
      <c r="L636" s="133"/>
      <c r="M636" s="415" t="str">
        <f t="shared" si="9"/>
        <v/>
      </c>
    </row>
    <row r="637" spans="1:13" ht="14.45" customHeight="1" x14ac:dyDescent="0.2">
      <c r="A637" s="420"/>
      <c r="B637" s="416"/>
      <c r="C637" s="417"/>
      <c r="D637" s="417"/>
      <c r="E637" s="418"/>
      <c r="F637" s="416"/>
      <c r="G637" s="417"/>
      <c r="H637" s="417"/>
      <c r="I637" s="417"/>
      <c r="J637" s="417"/>
      <c r="K637" s="419"/>
      <c r="L637" s="133"/>
      <c r="M637" s="415" t="str">
        <f t="shared" si="9"/>
        <v/>
      </c>
    </row>
    <row r="638" spans="1:13" ht="14.45" customHeight="1" x14ac:dyDescent="0.2">
      <c r="A638" s="420"/>
      <c r="B638" s="416"/>
      <c r="C638" s="417"/>
      <c r="D638" s="417"/>
      <c r="E638" s="418"/>
      <c r="F638" s="416"/>
      <c r="G638" s="417"/>
      <c r="H638" s="417"/>
      <c r="I638" s="417"/>
      <c r="J638" s="417"/>
      <c r="K638" s="419"/>
      <c r="L638" s="133"/>
      <c r="M638" s="415" t="str">
        <f t="shared" si="9"/>
        <v/>
      </c>
    </row>
    <row r="639" spans="1:13" ht="14.45" customHeight="1" x14ac:dyDescent="0.2">
      <c r="A639" s="420"/>
      <c r="B639" s="416"/>
      <c r="C639" s="417"/>
      <c r="D639" s="417"/>
      <c r="E639" s="418"/>
      <c r="F639" s="416"/>
      <c r="G639" s="417"/>
      <c r="H639" s="417"/>
      <c r="I639" s="417"/>
      <c r="J639" s="417"/>
      <c r="K639" s="419"/>
      <c r="L639" s="133"/>
      <c r="M639" s="415" t="str">
        <f t="shared" si="9"/>
        <v/>
      </c>
    </row>
    <row r="640" spans="1:13" ht="14.45" customHeight="1" x14ac:dyDescent="0.2">
      <c r="A640" s="420"/>
      <c r="B640" s="416"/>
      <c r="C640" s="417"/>
      <c r="D640" s="417"/>
      <c r="E640" s="418"/>
      <c r="F640" s="416"/>
      <c r="G640" s="417"/>
      <c r="H640" s="417"/>
      <c r="I640" s="417"/>
      <c r="J640" s="417"/>
      <c r="K640" s="419"/>
      <c r="L640" s="133"/>
      <c r="M640" s="415" t="str">
        <f t="shared" si="9"/>
        <v/>
      </c>
    </row>
    <row r="641" spans="1:13" ht="14.45" customHeight="1" x14ac:dyDescent="0.2">
      <c r="A641" s="420"/>
      <c r="B641" s="416"/>
      <c r="C641" s="417"/>
      <c r="D641" s="417"/>
      <c r="E641" s="418"/>
      <c r="F641" s="416"/>
      <c r="G641" s="417"/>
      <c r="H641" s="417"/>
      <c r="I641" s="417"/>
      <c r="J641" s="417"/>
      <c r="K641" s="419"/>
      <c r="L641" s="133"/>
      <c r="M641" s="415" t="str">
        <f t="shared" si="9"/>
        <v/>
      </c>
    </row>
    <row r="642" spans="1:13" ht="14.45" customHeight="1" x14ac:dyDescent="0.2">
      <c r="A642" s="420"/>
      <c r="B642" s="416"/>
      <c r="C642" s="417"/>
      <c r="D642" s="417"/>
      <c r="E642" s="418"/>
      <c r="F642" s="416"/>
      <c r="G642" s="417"/>
      <c r="H642" s="417"/>
      <c r="I642" s="417"/>
      <c r="J642" s="417"/>
      <c r="K642" s="419"/>
      <c r="L642" s="133"/>
      <c r="M642" s="415" t="str">
        <f t="shared" si="9"/>
        <v/>
      </c>
    </row>
    <row r="643" spans="1:13" ht="14.45" customHeight="1" x14ac:dyDescent="0.2">
      <c r="A643" s="420"/>
      <c r="B643" s="416"/>
      <c r="C643" s="417"/>
      <c r="D643" s="417"/>
      <c r="E643" s="418"/>
      <c r="F643" s="416"/>
      <c r="G643" s="417"/>
      <c r="H643" s="417"/>
      <c r="I643" s="417"/>
      <c r="J643" s="417"/>
      <c r="K643" s="419"/>
      <c r="L643" s="133"/>
      <c r="M643" s="415" t="str">
        <f t="shared" si="9"/>
        <v/>
      </c>
    </row>
    <row r="644" spans="1:13" ht="14.45" customHeight="1" x14ac:dyDescent="0.2">
      <c r="A644" s="420"/>
      <c r="B644" s="416"/>
      <c r="C644" s="417"/>
      <c r="D644" s="417"/>
      <c r="E644" s="418"/>
      <c r="F644" s="416"/>
      <c r="G644" s="417"/>
      <c r="H644" s="417"/>
      <c r="I644" s="417"/>
      <c r="J644" s="417"/>
      <c r="K644" s="419"/>
      <c r="L644" s="133"/>
      <c r="M644" s="415" t="str">
        <f t="shared" si="9"/>
        <v/>
      </c>
    </row>
    <row r="645" spans="1:13" ht="14.45" customHeight="1" x14ac:dyDescent="0.2">
      <c r="A645" s="420"/>
      <c r="B645" s="416"/>
      <c r="C645" s="417"/>
      <c r="D645" s="417"/>
      <c r="E645" s="418"/>
      <c r="F645" s="416"/>
      <c r="G645" s="417"/>
      <c r="H645" s="417"/>
      <c r="I645" s="417"/>
      <c r="J645" s="417"/>
      <c r="K645" s="419"/>
      <c r="L645" s="133"/>
      <c r="M645" s="415" t="str">
        <f t="shared" si="9"/>
        <v/>
      </c>
    </row>
    <row r="646" spans="1:13" ht="14.45" customHeight="1" x14ac:dyDescent="0.2">
      <c r="A646" s="420"/>
      <c r="B646" s="416"/>
      <c r="C646" s="417"/>
      <c r="D646" s="417"/>
      <c r="E646" s="418"/>
      <c r="F646" s="416"/>
      <c r="G646" s="417"/>
      <c r="H646" s="417"/>
      <c r="I646" s="417"/>
      <c r="J646" s="417"/>
      <c r="K646" s="419"/>
      <c r="L646" s="133"/>
      <c r="M646" s="415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420"/>
      <c r="B647" s="416"/>
      <c r="C647" s="417"/>
      <c r="D647" s="417"/>
      <c r="E647" s="418"/>
      <c r="F647" s="416"/>
      <c r="G647" s="417"/>
      <c r="H647" s="417"/>
      <c r="I647" s="417"/>
      <c r="J647" s="417"/>
      <c r="K647" s="419"/>
      <c r="L647" s="133"/>
      <c r="M647" s="415" t="str">
        <f t="shared" si="10"/>
        <v/>
      </c>
    </row>
    <row r="648" spans="1:13" ht="14.45" customHeight="1" x14ac:dyDescent="0.2">
      <c r="A648" s="420"/>
      <c r="B648" s="416"/>
      <c r="C648" s="417"/>
      <c r="D648" s="417"/>
      <c r="E648" s="418"/>
      <c r="F648" s="416"/>
      <c r="G648" s="417"/>
      <c r="H648" s="417"/>
      <c r="I648" s="417"/>
      <c r="J648" s="417"/>
      <c r="K648" s="419"/>
      <c r="L648" s="133"/>
      <c r="M648" s="415" t="str">
        <f t="shared" si="10"/>
        <v/>
      </c>
    </row>
    <row r="649" spans="1:13" ht="14.45" customHeight="1" x14ac:dyDescent="0.2">
      <c r="A649" s="420"/>
      <c r="B649" s="416"/>
      <c r="C649" s="417"/>
      <c r="D649" s="417"/>
      <c r="E649" s="418"/>
      <c r="F649" s="416"/>
      <c r="G649" s="417"/>
      <c r="H649" s="417"/>
      <c r="I649" s="417"/>
      <c r="J649" s="417"/>
      <c r="K649" s="419"/>
      <c r="L649" s="133"/>
      <c r="M649" s="415" t="str">
        <f t="shared" si="10"/>
        <v/>
      </c>
    </row>
    <row r="650" spans="1:13" ht="14.45" customHeight="1" x14ac:dyDescent="0.2">
      <c r="A650" s="420"/>
      <c r="B650" s="416"/>
      <c r="C650" s="417"/>
      <c r="D650" s="417"/>
      <c r="E650" s="418"/>
      <c r="F650" s="416"/>
      <c r="G650" s="417"/>
      <c r="H650" s="417"/>
      <c r="I650" s="417"/>
      <c r="J650" s="417"/>
      <c r="K650" s="419"/>
      <c r="L650" s="133"/>
      <c r="M650" s="415" t="str">
        <f t="shared" si="10"/>
        <v/>
      </c>
    </row>
    <row r="651" spans="1:13" ht="14.45" customHeight="1" x14ac:dyDescent="0.2">
      <c r="A651" s="420"/>
      <c r="B651" s="416"/>
      <c r="C651" s="417"/>
      <c r="D651" s="417"/>
      <c r="E651" s="418"/>
      <c r="F651" s="416"/>
      <c r="G651" s="417"/>
      <c r="H651" s="417"/>
      <c r="I651" s="417"/>
      <c r="J651" s="417"/>
      <c r="K651" s="419"/>
      <c r="L651" s="133"/>
      <c r="M651" s="415" t="str">
        <f t="shared" si="10"/>
        <v/>
      </c>
    </row>
    <row r="652" spans="1:13" ht="14.45" customHeight="1" x14ac:dyDescent="0.2">
      <c r="A652" s="420"/>
      <c r="B652" s="416"/>
      <c r="C652" s="417"/>
      <c r="D652" s="417"/>
      <c r="E652" s="418"/>
      <c r="F652" s="416"/>
      <c r="G652" s="417"/>
      <c r="H652" s="417"/>
      <c r="I652" s="417"/>
      <c r="J652" s="417"/>
      <c r="K652" s="419"/>
      <c r="L652" s="133"/>
      <c r="M652" s="415" t="str">
        <f t="shared" si="10"/>
        <v/>
      </c>
    </row>
    <row r="653" spans="1:13" ht="14.45" customHeight="1" x14ac:dyDescent="0.2">
      <c r="A653" s="420"/>
      <c r="B653" s="416"/>
      <c r="C653" s="417"/>
      <c r="D653" s="417"/>
      <c r="E653" s="418"/>
      <c r="F653" s="416"/>
      <c r="G653" s="417"/>
      <c r="H653" s="417"/>
      <c r="I653" s="417"/>
      <c r="J653" s="417"/>
      <c r="K653" s="419"/>
      <c r="L653" s="133"/>
      <c r="M653" s="415" t="str">
        <f t="shared" si="10"/>
        <v/>
      </c>
    </row>
    <row r="654" spans="1:13" ht="14.45" customHeight="1" x14ac:dyDescent="0.2">
      <c r="A654" s="420"/>
      <c r="B654" s="416"/>
      <c r="C654" s="417"/>
      <c r="D654" s="417"/>
      <c r="E654" s="418"/>
      <c r="F654" s="416"/>
      <c r="G654" s="417"/>
      <c r="H654" s="417"/>
      <c r="I654" s="417"/>
      <c r="J654" s="417"/>
      <c r="K654" s="419"/>
      <c r="L654" s="133"/>
      <c r="M654" s="415" t="str">
        <f t="shared" si="10"/>
        <v/>
      </c>
    </row>
    <row r="655" spans="1:13" ht="14.45" customHeight="1" x14ac:dyDescent="0.2">
      <c r="A655" s="420"/>
      <c r="B655" s="416"/>
      <c r="C655" s="417"/>
      <c r="D655" s="417"/>
      <c r="E655" s="418"/>
      <c r="F655" s="416"/>
      <c r="G655" s="417"/>
      <c r="H655" s="417"/>
      <c r="I655" s="417"/>
      <c r="J655" s="417"/>
      <c r="K655" s="419"/>
      <c r="L655" s="133"/>
      <c r="M655" s="415" t="str">
        <f t="shared" si="10"/>
        <v/>
      </c>
    </row>
    <row r="656" spans="1:13" ht="14.45" customHeight="1" x14ac:dyDescent="0.2">
      <c r="A656" s="420"/>
      <c r="B656" s="416"/>
      <c r="C656" s="417"/>
      <c r="D656" s="417"/>
      <c r="E656" s="418"/>
      <c r="F656" s="416"/>
      <c r="G656" s="417"/>
      <c r="H656" s="417"/>
      <c r="I656" s="417"/>
      <c r="J656" s="417"/>
      <c r="K656" s="419"/>
      <c r="L656" s="133"/>
      <c r="M656" s="415" t="str">
        <f t="shared" si="10"/>
        <v/>
      </c>
    </row>
    <row r="657" spans="1:13" ht="14.45" customHeight="1" x14ac:dyDescent="0.2">
      <c r="A657" s="420"/>
      <c r="B657" s="416"/>
      <c r="C657" s="417"/>
      <c r="D657" s="417"/>
      <c r="E657" s="418"/>
      <c r="F657" s="416"/>
      <c r="G657" s="417"/>
      <c r="H657" s="417"/>
      <c r="I657" s="417"/>
      <c r="J657" s="417"/>
      <c r="K657" s="419"/>
      <c r="L657" s="133"/>
      <c r="M657" s="415" t="str">
        <f t="shared" si="10"/>
        <v/>
      </c>
    </row>
    <row r="658" spans="1:13" ht="14.45" customHeight="1" x14ac:dyDescent="0.2">
      <c r="A658" s="420"/>
      <c r="B658" s="416"/>
      <c r="C658" s="417"/>
      <c r="D658" s="417"/>
      <c r="E658" s="418"/>
      <c r="F658" s="416"/>
      <c r="G658" s="417"/>
      <c r="H658" s="417"/>
      <c r="I658" s="417"/>
      <c r="J658" s="417"/>
      <c r="K658" s="419"/>
      <c r="L658" s="133"/>
      <c r="M658" s="415" t="str">
        <f t="shared" si="10"/>
        <v/>
      </c>
    </row>
    <row r="659" spans="1:13" ht="14.45" customHeight="1" x14ac:dyDescent="0.2">
      <c r="A659" s="420"/>
      <c r="B659" s="416"/>
      <c r="C659" s="417"/>
      <c r="D659" s="417"/>
      <c r="E659" s="418"/>
      <c r="F659" s="416"/>
      <c r="G659" s="417"/>
      <c r="H659" s="417"/>
      <c r="I659" s="417"/>
      <c r="J659" s="417"/>
      <c r="K659" s="419"/>
      <c r="L659" s="133"/>
      <c r="M659" s="415" t="str">
        <f t="shared" si="10"/>
        <v/>
      </c>
    </row>
    <row r="660" spans="1:13" ht="14.45" customHeight="1" x14ac:dyDescent="0.2">
      <c r="A660" s="420"/>
      <c r="B660" s="416"/>
      <c r="C660" s="417"/>
      <c r="D660" s="417"/>
      <c r="E660" s="418"/>
      <c r="F660" s="416"/>
      <c r="G660" s="417"/>
      <c r="H660" s="417"/>
      <c r="I660" s="417"/>
      <c r="J660" s="417"/>
      <c r="K660" s="419"/>
      <c r="L660" s="133"/>
      <c r="M660" s="415" t="str">
        <f t="shared" si="10"/>
        <v/>
      </c>
    </row>
    <row r="661" spans="1:13" ht="14.45" customHeight="1" x14ac:dyDescent="0.2">
      <c r="A661" s="420"/>
      <c r="B661" s="416"/>
      <c r="C661" s="417"/>
      <c r="D661" s="417"/>
      <c r="E661" s="418"/>
      <c r="F661" s="416"/>
      <c r="G661" s="417"/>
      <c r="H661" s="417"/>
      <c r="I661" s="417"/>
      <c r="J661" s="417"/>
      <c r="K661" s="419"/>
      <c r="L661" s="133"/>
      <c r="M661" s="415" t="str">
        <f t="shared" si="10"/>
        <v/>
      </c>
    </row>
    <row r="662" spans="1:13" ht="14.45" customHeight="1" x14ac:dyDescent="0.2">
      <c r="A662" s="420"/>
      <c r="B662" s="416"/>
      <c r="C662" s="417"/>
      <c r="D662" s="417"/>
      <c r="E662" s="418"/>
      <c r="F662" s="416"/>
      <c r="G662" s="417"/>
      <c r="H662" s="417"/>
      <c r="I662" s="417"/>
      <c r="J662" s="417"/>
      <c r="K662" s="419"/>
      <c r="L662" s="133"/>
      <c r="M662" s="415" t="str">
        <f t="shared" si="10"/>
        <v/>
      </c>
    </row>
    <row r="663" spans="1:13" ht="14.45" customHeight="1" x14ac:dyDescent="0.2">
      <c r="A663" s="420"/>
      <c r="B663" s="416"/>
      <c r="C663" s="417"/>
      <c r="D663" s="417"/>
      <c r="E663" s="418"/>
      <c r="F663" s="416"/>
      <c r="G663" s="417"/>
      <c r="H663" s="417"/>
      <c r="I663" s="417"/>
      <c r="J663" s="417"/>
      <c r="K663" s="419"/>
      <c r="L663" s="133"/>
      <c r="M663" s="415" t="str">
        <f t="shared" si="10"/>
        <v/>
      </c>
    </row>
    <row r="664" spans="1:13" ht="14.45" customHeight="1" x14ac:dyDescent="0.2">
      <c r="A664" s="420"/>
      <c r="B664" s="416"/>
      <c r="C664" s="417"/>
      <c r="D664" s="417"/>
      <c r="E664" s="418"/>
      <c r="F664" s="416"/>
      <c r="G664" s="417"/>
      <c r="H664" s="417"/>
      <c r="I664" s="417"/>
      <c r="J664" s="417"/>
      <c r="K664" s="419"/>
      <c r="L664" s="133"/>
      <c r="M664" s="415" t="str">
        <f t="shared" si="10"/>
        <v/>
      </c>
    </row>
    <row r="665" spans="1:13" ht="14.45" customHeight="1" x14ac:dyDescent="0.2">
      <c r="A665" s="420"/>
      <c r="B665" s="416"/>
      <c r="C665" s="417"/>
      <c r="D665" s="417"/>
      <c r="E665" s="418"/>
      <c r="F665" s="416"/>
      <c r="G665" s="417"/>
      <c r="H665" s="417"/>
      <c r="I665" s="417"/>
      <c r="J665" s="417"/>
      <c r="K665" s="419"/>
      <c r="L665" s="133"/>
      <c r="M665" s="415" t="str">
        <f t="shared" si="10"/>
        <v/>
      </c>
    </row>
    <row r="666" spans="1:13" ht="14.45" customHeight="1" x14ac:dyDescent="0.2">
      <c r="A666" s="420"/>
      <c r="B666" s="416"/>
      <c r="C666" s="417"/>
      <c r="D666" s="417"/>
      <c r="E666" s="418"/>
      <c r="F666" s="416"/>
      <c r="G666" s="417"/>
      <c r="H666" s="417"/>
      <c r="I666" s="417"/>
      <c r="J666" s="417"/>
      <c r="K666" s="419"/>
      <c r="L666" s="133"/>
      <c r="M666" s="415" t="str">
        <f t="shared" si="10"/>
        <v/>
      </c>
    </row>
    <row r="667" spans="1:13" ht="14.45" customHeight="1" x14ac:dyDescent="0.2">
      <c r="A667" s="420"/>
      <c r="B667" s="416"/>
      <c r="C667" s="417"/>
      <c r="D667" s="417"/>
      <c r="E667" s="418"/>
      <c r="F667" s="416"/>
      <c r="G667" s="417"/>
      <c r="H667" s="417"/>
      <c r="I667" s="417"/>
      <c r="J667" s="417"/>
      <c r="K667" s="419"/>
      <c r="L667" s="133"/>
      <c r="M667" s="415" t="str">
        <f t="shared" si="10"/>
        <v/>
      </c>
    </row>
    <row r="668" spans="1:13" ht="14.45" customHeight="1" x14ac:dyDescent="0.2">
      <c r="A668" s="420"/>
      <c r="B668" s="416"/>
      <c r="C668" s="417"/>
      <c r="D668" s="417"/>
      <c r="E668" s="418"/>
      <c r="F668" s="416"/>
      <c r="G668" s="417"/>
      <c r="H668" s="417"/>
      <c r="I668" s="417"/>
      <c r="J668" s="417"/>
      <c r="K668" s="419"/>
      <c r="L668" s="133"/>
      <c r="M668" s="415" t="str">
        <f t="shared" si="10"/>
        <v/>
      </c>
    </row>
    <row r="669" spans="1:13" ht="14.45" customHeight="1" x14ac:dyDescent="0.2">
      <c r="A669" s="420"/>
      <c r="B669" s="416"/>
      <c r="C669" s="417"/>
      <c r="D669" s="417"/>
      <c r="E669" s="418"/>
      <c r="F669" s="416"/>
      <c r="G669" s="417"/>
      <c r="H669" s="417"/>
      <c r="I669" s="417"/>
      <c r="J669" s="417"/>
      <c r="K669" s="419"/>
      <c r="L669" s="133"/>
      <c r="M669" s="415" t="str">
        <f t="shared" si="10"/>
        <v/>
      </c>
    </row>
    <row r="670" spans="1:13" ht="14.45" customHeight="1" x14ac:dyDescent="0.2">
      <c r="A670" s="420"/>
      <c r="B670" s="416"/>
      <c r="C670" s="417"/>
      <c r="D670" s="417"/>
      <c r="E670" s="418"/>
      <c r="F670" s="416"/>
      <c r="G670" s="417"/>
      <c r="H670" s="417"/>
      <c r="I670" s="417"/>
      <c r="J670" s="417"/>
      <c r="K670" s="419"/>
      <c r="L670" s="133"/>
      <c r="M670" s="415" t="str">
        <f t="shared" si="10"/>
        <v/>
      </c>
    </row>
    <row r="671" spans="1:13" ht="14.45" customHeight="1" x14ac:dyDescent="0.2">
      <c r="A671" s="420"/>
      <c r="B671" s="416"/>
      <c r="C671" s="417"/>
      <c r="D671" s="417"/>
      <c r="E671" s="418"/>
      <c r="F671" s="416"/>
      <c r="G671" s="417"/>
      <c r="H671" s="417"/>
      <c r="I671" s="417"/>
      <c r="J671" s="417"/>
      <c r="K671" s="419"/>
      <c r="L671" s="133"/>
      <c r="M671" s="415" t="str">
        <f t="shared" si="10"/>
        <v/>
      </c>
    </row>
    <row r="672" spans="1:13" ht="14.45" customHeight="1" x14ac:dyDescent="0.2">
      <c r="A672" s="420"/>
      <c r="B672" s="416"/>
      <c r="C672" s="417"/>
      <c r="D672" s="417"/>
      <c r="E672" s="418"/>
      <c r="F672" s="416"/>
      <c r="G672" s="417"/>
      <c r="H672" s="417"/>
      <c r="I672" s="417"/>
      <c r="J672" s="417"/>
      <c r="K672" s="419"/>
      <c r="L672" s="133"/>
      <c r="M672" s="415" t="str">
        <f t="shared" si="10"/>
        <v/>
      </c>
    </row>
    <row r="673" spans="1:13" ht="14.45" customHeight="1" x14ac:dyDescent="0.2">
      <c r="A673" s="420"/>
      <c r="B673" s="416"/>
      <c r="C673" s="417"/>
      <c r="D673" s="417"/>
      <c r="E673" s="418"/>
      <c r="F673" s="416"/>
      <c r="G673" s="417"/>
      <c r="H673" s="417"/>
      <c r="I673" s="417"/>
      <c r="J673" s="417"/>
      <c r="K673" s="419"/>
      <c r="L673" s="133"/>
      <c r="M673" s="415" t="str">
        <f t="shared" si="10"/>
        <v/>
      </c>
    </row>
    <row r="674" spans="1:13" ht="14.45" customHeight="1" x14ac:dyDescent="0.2">
      <c r="A674" s="420"/>
      <c r="B674" s="416"/>
      <c r="C674" s="417"/>
      <c r="D674" s="417"/>
      <c r="E674" s="418"/>
      <c r="F674" s="416"/>
      <c r="G674" s="417"/>
      <c r="H674" s="417"/>
      <c r="I674" s="417"/>
      <c r="J674" s="417"/>
      <c r="K674" s="419"/>
      <c r="L674" s="133"/>
      <c r="M674" s="415" t="str">
        <f t="shared" si="10"/>
        <v/>
      </c>
    </row>
    <row r="675" spans="1:13" ht="14.45" customHeight="1" x14ac:dyDescent="0.2">
      <c r="A675" s="420"/>
      <c r="B675" s="416"/>
      <c r="C675" s="417"/>
      <c r="D675" s="417"/>
      <c r="E675" s="418"/>
      <c r="F675" s="416"/>
      <c r="G675" s="417"/>
      <c r="H675" s="417"/>
      <c r="I675" s="417"/>
      <c r="J675" s="417"/>
      <c r="K675" s="419"/>
      <c r="L675" s="133"/>
      <c r="M675" s="415" t="str">
        <f t="shared" si="10"/>
        <v/>
      </c>
    </row>
    <row r="676" spans="1:13" ht="14.45" customHeight="1" x14ac:dyDescent="0.2">
      <c r="A676" s="420"/>
      <c r="B676" s="416"/>
      <c r="C676" s="417"/>
      <c r="D676" s="417"/>
      <c r="E676" s="418"/>
      <c r="F676" s="416"/>
      <c r="G676" s="417"/>
      <c r="H676" s="417"/>
      <c r="I676" s="417"/>
      <c r="J676" s="417"/>
      <c r="K676" s="419"/>
      <c r="L676" s="133"/>
      <c r="M676" s="415" t="str">
        <f t="shared" si="10"/>
        <v/>
      </c>
    </row>
    <row r="677" spans="1:13" ht="14.45" customHeight="1" x14ac:dyDescent="0.2">
      <c r="A677" s="420"/>
      <c r="B677" s="416"/>
      <c r="C677" s="417"/>
      <c r="D677" s="417"/>
      <c r="E677" s="418"/>
      <c r="F677" s="416"/>
      <c r="G677" s="417"/>
      <c r="H677" s="417"/>
      <c r="I677" s="417"/>
      <c r="J677" s="417"/>
      <c r="K677" s="419"/>
      <c r="L677" s="133"/>
      <c r="M677" s="415" t="str">
        <f t="shared" si="10"/>
        <v/>
      </c>
    </row>
    <row r="678" spans="1:13" ht="14.45" customHeight="1" x14ac:dyDescent="0.2">
      <c r="A678" s="420"/>
      <c r="B678" s="416"/>
      <c r="C678" s="417"/>
      <c r="D678" s="417"/>
      <c r="E678" s="418"/>
      <c r="F678" s="416"/>
      <c r="G678" s="417"/>
      <c r="H678" s="417"/>
      <c r="I678" s="417"/>
      <c r="J678" s="417"/>
      <c r="K678" s="419"/>
      <c r="L678" s="133"/>
      <c r="M678" s="415" t="str">
        <f t="shared" si="10"/>
        <v/>
      </c>
    </row>
    <row r="679" spans="1:13" ht="14.45" customHeight="1" x14ac:dyDescent="0.2">
      <c r="A679" s="420"/>
      <c r="B679" s="416"/>
      <c r="C679" s="417"/>
      <c r="D679" s="417"/>
      <c r="E679" s="418"/>
      <c r="F679" s="416"/>
      <c r="G679" s="417"/>
      <c r="H679" s="417"/>
      <c r="I679" s="417"/>
      <c r="J679" s="417"/>
      <c r="K679" s="419"/>
      <c r="L679" s="133"/>
      <c r="M679" s="415" t="str">
        <f t="shared" si="10"/>
        <v/>
      </c>
    </row>
    <row r="680" spans="1:13" ht="14.45" customHeight="1" x14ac:dyDescent="0.2">
      <c r="A680" s="420"/>
      <c r="B680" s="416"/>
      <c r="C680" s="417"/>
      <c r="D680" s="417"/>
      <c r="E680" s="418"/>
      <c r="F680" s="416"/>
      <c r="G680" s="417"/>
      <c r="H680" s="417"/>
      <c r="I680" s="417"/>
      <c r="J680" s="417"/>
      <c r="K680" s="419"/>
      <c r="L680" s="133"/>
      <c r="M680" s="415" t="str">
        <f t="shared" si="10"/>
        <v/>
      </c>
    </row>
    <row r="681" spans="1:13" ht="14.45" customHeight="1" x14ac:dyDescent="0.2">
      <c r="A681" s="420"/>
      <c r="B681" s="416"/>
      <c r="C681" s="417"/>
      <c r="D681" s="417"/>
      <c r="E681" s="418"/>
      <c r="F681" s="416"/>
      <c r="G681" s="417"/>
      <c r="H681" s="417"/>
      <c r="I681" s="417"/>
      <c r="J681" s="417"/>
      <c r="K681" s="419"/>
      <c r="L681" s="133"/>
      <c r="M681" s="415" t="str">
        <f t="shared" si="10"/>
        <v/>
      </c>
    </row>
    <row r="682" spans="1:13" ht="14.45" customHeight="1" x14ac:dyDescent="0.2">
      <c r="A682" s="420"/>
      <c r="B682" s="416"/>
      <c r="C682" s="417"/>
      <c r="D682" s="417"/>
      <c r="E682" s="418"/>
      <c r="F682" s="416"/>
      <c r="G682" s="417"/>
      <c r="H682" s="417"/>
      <c r="I682" s="417"/>
      <c r="J682" s="417"/>
      <c r="K682" s="419"/>
      <c r="L682" s="133"/>
      <c r="M682" s="415" t="str">
        <f t="shared" si="10"/>
        <v/>
      </c>
    </row>
    <row r="683" spans="1:13" ht="14.45" customHeight="1" x14ac:dyDescent="0.2">
      <c r="A683" s="420"/>
      <c r="B683" s="416"/>
      <c r="C683" s="417"/>
      <c r="D683" s="417"/>
      <c r="E683" s="418"/>
      <c r="F683" s="416"/>
      <c r="G683" s="417"/>
      <c r="H683" s="417"/>
      <c r="I683" s="417"/>
      <c r="J683" s="417"/>
      <c r="K683" s="419"/>
      <c r="L683" s="133"/>
      <c r="M683" s="415" t="str">
        <f t="shared" si="10"/>
        <v/>
      </c>
    </row>
    <row r="684" spans="1:13" ht="14.45" customHeight="1" x14ac:dyDescent="0.2">
      <c r="A684" s="420"/>
      <c r="B684" s="416"/>
      <c r="C684" s="417"/>
      <c r="D684" s="417"/>
      <c r="E684" s="418"/>
      <c r="F684" s="416"/>
      <c r="G684" s="417"/>
      <c r="H684" s="417"/>
      <c r="I684" s="417"/>
      <c r="J684" s="417"/>
      <c r="K684" s="419"/>
      <c r="L684" s="133"/>
      <c r="M684" s="415" t="str">
        <f t="shared" si="10"/>
        <v/>
      </c>
    </row>
    <row r="685" spans="1:13" ht="14.45" customHeight="1" x14ac:dyDescent="0.2">
      <c r="A685" s="420"/>
      <c r="B685" s="416"/>
      <c r="C685" s="417"/>
      <c r="D685" s="417"/>
      <c r="E685" s="418"/>
      <c r="F685" s="416"/>
      <c r="G685" s="417"/>
      <c r="H685" s="417"/>
      <c r="I685" s="417"/>
      <c r="J685" s="417"/>
      <c r="K685" s="419"/>
      <c r="L685" s="133"/>
      <c r="M685" s="415" t="str">
        <f t="shared" si="10"/>
        <v/>
      </c>
    </row>
    <row r="686" spans="1:13" ht="14.45" customHeight="1" x14ac:dyDescent="0.2">
      <c r="A686" s="420"/>
      <c r="B686" s="416"/>
      <c r="C686" s="417"/>
      <c r="D686" s="417"/>
      <c r="E686" s="418"/>
      <c r="F686" s="416"/>
      <c r="G686" s="417"/>
      <c r="H686" s="417"/>
      <c r="I686" s="417"/>
      <c r="J686" s="417"/>
      <c r="K686" s="419"/>
      <c r="L686" s="133"/>
      <c r="M686" s="415" t="str">
        <f t="shared" si="10"/>
        <v/>
      </c>
    </row>
    <row r="687" spans="1:13" ht="14.45" customHeight="1" x14ac:dyDescent="0.2">
      <c r="A687" s="420"/>
      <c r="B687" s="416"/>
      <c r="C687" s="417"/>
      <c r="D687" s="417"/>
      <c r="E687" s="418"/>
      <c r="F687" s="416"/>
      <c r="G687" s="417"/>
      <c r="H687" s="417"/>
      <c r="I687" s="417"/>
      <c r="J687" s="417"/>
      <c r="K687" s="419"/>
      <c r="L687" s="133"/>
      <c r="M687" s="415" t="str">
        <f t="shared" si="10"/>
        <v/>
      </c>
    </row>
    <row r="688" spans="1:13" ht="14.45" customHeight="1" x14ac:dyDescent="0.2">
      <c r="A688" s="420"/>
      <c r="B688" s="416"/>
      <c r="C688" s="417"/>
      <c r="D688" s="417"/>
      <c r="E688" s="418"/>
      <c r="F688" s="416"/>
      <c r="G688" s="417"/>
      <c r="H688" s="417"/>
      <c r="I688" s="417"/>
      <c r="J688" s="417"/>
      <c r="K688" s="419"/>
      <c r="L688" s="133"/>
      <c r="M688" s="415" t="str">
        <f t="shared" si="10"/>
        <v/>
      </c>
    </row>
    <row r="689" spans="1:13" ht="14.45" customHeight="1" x14ac:dyDescent="0.2">
      <c r="A689" s="420"/>
      <c r="B689" s="416"/>
      <c r="C689" s="417"/>
      <c r="D689" s="417"/>
      <c r="E689" s="418"/>
      <c r="F689" s="416"/>
      <c r="G689" s="417"/>
      <c r="H689" s="417"/>
      <c r="I689" s="417"/>
      <c r="J689" s="417"/>
      <c r="K689" s="419"/>
      <c r="L689" s="133"/>
      <c r="M689" s="415" t="str">
        <f t="shared" si="10"/>
        <v/>
      </c>
    </row>
    <row r="690" spans="1:13" ht="14.45" customHeight="1" x14ac:dyDescent="0.2">
      <c r="A690" s="420"/>
      <c r="B690" s="416"/>
      <c r="C690" s="417"/>
      <c r="D690" s="417"/>
      <c r="E690" s="418"/>
      <c r="F690" s="416"/>
      <c r="G690" s="417"/>
      <c r="H690" s="417"/>
      <c r="I690" s="417"/>
      <c r="J690" s="417"/>
      <c r="K690" s="419"/>
      <c r="L690" s="133"/>
      <c r="M690" s="415" t="str">
        <f t="shared" si="10"/>
        <v/>
      </c>
    </row>
    <row r="691" spans="1:13" ht="14.45" customHeight="1" x14ac:dyDescent="0.2">
      <c r="A691" s="420"/>
      <c r="B691" s="416"/>
      <c r="C691" s="417"/>
      <c r="D691" s="417"/>
      <c r="E691" s="418"/>
      <c r="F691" s="416"/>
      <c r="G691" s="417"/>
      <c r="H691" s="417"/>
      <c r="I691" s="417"/>
      <c r="J691" s="417"/>
      <c r="K691" s="419"/>
      <c r="L691" s="133"/>
      <c r="M691" s="415" t="str">
        <f t="shared" si="10"/>
        <v/>
      </c>
    </row>
    <row r="692" spans="1:13" ht="14.45" customHeight="1" x14ac:dyDescent="0.2">
      <c r="A692" s="420"/>
      <c r="B692" s="416"/>
      <c r="C692" s="417"/>
      <c r="D692" s="417"/>
      <c r="E692" s="418"/>
      <c r="F692" s="416"/>
      <c r="G692" s="417"/>
      <c r="H692" s="417"/>
      <c r="I692" s="417"/>
      <c r="J692" s="417"/>
      <c r="K692" s="419"/>
      <c r="L692" s="133"/>
      <c r="M692" s="415" t="str">
        <f t="shared" si="10"/>
        <v/>
      </c>
    </row>
    <row r="693" spans="1:13" ht="14.45" customHeight="1" x14ac:dyDescent="0.2">
      <c r="A693" s="420"/>
      <c r="B693" s="416"/>
      <c r="C693" s="417"/>
      <c r="D693" s="417"/>
      <c r="E693" s="418"/>
      <c r="F693" s="416"/>
      <c r="G693" s="417"/>
      <c r="H693" s="417"/>
      <c r="I693" s="417"/>
      <c r="J693" s="417"/>
      <c r="K693" s="419"/>
      <c r="L693" s="133"/>
      <c r="M693" s="415" t="str">
        <f t="shared" si="10"/>
        <v/>
      </c>
    </row>
    <row r="694" spans="1:13" ht="14.45" customHeight="1" x14ac:dyDescent="0.2">
      <c r="A694" s="420"/>
      <c r="B694" s="416"/>
      <c r="C694" s="417"/>
      <c r="D694" s="417"/>
      <c r="E694" s="418"/>
      <c r="F694" s="416"/>
      <c r="G694" s="417"/>
      <c r="H694" s="417"/>
      <c r="I694" s="417"/>
      <c r="J694" s="417"/>
      <c r="K694" s="419"/>
      <c r="L694" s="133"/>
      <c r="M694" s="415" t="str">
        <f t="shared" si="10"/>
        <v/>
      </c>
    </row>
    <row r="695" spans="1:13" ht="14.45" customHeight="1" x14ac:dyDescent="0.2">
      <c r="A695" s="420"/>
      <c r="B695" s="416"/>
      <c r="C695" s="417"/>
      <c r="D695" s="417"/>
      <c r="E695" s="418"/>
      <c r="F695" s="416"/>
      <c r="G695" s="417"/>
      <c r="H695" s="417"/>
      <c r="I695" s="417"/>
      <c r="J695" s="417"/>
      <c r="K695" s="419"/>
      <c r="L695" s="133"/>
      <c r="M695" s="415" t="str">
        <f t="shared" si="10"/>
        <v/>
      </c>
    </row>
    <row r="696" spans="1:13" ht="14.45" customHeight="1" x14ac:dyDescent="0.2">
      <c r="A696" s="420"/>
      <c r="B696" s="416"/>
      <c r="C696" s="417"/>
      <c r="D696" s="417"/>
      <c r="E696" s="418"/>
      <c r="F696" s="416"/>
      <c r="G696" s="417"/>
      <c r="H696" s="417"/>
      <c r="I696" s="417"/>
      <c r="J696" s="417"/>
      <c r="K696" s="419"/>
      <c r="L696" s="133"/>
      <c r="M696" s="415" t="str">
        <f t="shared" si="10"/>
        <v/>
      </c>
    </row>
    <row r="697" spans="1:13" ht="14.45" customHeight="1" x14ac:dyDescent="0.2">
      <c r="A697" s="420"/>
      <c r="B697" s="416"/>
      <c r="C697" s="417"/>
      <c r="D697" s="417"/>
      <c r="E697" s="418"/>
      <c r="F697" s="416"/>
      <c r="G697" s="417"/>
      <c r="H697" s="417"/>
      <c r="I697" s="417"/>
      <c r="J697" s="417"/>
      <c r="K697" s="419"/>
      <c r="L697" s="133"/>
      <c r="M697" s="415" t="str">
        <f t="shared" si="10"/>
        <v/>
      </c>
    </row>
    <row r="698" spans="1:13" ht="14.45" customHeight="1" x14ac:dyDescent="0.2">
      <c r="A698" s="420"/>
      <c r="B698" s="416"/>
      <c r="C698" s="417"/>
      <c r="D698" s="417"/>
      <c r="E698" s="418"/>
      <c r="F698" s="416"/>
      <c r="G698" s="417"/>
      <c r="H698" s="417"/>
      <c r="I698" s="417"/>
      <c r="J698" s="417"/>
      <c r="K698" s="419"/>
      <c r="L698" s="133"/>
      <c r="M698" s="415" t="str">
        <f t="shared" si="10"/>
        <v/>
      </c>
    </row>
    <row r="699" spans="1:13" ht="14.45" customHeight="1" x14ac:dyDescent="0.2">
      <c r="A699" s="420"/>
      <c r="B699" s="416"/>
      <c r="C699" s="417"/>
      <c r="D699" s="417"/>
      <c r="E699" s="418"/>
      <c r="F699" s="416"/>
      <c r="G699" s="417"/>
      <c r="H699" s="417"/>
      <c r="I699" s="417"/>
      <c r="J699" s="417"/>
      <c r="K699" s="419"/>
      <c r="L699" s="133"/>
      <c r="M699" s="415" t="str">
        <f t="shared" si="10"/>
        <v/>
      </c>
    </row>
    <row r="700" spans="1:13" ht="14.45" customHeight="1" x14ac:dyDescent="0.2">
      <c r="A700" s="420"/>
      <c r="B700" s="416"/>
      <c r="C700" s="417"/>
      <c r="D700" s="417"/>
      <c r="E700" s="418"/>
      <c r="F700" s="416"/>
      <c r="G700" s="417"/>
      <c r="H700" s="417"/>
      <c r="I700" s="417"/>
      <c r="J700" s="417"/>
      <c r="K700" s="419"/>
      <c r="L700" s="133"/>
      <c r="M700" s="415" t="str">
        <f t="shared" si="10"/>
        <v/>
      </c>
    </row>
    <row r="701" spans="1:13" ht="14.45" customHeight="1" x14ac:dyDescent="0.2">
      <c r="A701" s="420"/>
      <c r="B701" s="416"/>
      <c r="C701" s="417"/>
      <c r="D701" s="417"/>
      <c r="E701" s="418"/>
      <c r="F701" s="416"/>
      <c r="G701" s="417"/>
      <c r="H701" s="417"/>
      <c r="I701" s="417"/>
      <c r="J701" s="417"/>
      <c r="K701" s="419"/>
      <c r="L701" s="133"/>
      <c r="M701" s="415" t="str">
        <f t="shared" si="10"/>
        <v/>
      </c>
    </row>
    <row r="702" spans="1:13" ht="14.45" customHeight="1" x14ac:dyDescent="0.2">
      <c r="A702" s="420"/>
      <c r="B702" s="416"/>
      <c r="C702" s="417"/>
      <c r="D702" s="417"/>
      <c r="E702" s="418"/>
      <c r="F702" s="416"/>
      <c r="G702" s="417"/>
      <c r="H702" s="417"/>
      <c r="I702" s="417"/>
      <c r="J702" s="417"/>
      <c r="K702" s="419"/>
      <c r="L702" s="133"/>
      <c r="M702" s="415" t="str">
        <f t="shared" si="10"/>
        <v/>
      </c>
    </row>
    <row r="703" spans="1:13" ht="14.45" customHeight="1" x14ac:dyDescent="0.2">
      <c r="A703" s="420"/>
      <c r="B703" s="416"/>
      <c r="C703" s="417"/>
      <c r="D703" s="417"/>
      <c r="E703" s="418"/>
      <c r="F703" s="416"/>
      <c r="G703" s="417"/>
      <c r="H703" s="417"/>
      <c r="I703" s="417"/>
      <c r="J703" s="417"/>
      <c r="K703" s="419"/>
      <c r="L703" s="133"/>
      <c r="M703" s="415" t="str">
        <f t="shared" si="10"/>
        <v/>
      </c>
    </row>
    <row r="704" spans="1:13" ht="14.45" customHeight="1" x14ac:dyDescent="0.2">
      <c r="A704" s="420"/>
      <c r="B704" s="416"/>
      <c r="C704" s="417"/>
      <c r="D704" s="417"/>
      <c r="E704" s="418"/>
      <c r="F704" s="416"/>
      <c r="G704" s="417"/>
      <c r="H704" s="417"/>
      <c r="I704" s="417"/>
      <c r="J704" s="417"/>
      <c r="K704" s="419"/>
      <c r="L704" s="133"/>
      <c r="M704" s="415" t="str">
        <f t="shared" si="10"/>
        <v/>
      </c>
    </row>
    <row r="705" spans="1:13" ht="14.45" customHeight="1" x14ac:dyDescent="0.2">
      <c r="A705" s="420"/>
      <c r="B705" s="416"/>
      <c r="C705" s="417"/>
      <c r="D705" s="417"/>
      <c r="E705" s="418"/>
      <c r="F705" s="416"/>
      <c r="G705" s="417"/>
      <c r="H705" s="417"/>
      <c r="I705" s="417"/>
      <c r="J705" s="417"/>
      <c r="K705" s="419"/>
      <c r="L705" s="133"/>
      <c r="M705" s="415" t="str">
        <f t="shared" si="10"/>
        <v/>
      </c>
    </row>
    <row r="706" spans="1:13" ht="14.45" customHeight="1" x14ac:dyDescent="0.2">
      <c r="A706" s="420"/>
      <c r="B706" s="416"/>
      <c r="C706" s="417"/>
      <c r="D706" s="417"/>
      <c r="E706" s="418"/>
      <c r="F706" s="416"/>
      <c r="G706" s="417"/>
      <c r="H706" s="417"/>
      <c r="I706" s="417"/>
      <c r="J706" s="417"/>
      <c r="K706" s="419"/>
      <c r="L706" s="133"/>
      <c r="M706" s="415" t="str">
        <f t="shared" si="10"/>
        <v/>
      </c>
    </row>
    <row r="707" spans="1:13" ht="14.45" customHeight="1" x14ac:dyDescent="0.2">
      <c r="A707" s="420"/>
      <c r="B707" s="416"/>
      <c r="C707" s="417"/>
      <c r="D707" s="417"/>
      <c r="E707" s="418"/>
      <c r="F707" s="416"/>
      <c r="G707" s="417"/>
      <c r="H707" s="417"/>
      <c r="I707" s="417"/>
      <c r="J707" s="417"/>
      <c r="K707" s="419"/>
      <c r="L707" s="133"/>
      <c r="M707" s="415" t="str">
        <f t="shared" si="10"/>
        <v/>
      </c>
    </row>
    <row r="708" spans="1:13" ht="14.45" customHeight="1" x14ac:dyDescent="0.2">
      <c r="A708" s="420"/>
      <c r="B708" s="416"/>
      <c r="C708" s="417"/>
      <c r="D708" s="417"/>
      <c r="E708" s="418"/>
      <c r="F708" s="416"/>
      <c r="G708" s="417"/>
      <c r="H708" s="417"/>
      <c r="I708" s="417"/>
      <c r="J708" s="417"/>
      <c r="K708" s="419"/>
      <c r="L708" s="133"/>
      <c r="M708" s="415" t="str">
        <f t="shared" si="10"/>
        <v/>
      </c>
    </row>
    <row r="709" spans="1:13" ht="14.45" customHeight="1" x14ac:dyDescent="0.2">
      <c r="A709" s="420"/>
      <c r="B709" s="416"/>
      <c r="C709" s="417"/>
      <c r="D709" s="417"/>
      <c r="E709" s="418"/>
      <c r="F709" s="416"/>
      <c r="G709" s="417"/>
      <c r="H709" s="417"/>
      <c r="I709" s="417"/>
      <c r="J709" s="417"/>
      <c r="K709" s="419"/>
      <c r="L709" s="133"/>
      <c r="M709" s="415" t="str">
        <f t="shared" si="10"/>
        <v/>
      </c>
    </row>
    <row r="710" spans="1:13" ht="14.45" customHeight="1" x14ac:dyDescent="0.2">
      <c r="A710" s="420"/>
      <c r="B710" s="416"/>
      <c r="C710" s="417"/>
      <c r="D710" s="417"/>
      <c r="E710" s="418"/>
      <c r="F710" s="416"/>
      <c r="G710" s="417"/>
      <c r="H710" s="417"/>
      <c r="I710" s="417"/>
      <c r="J710" s="417"/>
      <c r="K710" s="419"/>
      <c r="L710" s="133"/>
      <c r="M710" s="415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420"/>
      <c r="B711" s="416"/>
      <c r="C711" s="417"/>
      <c r="D711" s="417"/>
      <c r="E711" s="418"/>
      <c r="F711" s="416"/>
      <c r="G711" s="417"/>
      <c r="H711" s="417"/>
      <c r="I711" s="417"/>
      <c r="J711" s="417"/>
      <c r="K711" s="419"/>
      <c r="L711" s="133"/>
      <c r="M711" s="415" t="str">
        <f t="shared" si="11"/>
        <v/>
      </c>
    </row>
    <row r="712" spans="1:13" ht="14.45" customHeight="1" x14ac:dyDescent="0.2">
      <c r="A712" s="420"/>
      <c r="B712" s="416"/>
      <c r="C712" s="417"/>
      <c r="D712" s="417"/>
      <c r="E712" s="418"/>
      <c r="F712" s="416"/>
      <c r="G712" s="417"/>
      <c r="H712" s="417"/>
      <c r="I712" s="417"/>
      <c r="J712" s="417"/>
      <c r="K712" s="419"/>
      <c r="L712" s="133"/>
      <c r="M712" s="415" t="str">
        <f t="shared" si="11"/>
        <v/>
      </c>
    </row>
    <row r="713" spans="1:13" ht="14.45" customHeight="1" x14ac:dyDescent="0.2">
      <c r="A713" s="420"/>
      <c r="B713" s="416"/>
      <c r="C713" s="417"/>
      <c r="D713" s="417"/>
      <c r="E713" s="418"/>
      <c r="F713" s="416"/>
      <c r="G713" s="417"/>
      <c r="H713" s="417"/>
      <c r="I713" s="417"/>
      <c r="J713" s="417"/>
      <c r="K713" s="419"/>
      <c r="L713" s="133"/>
      <c r="M713" s="415" t="str">
        <f t="shared" si="11"/>
        <v/>
      </c>
    </row>
    <row r="714" spans="1:13" ht="14.45" customHeight="1" x14ac:dyDescent="0.2">
      <c r="A714" s="420"/>
      <c r="B714" s="416"/>
      <c r="C714" s="417"/>
      <c r="D714" s="417"/>
      <c r="E714" s="418"/>
      <c r="F714" s="416"/>
      <c r="G714" s="417"/>
      <c r="H714" s="417"/>
      <c r="I714" s="417"/>
      <c r="J714" s="417"/>
      <c r="K714" s="419"/>
      <c r="L714" s="133"/>
      <c r="M714" s="415" t="str">
        <f t="shared" si="11"/>
        <v/>
      </c>
    </row>
    <row r="715" spans="1:13" ht="14.45" customHeight="1" x14ac:dyDescent="0.2">
      <c r="A715" s="420"/>
      <c r="B715" s="416"/>
      <c r="C715" s="417"/>
      <c r="D715" s="417"/>
      <c r="E715" s="418"/>
      <c r="F715" s="416"/>
      <c r="G715" s="417"/>
      <c r="H715" s="417"/>
      <c r="I715" s="417"/>
      <c r="J715" s="417"/>
      <c r="K715" s="419"/>
      <c r="L715" s="133"/>
      <c r="M715" s="415" t="str">
        <f t="shared" si="11"/>
        <v/>
      </c>
    </row>
    <row r="716" spans="1:13" ht="14.45" customHeight="1" x14ac:dyDescent="0.2">
      <c r="A716" s="420"/>
      <c r="B716" s="416"/>
      <c r="C716" s="417"/>
      <c r="D716" s="417"/>
      <c r="E716" s="418"/>
      <c r="F716" s="416"/>
      <c r="G716" s="417"/>
      <c r="H716" s="417"/>
      <c r="I716" s="417"/>
      <c r="J716" s="417"/>
      <c r="K716" s="419"/>
      <c r="L716" s="133"/>
      <c r="M716" s="415" t="str">
        <f t="shared" si="11"/>
        <v/>
      </c>
    </row>
    <row r="717" spans="1:13" ht="14.45" customHeight="1" x14ac:dyDescent="0.2">
      <c r="A717" s="420"/>
      <c r="B717" s="416"/>
      <c r="C717" s="417"/>
      <c r="D717" s="417"/>
      <c r="E717" s="418"/>
      <c r="F717" s="416"/>
      <c r="G717" s="417"/>
      <c r="H717" s="417"/>
      <c r="I717" s="417"/>
      <c r="J717" s="417"/>
      <c r="K717" s="419"/>
      <c r="L717" s="133"/>
      <c r="M717" s="415" t="str">
        <f t="shared" si="11"/>
        <v/>
      </c>
    </row>
    <row r="718" spans="1:13" ht="14.45" customHeight="1" x14ac:dyDescent="0.2">
      <c r="A718" s="420"/>
      <c r="B718" s="416"/>
      <c r="C718" s="417"/>
      <c r="D718" s="417"/>
      <c r="E718" s="418"/>
      <c r="F718" s="416"/>
      <c r="G718" s="417"/>
      <c r="H718" s="417"/>
      <c r="I718" s="417"/>
      <c r="J718" s="417"/>
      <c r="K718" s="419"/>
      <c r="L718" s="133"/>
      <c r="M718" s="415" t="str">
        <f t="shared" si="11"/>
        <v/>
      </c>
    </row>
    <row r="719" spans="1:13" ht="14.45" customHeight="1" x14ac:dyDescent="0.2">
      <c r="A719" s="420"/>
      <c r="B719" s="416"/>
      <c r="C719" s="417"/>
      <c r="D719" s="417"/>
      <c r="E719" s="418"/>
      <c r="F719" s="416"/>
      <c r="G719" s="417"/>
      <c r="H719" s="417"/>
      <c r="I719" s="417"/>
      <c r="J719" s="417"/>
      <c r="K719" s="419"/>
      <c r="L719" s="133"/>
      <c r="M719" s="415" t="str">
        <f t="shared" si="11"/>
        <v/>
      </c>
    </row>
    <row r="720" spans="1:13" ht="14.45" customHeight="1" x14ac:dyDescent="0.2">
      <c r="A720" s="420"/>
      <c r="B720" s="416"/>
      <c r="C720" s="417"/>
      <c r="D720" s="417"/>
      <c r="E720" s="418"/>
      <c r="F720" s="416"/>
      <c r="G720" s="417"/>
      <c r="H720" s="417"/>
      <c r="I720" s="417"/>
      <c r="J720" s="417"/>
      <c r="K720" s="419"/>
      <c r="L720" s="133"/>
      <c r="M720" s="415" t="str">
        <f t="shared" si="11"/>
        <v/>
      </c>
    </row>
    <row r="721" spans="1:13" ht="14.45" customHeight="1" x14ac:dyDescent="0.2">
      <c r="A721" s="420"/>
      <c r="B721" s="416"/>
      <c r="C721" s="417"/>
      <c r="D721" s="417"/>
      <c r="E721" s="418"/>
      <c r="F721" s="416"/>
      <c r="G721" s="417"/>
      <c r="H721" s="417"/>
      <c r="I721" s="417"/>
      <c r="J721" s="417"/>
      <c r="K721" s="419"/>
      <c r="L721" s="133"/>
      <c r="M721" s="415" t="str">
        <f t="shared" si="11"/>
        <v/>
      </c>
    </row>
    <row r="722" spans="1:13" ht="14.45" customHeight="1" x14ac:dyDescent="0.2">
      <c r="A722" s="420"/>
      <c r="B722" s="416"/>
      <c r="C722" s="417"/>
      <c r="D722" s="417"/>
      <c r="E722" s="418"/>
      <c r="F722" s="416"/>
      <c r="G722" s="417"/>
      <c r="H722" s="417"/>
      <c r="I722" s="417"/>
      <c r="J722" s="417"/>
      <c r="K722" s="419"/>
      <c r="L722" s="133"/>
      <c r="M722" s="415" t="str">
        <f t="shared" si="11"/>
        <v/>
      </c>
    </row>
    <row r="723" spans="1:13" ht="14.45" customHeight="1" x14ac:dyDescent="0.2">
      <c r="A723" s="420"/>
      <c r="B723" s="416"/>
      <c r="C723" s="417"/>
      <c r="D723" s="417"/>
      <c r="E723" s="418"/>
      <c r="F723" s="416"/>
      <c r="G723" s="417"/>
      <c r="H723" s="417"/>
      <c r="I723" s="417"/>
      <c r="J723" s="417"/>
      <c r="K723" s="419"/>
      <c r="L723" s="133"/>
      <c r="M723" s="415" t="str">
        <f t="shared" si="11"/>
        <v/>
      </c>
    </row>
    <row r="724" spans="1:13" ht="14.45" customHeight="1" x14ac:dyDescent="0.2">
      <c r="A724" s="420"/>
      <c r="B724" s="416"/>
      <c r="C724" s="417"/>
      <c r="D724" s="417"/>
      <c r="E724" s="418"/>
      <c r="F724" s="416"/>
      <c r="G724" s="417"/>
      <c r="H724" s="417"/>
      <c r="I724" s="417"/>
      <c r="J724" s="417"/>
      <c r="K724" s="419"/>
      <c r="L724" s="133"/>
      <c r="M724" s="415" t="str">
        <f t="shared" si="11"/>
        <v/>
      </c>
    </row>
    <row r="725" spans="1:13" ht="14.45" customHeight="1" x14ac:dyDescent="0.2">
      <c r="A725" s="420"/>
      <c r="B725" s="416"/>
      <c r="C725" s="417"/>
      <c r="D725" s="417"/>
      <c r="E725" s="418"/>
      <c r="F725" s="416"/>
      <c r="G725" s="417"/>
      <c r="H725" s="417"/>
      <c r="I725" s="417"/>
      <c r="J725" s="417"/>
      <c r="K725" s="419"/>
      <c r="L725" s="133"/>
      <c r="M725" s="415" t="str">
        <f t="shared" si="11"/>
        <v/>
      </c>
    </row>
    <row r="726" spans="1:13" ht="14.45" customHeight="1" x14ac:dyDescent="0.2">
      <c r="A726" s="420"/>
      <c r="B726" s="416"/>
      <c r="C726" s="417"/>
      <c r="D726" s="417"/>
      <c r="E726" s="418"/>
      <c r="F726" s="416"/>
      <c r="G726" s="417"/>
      <c r="H726" s="417"/>
      <c r="I726" s="417"/>
      <c r="J726" s="417"/>
      <c r="K726" s="419"/>
      <c r="L726" s="133"/>
      <c r="M726" s="415" t="str">
        <f t="shared" si="11"/>
        <v/>
      </c>
    </row>
    <row r="727" spans="1:13" ht="14.45" customHeight="1" x14ac:dyDescent="0.2">
      <c r="A727" s="420"/>
      <c r="B727" s="416"/>
      <c r="C727" s="417"/>
      <c r="D727" s="417"/>
      <c r="E727" s="418"/>
      <c r="F727" s="416"/>
      <c r="G727" s="417"/>
      <c r="H727" s="417"/>
      <c r="I727" s="417"/>
      <c r="J727" s="417"/>
      <c r="K727" s="419"/>
      <c r="L727" s="133"/>
      <c r="M727" s="415" t="str">
        <f t="shared" si="11"/>
        <v/>
      </c>
    </row>
    <row r="728" spans="1:13" ht="14.45" customHeight="1" x14ac:dyDescent="0.2">
      <c r="A728" s="420"/>
      <c r="B728" s="416"/>
      <c r="C728" s="417"/>
      <c r="D728" s="417"/>
      <c r="E728" s="418"/>
      <c r="F728" s="416"/>
      <c r="G728" s="417"/>
      <c r="H728" s="417"/>
      <c r="I728" s="417"/>
      <c r="J728" s="417"/>
      <c r="K728" s="419"/>
      <c r="L728" s="133"/>
      <c r="M728" s="415" t="str">
        <f t="shared" si="11"/>
        <v/>
      </c>
    </row>
    <row r="729" spans="1:13" ht="14.45" customHeight="1" x14ac:dyDescent="0.2">
      <c r="A729" s="420"/>
      <c r="B729" s="416"/>
      <c r="C729" s="417"/>
      <c r="D729" s="417"/>
      <c r="E729" s="418"/>
      <c r="F729" s="416"/>
      <c r="G729" s="417"/>
      <c r="H729" s="417"/>
      <c r="I729" s="417"/>
      <c r="J729" s="417"/>
      <c r="K729" s="419"/>
      <c r="L729" s="133"/>
      <c r="M729" s="415" t="str">
        <f t="shared" si="11"/>
        <v/>
      </c>
    </row>
    <row r="730" spans="1:13" ht="14.45" customHeight="1" x14ac:dyDescent="0.2">
      <c r="A730" s="420"/>
      <c r="B730" s="416"/>
      <c r="C730" s="417"/>
      <c r="D730" s="417"/>
      <c r="E730" s="418"/>
      <c r="F730" s="416"/>
      <c r="G730" s="417"/>
      <c r="H730" s="417"/>
      <c r="I730" s="417"/>
      <c r="J730" s="417"/>
      <c r="K730" s="419"/>
      <c r="L730" s="133"/>
      <c r="M730" s="415" t="str">
        <f t="shared" si="11"/>
        <v/>
      </c>
    </row>
    <row r="731" spans="1:13" ht="14.45" customHeight="1" x14ac:dyDescent="0.2">
      <c r="A731" s="420"/>
      <c r="B731" s="416"/>
      <c r="C731" s="417"/>
      <c r="D731" s="417"/>
      <c r="E731" s="418"/>
      <c r="F731" s="416"/>
      <c r="G731" s="417"/>
      <c r="H731" s="417"/>
      <c r="I731" s="417"/>
      <c r="J731" s="417"/>
      <c r="K731" s="419"/>
      <c r="L731" s="133"/>
      <c r="M731" s="415" t="str">
        <f t="shared" si="11"/>
        <v/>
      </c>
    </row>
    <row r="732" spans="1:13" ht="14.45" customHeight="1" x14ac:dyDescent="0.2">
      <c r="A732" s="420"/>
      <c r="B732" s="416"/>
      <c r="C732" s="417"/>
      <c r="D732" s="417"/>
      <c r="E732" s="418"/>
      <c r="F732" s="416"/>
      <c r="G732" s="417"/>
      <c r="H732" s="417"/>
      <c r="I732" s="417"/>
      <c r="J732" s="417"/>
      <c r="K732" s="419"/>
      <c r="L732" s="133"/>
      <c r="M732" s="415" t="str">
        <f t="shared" si="11"/>
        <v/>
      </c>
    </row>
    <row r="733" spans="1:13" ht="14.45" customHeight="1" x14ac:dyDescent="0.2">
      <c r="A733" s="420"/>
      <c r="B733" s="416"/>
      <c r="C733" s="417"/>
      <c r="D733" s="417"/>
      <c r="E733" s="418"/>
      <c r="F733" s="416"/>
      <c r="G733" s="417"/>
      <c r="H733" s="417"/>
      <c r="I733" s="417"/>
      <c r="J733" s="417"/>
      <c r="K733" s="419"/>
      <c r="L733" s="133"/>
      <c r="M733" s="415" t="str">
        <f t="shared" si="11"/>
        <v/>
      </c>
    </row>
    <row r="734" spans="1:13" ht="14.45" customHeight="1" x14ac:dyDescent="0.2">
      <c r="A734" s="420"/>
      <c r="B734" s="416"/>
      <c r="C734" s="417"/>
      <c r="D734" s="417"/>
      <c r="E734" s="418"/>
      <c r="F734" s="416"/>
      <c r="G734" s="417"/>
      <c r="H734" s="417"/>
      <c r="I734" s="417"/>
      <c r="J734" s="417"/>
      <c r="K734" s="419"/>
      <c r="L734" s="133"/>
      <c r="M734" s="415" t="str">
        <f t="shared" si="11"/>
        <v/>
      </c>
    </row>
    <row r="735" spans="1:13" ht="14.45" customHeight="1" x14ac:dyDescent="0.2">
      <c r="A735" s="420"/>
      <c r="B735" s="416"/>
      <c r="C735" s="417"/>
      <c r="D735" s="417"/>
      <c r="E735" s="418"/>
      <c r="F735" s="416"/>
      <c r="G735" s="417"/>
      <c r="H735" s="417"/>
      <c r="I735" s="417"/>
      <c r="J735" s="417"/>
      <c r="K735" s="419"/>
      <c r="L735" s="133"/>
      <c r="M735" s="415" t="str">
        <f t="shared" si="11"/>
        <v/>
      </c>
    </row>
    <row r="736" spans="1:13" ht="14.45" customHeight="1" x14ac:dyDescent="0.2">
      <c r="A736" s="420"/>
      <c r="B736" s="416"/>
      <c r="C736" s="417"/>
      <c r="D736" s="417"/>
      <c r="E736" s="418"/>
      <c r="F736" s="416"/>
      <c r="G736" s="417"/>
      <c r="H736" s="417"/>
      <c r="I736" s="417"/>
      <c r="J736" s="417"/>
      <c r="K736" s="419"/>
      <c r="L736" s="133"/>
      <c r="M736" s="415" t="str">
        <f t="shared" si="11"/>
        <v/>
      </c>
    </row>
    <row r="737" spans="1:13" ht="14.45" customHeight="1" x14ac:dyDescent="0.2">
      <c r="A737" s="420"/>
      <c r="B737" s="416"/>
      <c r="C737" s="417"/>
      <c r="D737" s="417"/>
      <c r="E737" s="418"/>
      <c r="F737" s="416"/>
      <c r="G737" s="417"/>
      <c r="H737" s="417"/>
      <c r="I737" s="417"/>
      <c r="J737" s="417"/>
      <c r="K737" s="419"/>
      <c r="L737" s="133"/>
      <c r="M737" s="415" t="str">
        <f t="shared" si="11"/>
        <v/>
      </c>
    </row>
    <row r="738" spans="1:13" ht="14.45" customHeight="1" x14ac:dyDescent="0.2">
      <c r="A738" s="420"/>
      <c r="B738" s="416"/>
      <c r="C738" s="417"/>
      <c r="D738" s="417"/>
      <c r="E738" s="418"/>
      <c r="F738" s="416"/>
      <c r="G738" s="417"/>
      <c r="H738" s="417"/>
      <c r="I738" s="417"/>
      <c r="J738" s="417"/>
      <c r="K738" s="419"/>
      <c r="L738" s="133"/>
      <c r="M738" s="415" t="str">
        <f t="shared" si="11"/>
        <v/>
      </c>
    </row>
    <row r="739" spans="1:13" ht="14.45" customHeight="1" x14ac:dyDescent="0.2">
      <c r="A739" s="420"/>
      <c r="B739" s="416"/>
      <c r="C739" s="417"/>
      <c r="D739" s="417"/>
      <c r="E739" s="418"/>
      <c r="F739" s="416"/>
      <c r="G739" s="417"/>
      <c r="H739" s="417"/>
      <c r="I739" s="417"/>
      <c r="J739" s="417"/>
      <c r="K739" s="419"/>
      <c r="L739" s="133"/>
      <c r="M739" s="415" t="str">
        <f t="shared" si="11"/>
        <v/>
      </c>
    </row>
    <row r="740" spans="1:13" ht="14.45" customHeight="1" x14ac:dyDescent="0.2">
      <c r="A740" s="420"/>
      <c r="B740" s="416"/>
      <c r="C740" s="417"/>
      <c r="D740" s="417"/>
      <c r="E740" s="418"/>
      <c r="F740" s="416"/>
      <c r="G740" s="417"/>
      <c r="H740" s="417"/>
      <c r="I740" s="417"/>
      <c r="J740" s="417"/>
      <c r="K740" s="419"/>
      <c r="L740" s="133"/>
      <c r="M740" s="415" t="str">
        <f t="shared" si="11"/>
        <v/>
      </c>
    </row>
    <row r="741" spans="1:13" ht="14.45" customHeight="1" x14ac:dyDescent="0.2">
      <c r="A741" s="420"/>
      <c r="B741" s="416"/>
      <c r="C741" s="417"/>
      <c r="D741" s="417"/>
      <c r="E741" s="418"/>
      <c r="F741" s="416"/>
      <c r="G741" s="417"/>
      <c r="H741" s="417"/>
      <c r="I741" s="417"/>
      <c r="J741" s="417"/>
      <c r="K741" s="419"/>
      <c r="L741" s="133"/>
      <c r="M741" s="415" t="str">
        <f t="shared" si="11"/>
        <v/>
      </c>
    </row>
    <row r="742" spans="1:13" ht="14.45" customHeight="1" x14ac:dyDescent="0.2">
      <c r="A742" s="420"/>
      <c r="B742" s="416"/>
      <c r="C742" s="417"/>
      <c r="D742" s="417"/>
      <c r="E742" s="418"/>
      <c r="F742" s="416"/>
      <c r="G742" s="417"/>
      <c r="H742" s="417"/>
      <c r="I742" s="417"/>
      <c r="J742" s="417"/>
      <c r="K742" s="419"/>
      <c r="L742" s="133"/>
      <c r="M742" s="415" t="str">
        <f t="shared" si="11"/>
        <v/>
      </c>
    </row>
    <row r="743" spans="1:13" ht="14.45" customHeight="1" x14ac:dyDescent="0.2">
      <c r="A743" s="420"/>
      <c r="B743" s="416"/>
      <c r="C743" s="417"/>
      <c r="D743" s="417"/>
      <c r="E743" s="418"/>
      <c r="F743" s="416"/>
      <c r="G743" s="417"/>
      <c r="H743" s="417"/>
      <c r="I743" s="417"/>
      <c r="J743" s="417"/>
      <c r="K743" s="419"/>
      <c r="L743" s="133"/>
      <c r="M743" s="415" t="str">
        <f t="shared" si="11"/>
        <v/>
      </c>
    </row>
    <row r="744" spans="1:13" ht="14.45" customHeight="1" x14ac:dyDescent="0.2">
      <c r="A744" s="420"/>
      <c r="B744" s="416"/>
      <c r="C744" s="417"/>
      <c r="D744" s="417"/>
      <c r="E744" s="418"/>
      <c r="F744" s="416"/>
      <c r="G744" s="417"/>
      <c r="H744" s="417"/>
      <c r="I744" s="417"/>
      <c r="J744" s="417"/>
      <c r="K744" s="419"/>
      <c r="L744" s="133"/>
      <c r="M744" s="415" t="str">
        <f t="shared" si="11"/>
        <v/>
      </c>
    </row>
    <row r="745" spans="1:13" ht="14.45" customHeight="1" x14ac:dyDescent="0.2">
      <c r="A745" s="420"/>
      <c r="B745" s="416"/>
      <c r="C745" s="417"/>
      <c r="D745" s="417"/>
      <c r="E745" s="418"/>
      <c r="F745" s="416"/>
      <c r="G745" s="417"/>
      <c r="H745" s="417"/>
      <c r="I745" s="417"/>
      <c r="J745" s="417"/>
      <c r="K745" s="419"/>
      <c r="L745" s="133"/>
      <c r="M745" s="415" t="str">
        <f t="shared" si="11"/>
        <v/>
      </c>
    </row>
    <row r="746" spans="1:13" ht="14.45" customHeight="1" x14ac:dyDescent="0.2">
      <c r="A746" s="420"/>
      <c r="B746" s="416"/>
      <c r="C746" s="417"/>
      <c r="D746" s="417"/>
      <c r="E746" s="418"/>
      <c r="F746" s="416"/>
      <c r="G746" s="417"/>
      <c r="H746" s="417"/>
      <c r="I746" s="417"/>
      <c r="J746" s="417"/>
      <c r="K746" s="419"/>
      <c r="L746" s="133"/>
      <c r="M746" s="415" t="str">
        <f t="shared" si="11"/>
        <v/>
      </c>
    </row>
    <row r="747" spans="1:13" ht="14.45" customHeight="1" x14ac:dyDescent="0.2">
      <c r="A747" s="420"/>
      <c r="B747" s="416"/>
      <c r="C747" s="417"/>
      <c r="D747" s="417"/>
      <c r="E747" s="418"/>
      <c r="F747" s="416"/>
      <c r="G747" s="417"/>
      <c r="H747" s="417"/>
      <c r="I747" s="417"/>
      <c r="J747" s="417"/>
      <c r="K747" s="419"/>
      <c r="L747" s="133"/>
      <c r="M747" s="415" t="str">
        <f t="shared" si="11"/>
        <v/>
      </c>
    </row>
    <row r="748" spans="1:13" ht="14.45" customHeight="1" x14ac:dyDescent="0.2">
      <c r="A748" s="420"/>
      <c r="B748" s="416"/>
      <c r="C748" s="417"/>
      <c r="D748" s="417"/>
      <c r="E748" s="418"/>
      <c r="F748" s="416"/>
      <c r="G748" s="417"/>
      <c r="H748" s="417"/>
      <c r="I748" s="417"/>
      <c r="J748" s="417"/>
      <c r="K748" s="419"/>
      <c r="L748" s="133"/>
      <c r="M748" s="415" t="str">
        <f t="shared" si="11"/>
        <v/>
      </c>
    </row>
    <row r="749" spans="1:13" ht="14.45" customHeight="1" x14ac:dyDescent="0.2">
      <c r="A749" s="420"/>
      <c r="B749" s="416"/>
      <c r="C749" s="417"/>
      <c r="D749" s="417"/>
      <c r="E749" s="418"/>
      <c r="F749" s="416"/>
      <c r="G749" s="417"/>
      <c r="H749" s="417"/>
      <c r="I749" s="417"/>
      <c r="J749" s="417"/>
      <c r="K749" s="419"/>
      <c r="L749" s="133"/>
      <c r="M749" s="415" t="str">
        <f t="shared" si="11"/>
        <v/>
      </c>
    </row>
    <row r="750" spans="1:13" ht="14.45" customHeight="1" x14ac:dyDescent="0.2">
      <c r="A750" s="420"/>
      <c r="B750" s="416"/>
      <c r="C750" s="417"/>
      <c r="D750" s="417"/>
      <c r="E750" s="418"/>
      <c r="F750" s="416"/>
      <c r="G750" s="417"/>
      <c r="H750" s="417"/>
      <c r="I750" s="417"/>
      <c r="J750" s="417"/>
      <c r="K750" s="419"/>
      <c r="L750" s="133"/>
      <c r="M750" s="415" t="str">
        <f t="shared" si="11"/>
        <v/>
      </c>
    </row>
    <row r="751" spans="1:13" ht="14.45" customHeight="1" x14ac:dyDescent="0.2">
      <c r="A751" s="420"/>
      <c r="B751" s="416"/>
      <c r="C751" s="417"/>
      <c r="D751" s="417"/>
      <c r="E751" s="418"/>
      <c r="F751" s="416"/>
      <c r="G751" s="417"/>
      <c r="H751" s="417"/>
      <c r="I751" s="417"/>
      <c r="J751" s="417"/>
      <c r="K751" s="419"/>
      <c r="L751" s="133"/>
      <c r="M751" s="415" t="str">
        <f t="shared" si="11"/>
        <v/>
      </c>
    </row>
    <row r="752" spans="1:13" ht="14.45" customHeight="1" x14ac:dyDescent="0.2">
      <c r="A752" s="420"/>
      <c r="B752" s="416"/>
      <c r="C752" s="417"/>
      <c r="D752" s="417"/>
      <c r="E752" s="418"/>
      <c r="F752" s="416"/>
      <c r="G752" s="417"/>
      <c r="H752" s="417"/>
      <c r="I752" s="417"/>
      <c r="J752" s="417"/>
      <c r="K752" s="419"/>
      <c r="L752" s="133"/>
      <c r="M752" s="415" t="str">
        <f t="shared" si="11"/>
        <v/>
      </c>
    </row>
    <row r="753" spans="1:13" ht="14.45" customHeight="1" x14ac:dyDescent="0.2">
      <c r="A753" s="420"/>
      <c r="B753" s="416"/>
      <c r="C753" s="417"/>
      <c r="D753" s="417"/>
      <c r="E753" s="418"/>
      <c r="F753" s="416"/>
      <c r="G753" s="417"/>
      <c r="H753" s="417"/>
      <c r="I753" s="417"/>
      <c r="J753" s="417"/>
      <c r="K753" s="419"/>
      <c r="L753" s="133"/>
      <c r="M753" s="415" t="str">
        <f t="shared" si="11"/>
        <v/>
      </c>
    </row>
    <row r="754" spans="1:13" ht="14.45" customHeight="1" x14ac:dyDescent="0.2">
      <c r="A754" s="420"/>
      <c r="B754" s="416"/>
      <c r="C754" s="417"/>
      <c r="D754" s="417"/>
      <c r="E754" s="418"/>
      <c r="F754" s="416"/>
      <c r="G754" s="417"/>
      <c r="H754" s="417"/>
      <c r="I754" s="417"/>
      <c r="J754" s="417"/>
      <c r="K754" s="419"/>
      <c r="L754" s="133"/>
      <c r="M754" s="415" t="str">
        <f t="shared" si="11"/>
        <v/>
      </c>
    </row>
    <row r="755" spans="1:13" ht="14.45" customHeight="1" x14ac:dyDescent="0.2">
      <c r="A755" s="420"/>
      <c r="B755" s="416"/>
      <c r="C755" s="417"/>
      <c r="D755" s="417"/>
      <c r="E755" s="418"/>
      <c r="F755" s="416"/>
      <c r="G755" s="417"/>
      <c r="H755" s="417"/>
      <c r="I755" s="417"/>
      <c r="J755" s="417"/>
      <c r="K755" s="419"/>
      <c r="L755" s="133"/>
      <c r="M755" s="415" t="str">
        <f t="shared" si="11"/>
        <v/>
      </c>
    </row>
    <row r="756" spans="1:13" ht="14.45" customHeight="1" x14ac:dyDescent="0.2">
      <c r="A756" s="420"/>
      <c r="B756" s="416"/>
      <c r="C756" s="417"/>
      <c r="D756" s="417"/>
      <c r="E756" s="418"/>
      <c r="F756" s="416"/>
      <c r="G756" s="417"/>
      <c r="H756" s="417"/>
      <c r="I756" s="417"/>
      <c r="J756" s="417"/>
      <c r="K756" s="419"/>
      <c r="L756" s="133"/>
      <c r="M756" s="415" t="str">
        <f t="shared" si="11"/>
        <v/>
      </c>
    </row>
    <row r="757" spans="1:13" ht="14.45" customHeight="1" x14ac:dyDescent="0.2">
      <c r="A757" s="420"/>
      <c r="B757" s="416"/>
      <c r="C757" s="417"/>
      <c r="D757" s="417"/>
      <c r="E757" s="418"/>
      <c r="F757" s="416"/>
      <c r="G757" s="417"/>
      <c r="H757" s="417"/>
      <c r="I757" s="417"/>
      <c r="J757" s="417"/>
      <c r="K757" s="419"/>
      <c r="L757" s="133"/>
      <c r="M757" s="415" t="str">
        <f t="shared" si="11"/>
        <v/>
      </c>
    </row>
    <row r="758" spans="1:13" ht="14.45" customHeight="1" x14ac:dyDescent="0.2">
      <c r="A758" s="420"/>
      <c r="B758" s="416"/>
      <c r="C758" s="417"/>
      <c r="D758" s="417"/>
      <c r="E758" s="418"/>
      <c r="F758" s="416"/>
      <c r="G758" s="417"/>
      <c r="H758" s="417"/>
      <c r="I758" s="417"/>
      <c r="J758" s="417"/>
      <c r="K758" s="419"/>
      <c r="L758" s="133"/>
      <c r="M758" s="415" t="str">
        <f t="shared" si="11"/>
        <v/>
      </c>
    </row>
    <row r="759" spans="1:13" ht="14.45" customHeight="1" x14ac:dyDescent="0.2">
      <c r="A759" s="420"/>
      <c r="B759" s="416"/>
      <c r="C759" s="417"/>
      <c r="D759" s="417"/>
      <c r="E759" s="418"/>
      <c r="F759" s="416"/>
      <c r="G759" s="417"/>
      <c r="H759" s="417"/>
      <c r="I759" s="417"/>
      <c r="J759" s="417"/>
      <c r="K759" s="419"/>
      <c r="L759" s="133"/>
      <c r="M759" s="415" t="str">
        <f t="shared" si="11"/>
        <v/>
      </c>
    </row>
    <row r="760" spans="1:13" ht="14.45" customHeight="1" x14ac:dyDescent="0.2">
      <c r="A760" s="420"/>
      <c r="B760" s="416"/>
      <c r="C760" s="417"/>
      <c r="D760" s="417"/>
      <c r="E760" s="418"/>
      <c r="F760" s="416"/>
      <c r="G760" s="417"/>
      <c r="H760" s="417"/>
      <c r="I760" s="417"/>
      <c r="J760" s="417"/>
      <c r="K760" s="419"/>
      <c r="L760" s="133"/>
      <c r="M760" s="415" t="str">
        <f t="shared" si="11"/>
        <v/>
      </c>
    </row>
    <row r="761" spans="1:13" ht="14.45" customHeight="1" x14ac:dyDescent="0.2">
      <c r="A761" s="420"/>
      <c r="B761" s="416"/>
      <c r="C761" s="417"/>
      <c r="D761" s="417"/>
      <c r="E761" s="418"/>
      <c r="F761" s="416"/>
      <c r="G761" s="417"/>
      <c r="H761" s="417"/>
      <c r="I761" s="417"/>
      <c r="J761" s="417"/>
      <c r="K761" s="419"/>
      <c r="L761" s="133"/>
      <c r="M761" s="415" t="str">
        <f t="shared" si="11"/>
        <v/>
      </c>
    </row>
    <row r="762" spans="1:13" ht="14.45" customHeight="1" x14ac:dyDescent="0.2">
      <c r="A762" s="420"/>
      <c r="B762" s="416"/>
      <c r="C762" s="417"/>
      <c r="D762" s="417"/>
      <c r="E762" s="418"/>
      <c r="F762" s="416"/>
      <c r="G762" s="417"/>
      <c r="H762" s="417"/>
      <c r="I762" s="417"/>
      <c r="J762" s="417"/>
      <c r="K762" s="419"/>
      <c r="L762" s="133"/>
      <c r="M762" s="415" t="str">
        <f t="shared" si="11"/>
        <v/>
      </c>
    </row>
    <row r="763" spans="1:13" ht="14.45" customHeight="1" x14ac:dyDescent="0.2">
      <c r="A763" s="420"/>
      <c r="B763" s="416"/>
      <c r="C763" s="417"/>
      <c r="D763" s="417"/>
      <c r="E763" s="418"/>
      <c r="F763" s="416"/>
      <c r="G763" s="417"/>
      <c r="H763" s="417"/>
      <c r="I763" s="417"/>
      <c r="J763" s="417"/>
      <c r="K763" s="419"/>
      <c r="L763" s="133"/>
      <c r="M763" s="415" t="str">
        <f t="shared" si="11"/>
        <v/>
      </c>
    </row>
    <row r="764" spans="1:13" ht="14.45" customHeight="1" x14ac:dyDescent="0.2">
      <c r="A764" s="420"/>
      <c r="B764" s="416"/>
      <c r="C764" s="417"/>
      <c r="D764" s="417"/>
      <c r="E764" s="418"/>
      <c r="F764" s="416"/>
      <c r="G764" s="417"/>
      <c r="H764" s="417"/>
      <c r="I764" s="417"/>
      <c r="J764" s="417"/>
      <c r="K764" s="419"/>
      <c r="L764" s="133"/>
      <c r="M764" s="415" t="str">
        <f t="shared" si="11"/>
        <v/>
      </c>
    </row>
    <row r="765" spans="1:13" ht="14.45" customHeight="1" x14ac:dyDescent="0.2">
      <c r="A765" s="420"/>
      <c r="B765" s="416"/>
      <c r="C765" s="417"/>
      <c r="D765" s="417"/>
      <c r="E765" s="418"/>
      <c r="F765" s="416"/>
      <c r="G765" s="417"/>
      <c r="H765" s="417"/>
      <c r="I765" s="417"/>
      <c r="J765" s="417"/>
      <c r="K765" s="419"/>
      <c r="L765" s="133"/>
      <c r="M765" s="415" t="str">
        <f t="shared" si="11"/>
        <v/>
      </c>
    </row>
    <row r="766" spans="1:13" ht="14.45" customHeight="1" x14ac:dyDescent="0.2">
      <c r="A766" s="420"/>
      <c r="B766" s="416"/>
      <c r="C766" s="417"/>
      <c r="D766" s="417"/>
      <c r="E766" s="418"/>
      <c r="F766" s="416"/>
      <c r="G766" s="417"/>
      <c r="H766" s="417"/>
      <c r="I766" s="417"/>
      <c r="J766" s="417"/>
      <c r="K766" s="419"/>
      <c r="L766" s="133"/>
      <c r="M766" s="415" t="str">
        <f t="shared" si="11"/>
        <v/>
      </c>
    </row>
    <row r="767" spans="1:13" ht="14.45" customHeight="1" x14ac:dyDescent="0.2">
      <c r="A767" s="420"/>
      <c r="B767" s="416"/>
      <c r="C767" s="417"/>
      <c r="D767" s="417"/>
      <c r="E767" s="418"/>
      <c r="F767" s="416"/>
      <c r="G767" s="417"/>
      <c r="H767" s="417"/>
      <c r="I767" s="417"/>
      <c r="J767" s="417"/>
      <c r="K767" s="419"/>
      <c r="L767" s="133"/>
      <c r="M767" s="415" t="str">
        <f t="shared" si="11"/>
        <v/>
      </c>
    </row>
    <row r="768" spans="1:13" ht="14.45" customHeight="1" x14ac:dyDescent="0.2">
      <c r="A768" s="420"/>
      <c r="B768" s="416"/>
      <c r="C768" s="417"/>
      <c r="D768" s="417"/>
      <c r="E768" s="418"/>
      <c r="F768" s="416"/>
      <c r="G768" s="417"/>
      <c r="H768" s="417"/>
      <c r="I768" s="417"/>
      <c r="J768" s="417"/>
      <c r="K768" s="419"/>
      <c r="L768" s="133"/>
      <c r="M768" s="415" t="str">
        <f t="shared" si="11"/>
        <v/>
      </c>
    </row>
    <row r="769" spans="1:13" ht="14.45" customHeight="1" x14ac:dyDescent="0.2">
      <c r="A769" s="420"/>
      <c r="B769" s="416"/>
      <c r="C769" s="417"/>
      <c r="D769" s="417"/>
      <c r="E769" s="418"/>
      <c r="F769" s="416"/>
      <c r="G769" s="417"/>
      <c r="H769" s="417"/>
      <c r="I769" s="417"/>
      <c r="J769" s="417"/>
      <c r="K769" s="419"/>
      <c r="L769" s="133"/>
      <c r="M769" s="415" t="str">
        <f t="shared" si="11"/>
        <v/>
      </c>
    </row>
    <row r="770" spans="1:13" ht="14.45" customHeight="1" x14ac:dyDescent="0.2">
      <c r="A770" s="420"/>
      <c r="B770" s="416"/>
      <c r="C770" s="417"/>
      <c r="D770" s="417"/>
      <c r="E770" s="418"/>
      <c r="F770" s="416"/>
      <c r="G770" s="417"/>
      <c r="H770" s="417"/>
      <c r="I770" s="417"/>
      <c r="J770" s="417"/>
      <c r="K770" s="419"/>
      <c r="L770" s="133"/>
      <c r="M770" s="415" t="str">
        <f t="shared" si="11"/>
        <v/>
      </c>
    </row>
    <row r="771" spans="1:13" ht="14.45" customHeight="1" x14ac:dyDescent="0.2">
      <c r="A771" s="420"/>
      <c r="B771" s="416"/>
      <c r="C771" s="417"/>
      <c r="D771" s="417"/>
      <c r="E771" s="418"/>
      <c r="F771" s="416"/>
      <c r="G771" s="417"/>
      <c r="H771" s="417"/>
      <c r="I771" s="417"/>
      <c r="J771" s="417"/>
      <c r="K771" s="419"/>
      <c r="L771" s="133"/>
      <c r="M771" s="415" t="str">
        <f t="shared" si="11"/>
        <v/>
      </c>
    </row>
    <row r="772" spans="1:13" ht="14.45" customHeight="1" x14ac:dyDescent="0.2">
      <c r="A772" s="420"/>
      <c r="B772" s="416"/>
      <c r="C772" s="417"/>
      <c r="D772" s="417"/>
      <c r="E772" s="418"/>
      <c r="F772" s="416"/>
      <c r="G772" s="417"/>
      <c r="H772" s="417"/>
      <c r="I772" s="417"/>
      <c r="J772" s="417"/>
      <c r="K772" s="419"/>
      <c r="L772" s="133"/>
      <c r="M772" s="415" t="str">
        <f t="shared" si="11"/>
        <v/>
      </c>
    </row>
    <row r="773" spans="1:13" ht="14.45" customHeight="1" x14ac:dyDescent="0.2">
      <c r="A773" s="420"/>
      <c r="B773" s="416"/>
      <c r="C773" s="417"/>
      <c r="D773" s="417"/>
      <c r="E773" s="418"/>
      <c r="F773" s="416"/>
      <c r="G773" s="417"/>
      <c r="H773" s="417"/>
      <c r="I773" s="417"/>
      <c r="J773" s="417"/>
      <c r="K773" s="419"/>
      <c r="L773" s="133"/>
      <c r="M773" s="415" t="str">
        <f t="shared" si="11"/>
        <v/>
      </c>
    </row>
    <row r="774" spans="1:13" ht="14.45" customHeight="1" x14ac:dyDescent="0.2">
      <c r="A774" s="420"/>
      <c r="B774" s="416"/>
      <c r="C774" s="417"/>
      <c r="D774" s="417"/>
      <c r="E774" s="418"/>
      <c r="F774" s="416"/>
      <c r="G774" s="417"/>
      <c r="H774" s="417"/>
      <c r="I774" s="417"/>
      <c r="J774" s="417"/>
      <c r="K774" s="419"/>
      <c r="L774" s="133"/>
      <c r="M774" s="415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420"/>
      <c r="B775" s="416"/>
      <c r="C775" s="417"/>
      <c r="D775" s="417"/>
      <c r="E775" s="418"/>
      <c r="F775" s="416"/>
      <c r="G775" s="417"/>
      <c r="H775" s="417"/>
      <c r="I775" s="417"/>
      <c r="J775" s="417"/>
      <c r="K775" s="419"/>
      <c r="L775" s="133"/>
      <c r="M775" s="415" t="str">
        <f t="shared" si="12"/>
        <v/>
      </c>
    </row>
    <row r="776" spans="1:13" ht="14.45" customHeight="1" x14ac:dyDescent="0.2">
      <c r="A776" s="420"/>
      <c r="B776" s="416"/>
      <c r="C776" s="417"/>
      <c r="D776" s="417"/>
      <c r="E776" s="418"/>
      <c r="F776" s="416"/>
      <c r="G776" s="417"/>
      <c r="H776" s="417"/>
      <c r="I776" s="417"/>
      <c r="J776" s="417"/>
      <c r="K776" s="419"/>
      <c r="L776" s="133"/>
      <c r="M776" s="415" t="str">
        <f t="shared" si="12"/>
        <v/>
      </c>
    </row>
    <row r="777" spans="1:13" ht="14.45" customHeight="1" x14ac:dyDescent="0.2">
      <c r="A777" s="420"/>
      <c r="B777" s="416"/>
      <c r="C777" s="417"/>
      <c r="D777" s="417"/>
      <c r="E777" s="418"/>
      <c r="F777" s="416"/>
      <c r="G777" s="417"/>
      <c r="H777" s="417"/>
      <c r="I777" s="417"/>
      <c r="J777" s="417"/>
      <c r="K777" s="419"/>
      <c r="L777" s="133"/>
      <c r="M777" s="415" t="str">
        <f t="shared" si="12"/>
        <v/>
      </c>
    </row>
    <row r="778" spans="1:13" ht="14.45" customHeight="1" x14ac:dyDescent="0.2">
      <c r="A778" s="420"/>
      <c r="B778" s="416"/>
      <c r="C778" s="417"/>
      <c r="D778" s="417"/>
      <c r="E778" s="418"/>
      <c r="F778" s="416"/>
      <c r="G778" s="417"/>
      <c r="H778" s="417"/>
      <c r="I778" s="417"/>
      <c r="J778" s="417"/>
      <c r="K778" s="419"/>
      <c r="L778" s="133"/>
      <c r="M778" s="415" t="str">
        <f t="shared" si="12"/>
        <v/>
      </c>
    </row>
    <row r="779" spans="1:13" ht="14.45" customHeight="1" x14ac:dyDescent="0.2">
      <c r="A779" s="420"/>
      <c r="B779" s="416"/>
      <c r="C779" s="417"/>
      <c r="D779" s="417"/>
      <c r="E779" s="418"/>
      <c r="F779" s="416"/>
      <c r="G779" s="417"/>
      <c r="H779" s="417"/>
      <c r="I779" s="417"/>
      <c r="J779" s="417"/>
      <c r="K779" s="419"/>
      <c r="L779" s="133"/>
      <c r="M779" s="415" t="str">
        <f t="shared" si="12"/>
        <v/>
      </c>
    </row>
    <row r="780" spans="1:13" ht="14.45" customHeight="1" x14ac:dyDescent="0.2">
      <c r="A780" s="420"/>
      <c r="B780" s="416"/>
      <c r="C780" s="417"/>
      <c r="D780" s="417"/>
      <c r="E780" s="418"/>
      <c r="F780" s="416"/>
      <c r="G780" s="417"/>
      <c r="H780" s="417"/>
      <c r="I780" s="417"/>
      <c r="J780" s="417"/>
      <c r="K780" s="419"/>
      <c r="L780" s="133"/>
      <c r="M780" s="415" t="str">
        <f t="shared" si="12"/>
        <v/>
      </c>
    </row>
    <row r="781" spans="1:13" ht="14.45" customHeight="1" x14ac:dyDescent="0.2">
      <c r="A781" s="420"/>
      <c r="B781" s="416"/>
      <c r="C781" s="417"/>
      <c r="D781" s="417"/>
      <c r="E781" s="418"/>
      <c r="F781" s="416"/>
      <c r="G781" s="417"/>
      <c r="H781" s="417"/>
      <c r="I781" s="417"/>
      <c r="J781" s="417"/>
      <c r="K781" s="419"/>
      <c r="L781" s="133"/>
      <c r="M781" s="415" t="str">
        <f t="shared" si="12"/>
        <v/>
      </c>
    </row>
    <row r="782" spans="1:13" ht="14.45" customHeight="1" x14ac:dyDescent="0.2">
      <c r="A782" s="420"/>
      <c r="B782" s="416"/>
      <c r="C782" s="417"/>
      <c r="D782" s="417"/>
      <c r="E782" s="418"/>
      <c r="F782" s="416"/>
      <c r="G782" s="417"/>
      <c r="H782" s="417"/>
      <c r="I782" s="417"/>
      <c r="J782" s="417"/>
      <c r="K782" s="419"/>
      <c r="L782" s="133"/>
      <c r="M782" s="415" t="str">
        <f t="shared" si="12"/>
        <v/>
      </c>
    </row>
    <row r="783" spans="1:13" ht="14.45" customHeight="1" x14ac:dyDescent="0.2">
      <c r="A783" s="420"/>
      <c r="B783" s="416"/>
      <c r="C783" s="417"/>
      <c r="D783" s="417"/>
      <c r="E783" s="418"/>
      <c r="F783" s="416"/>
      <c r="G783" s="417"/>
      <c r="H783" s="417"/>
      <c r="I783" s="417"/>
      <c r="J783" s="417"/>
      <c r="K783" s="419"/>
      <c r="L783" s="133"/>
      <c r="M783" s="415" t="str">
        <f t="shared" si="12"/>
        <v/>
      </c>
    </row>
    <row r="784" spans="1:13" ht="14.45" customHeight="1" x14ac:dyDescent="0.2">
      <c r="A784" s="420"/>
      <c r="B784" s="416"/>
      <c r="C784" s="417"/>
      <c r="D784" s="417"/>
      <c r="E784" s="418"/>
      <c r="F784" s="416"/>
      <c r="G784" s="417"/>
      <c r="H784" s="417"/>
      <c r="I784" s="417"/>
      <c r="J784" s="417"/>
      <c r="K784" s="419"/>
      <c r="L784" s="133"/>
      <c r="M784" s="415" t="str">
        <f t="shared" si="12"/>
        <v/>
      </c>
    </row>
    <row r="785" spans="1:13" ht="14.45" customHeight="1" x14ac:dyDescent="0.2">
      <c r="A785" s="420"/>
      <c r="B785" s="416"/>
      <c r="C785" s="417"/>
      <c r="D785" s="417"/>
      <c r="E785" s="418"/>
      <c r="F785" s="416"/>
      <c r="G785" s="417"/>
      <c r="H785" s="417"/>
      <c r="I785" s="417"/>
      <c r="J785" s="417"/>
      <c r="K785" s="419"/>
      <c r="L785" s="133"/>
      <c r="M785" s="415" t="str">
        <f t="shared" si="12"/>
        <v/>
      </c>
    </row>
    <row r="786" spans="1:13" ht="14.45" customHeight="1" x14ac:dyDescent="0.2">
      <c r="A786" s="420"/>
      <c r="B786" s="416"/>
      <c r="C786" s="417"/>
      <c r="D786" s="417"/>
      <c r="E786" s="418"/>
      <c r="F786" s="416"/>
      <c r="G786" s="417"/>
      <c r="H786" s="417"/>
      <c r="I786" s="417"/>
      <c r="J786" s="417"/>
      <c r="K786" s="419"/>
      <c r="L786" s="133"/>
      <c r="M786" s="415" t="str">
        <f t="shared" si="12"/>
        <v/>
      </c>
    </row>
    <row r="787" spans="1:13" ht="14.45" customHeight="1" x14ac:dyDescent="0.2">
      <c r="A787" s="420"/>
      <c r="B787" s="416"/>
      <c r="C787" s="417"/>
      <c r="D787" s="417"/>
      <c r="E787" s="418"/>
      <c r="F787" s="416"/>
      <c r="G787" s="417"/>
      <c r="H787" s="417"/>
      <c r="I787" s="417"/>
      <c r="J787" s="417"/>
      <c r="K787" s="419"/>
      <c r="L787" s="133"/>
      <c r="M787" s="415" t="str">
        <f t="shared" si="12"/>
        <v/>
      </c>
    </row>
    <row r="788" spans="1:13" ht="14.45" customHeight="1" x14ac:dyDescent="0.2">
      <c r="A788" s="420"/>
      <c r="B788" s="416"/>
      <c r="C788" s="417"/>
      <c r="D788" s="417"/>
      <c r="E788" s="418"/>
      <c r="F788" s="416"/>
      <c r="G788" s="417"/>
      <c r="H788" s="417"/>
      <c r="I788" s="417"/>
      <c r="J788" s="417"/>
      <c r="K788" s="419"/>
      <c r="L788" s="133"/>
      <c r="M788" s="415" t="str">
        <f t="shared" si="12"/>
        <v/>
      </c>
    </row>
    <row r="789" spans="1:13" ht="14.45" customHeight="1" x14ac:dyDescent="0.2">
      <c r="A789" s="420"/>
      <c r="B789" s="416"/>
      <c r="C789" s="417"/>
      <c r="D789" s="417"/>
      <c r="E789" s="418"/>
      <c r="F789" s="416"/>
      <c r="G789" s="417"/>
      <c r="H789" s="417"/>
      <c r="I789" s="417"/>
      <c r="J789" s="417"/>
      <c r="K789" s="419"/>
      <c r="L789" s="133"/>
      <c r="M789" s="415" t="str">
        <f t="shared" si="12"/>
        <v/>
      </c>
    </row>
    <row r="790" spans="1:13" ht="14.45" customHeight="1" x14ac:dyDescent="0.2">
      <c r="A790" s="420"/>
      <c r="B790" s="416"/>
      <c r="C790" s="417"/>
      <c r="D790" s="417"/>
      <c r="E790" s="418"/>
      <c r="F790" s="416"/>
      <c r="G790" s="417"/>
      <c r="H790" s="417"/>
      <c r="I790" s="417"/>
      <c r="J790" s="417"/>
      <c r="K790" s="419"/>
      <c r="L790" s="133"/>
      <c r="M790" s="415" t="str">
        <f t="shared" si="12"/>
        <v/>
      </c>
    </row>
    <row r="791" spans="1:13" ht="14.45" customHeight="1" x14ac:dyDescent="0.2">
      <c r="A791" s="420"/>
      <c r="B791" s="416"/>
      <c r="C791" s="417"/>
      <c r="D791" s="417"/>
      <c r="E791" s="418"/>
      <c r="F791" s="416"/>
      <c r="G791" s="417"/>
      <c r="H791" s="417"/>
      <c r="I791" s="417"/>
      <c r="J791" s="417"/>
      <c r="K791" s="419"/>
      <c r="L791" s="133"/>
      <c r="M791" s="415" t="str">
        <f t="shared" si="12"/>
        <v/>
      </c>
    </row>
    <row r="792" spans="1:13" ht="14.45" customHeight="1" x14ac:dyDescent="0.2">
      <c r="A792" s="420"/>
      <c r="B792" s="416"/>
      <c r="C792" s="417"/>
      <c r="D792" s="417"/>
      <c r="E792" s="418"/>
      <c r="F792" s="416"/>
      <c r="G792" s="417"/>
      <c r="H792" s="417"/>
      <c r="I792" s="417"/>
      <c r="J792" s="417"/>
      <c r="K792" s="419"/>
      <c r="L792" s="133"/>
      <c r="M792" s="415" t="str">
        <f t="shared" si="12"/>
        <v/>
      </c>
    </row>
    <row r="793" spans="1:13" ht="14.45" customHeight="1" x14ac:dyDescent="0.2">
      <c r="A793" s="420"/>
      <c r="B793" s="416"/>
      <c r="C793" s="417"/>
      <c r="D793" s="417"/>
      <c r="E793" s="418"/>
      <c r="F793" s="416"/>
      <c r="G793" s="417"/>
      <c r="H793" s="417"/>
      <c r="I793" s="417"/>
      <c r="J793" s="417"/>
      <c r="K793" s="419"/>
      <c r="L793" s="133"/>
      <c r="M793" s="415" t="str">
        <f t="shared" si="12"/>
        <v/>
      </c>
    </row>
    <row r="794" spans="1:13" ht="14.45" customHeight="1" x14ac:dyDescent="0.2">
      <c r="A794" s="420"/>
      <c r="B794" s="416"/>
      <c r="C794" s="417"/>
      <c r="D794" s="417"/>
      <c r="E794" s="418"/>
      <c r="F794" s="416"/>
      <c r="G794" s="417"/>
      <c r="H794" s="417"/>
      <c r="I794" s="417"/>
      <c r="J794" s="417"/>
      <c r="K794" s="419"/>
      <c r="L794" s="133"/>
      <c r="M794" s="415" t="str">
        <f t="shared" si="12"/>
        <v/>
      </c>
    </row>
    <row r="795" spans="1:13" ht="14.45" customHeight="1" x14ac:dyDescent="0.2">
      <c r="A795" s="420"/>
      <c r="B795" s="416"/>
      <c r="C795" s="417"/>
      <c r="D795" s="417"/>
      <c r="E795" s="418"/>
      <c r="F795" s="416"/>
      <c r="G795" s="417"/>
      <c r="H795" s="417"/>
      <c r="I795" s="417"/>
      <c r="J795" s="417"/>
      <c r="K795" s="419"/>
      <c r="L795" s="133"/>
      <c r="M795" s="415" t="str">
        <f t="shared" si="12"/>
        <v/>
      </c>
    </row>
    <row r="796" spans="1:13" ht="14.45" customHeight="1" x14ac:dyDescent="0.2">
      <c r="A796" s="420"/>
      <c r="B796" s="416"/>
      <c r="C796" s="417"/>
      <c r="D796" s="417"/>
      <c r="E796" s="418"/>
      <c r="F796" s="416"/>
      <c r="G796" s="417"/>
      <c r="H796" s="417"/>
      <c r="I796" s="417"/>
      <c r="J796" s="417"/>
      <c r="K796" s="419"/>
      <c r="L796" s="133"/>
      <c r="M796" s="415" t="str">
        <f t="shared" si="12"/>
        <v/>
      </c>
    </row>
    <row r="797" spans="1:13" ht="14.45" customHeight="1" x14ac:dyDescent="0.2">
      <c r="A797" s="420"/>
      <c r="B797" s="416"/>
      <c r="C797" s="417"/>
      <c r="D797" s="417"/>
      <c r="E797" s="418"/>
      <c r="F797" s="416"/>
      <c r="G797" s="417"/>
      <c r="H797" s="417"/>
      <c r="I797" s="417"/>
      <c r="J797" s="417"/>
      <c r="K797" s="419"/>
      <c r="L797" s="133"/>
      <c r="M797" s="415" t="str">
        <f t="shared" si="12"/>
        <v/>
      </c>
    </row>
    <row r="798" spans="1:13" ht="14.45" customHeight="1" x14ac:dyDescent="0.2">
      <c r="A798" s="420"/>
      <c r="B798" s="416"/>
      <c r="C798" s="417"/>
      <c r="D798" s="417"/>
      <c r="E798" s="418"/>
      <c r="F798" s="416"/>
      <c r="G798" s="417"/>
      <c r="H798" s="417"/>
      <c r="I798" s="417"/>
      <c r="J798" s="417"/>
      <c r="K798" s="419"/>
      <c r="L798" s="133"/>
      <c r="M798" s="415" t="str">
        <f t="shared" si="12"/>
        <v/>
      </c>
    </row>
    <row r="799" spans="1:13" ht="14.45" customHeight="1" x14ac:dyDescent="0.2">
      <c r="A799" s="420"/>
      <c r="B799" s="416"/>
      <c r="C799" s="417"/>
      <c r="D799" s="417"/>
      <c r="E799" s="418"/>
      <c r="F799" s="416"/>
      <c r="G799" s="417"/>
      <c r="H799" s="417"/>
      <c r="I799" s="417"/>
      <c r="J799" s="417"/>
      <c r="K799" s="419"/>
      <c r="L799" s="133"/>
      <c r="M799" s="415" t="str">
        <f t="shared" si="12"/>
        <v/>
      </c>
    </row>
    <row r="800" spans="1:13" ht="14.45" customHeight="1" x14ac:dyDescent="0.2">
      <c r="A800" s="420"/>
      <c r="B800" s="416"/>
      <c r="C800" s="417"/>
      <c r="D800" s="417"/>
      <c r="E800" s="418"/>
      <c r="F800" s="416"/>
      <c r="G800" s="417"/>
      <c r="H800" s="417"/>
      <c r="I800" s="417"/>
      <c r="J800" s="417"/>
      <c r="K800" s="419"/>
      <c r="L800" s="133"/>
      <c r="M800" s="415" t="str">
        <f t="shared" si="12"/>
        <v/>
      </c>
    </row>
    <row r="801" spans="1:13" ht="14.45" customHeight="1" x14ac:dyDescent="0.2">
      <c r="A801" s="420"/>
      <c r="B801" s="416"/>
      <c r="C801" s="417"/>
      <c r="D801" s="417"/>
      <c r="E801" s="418"/>
      <c r="F801" s="416"/>
      <c r="G801" s="417"/>
      <c r="H801" s="417"/>
      <c r="I801" s="417"/>
      <c r="J801" s="417"/>
      <c r="K801" s="419"/>
      <c r="L801" s="133"/>
      <c r="M801" s="415" t="str">
        <f t="shared" si="12"/>
        <v/>
      </c>
    </row>
    <row r="802" spans="1:13" ht="14.45" customHeight="1" x14ac:dyDescent="0.2">
      <c r="A802" s="420"/>
      <c r="B802" s="416"/>
      <c r="C802" s="417"/>
      <c r="D802" s="417"/>
      <c r="E802" s="418"/>
      <c r="F802" s="416"/>
      <c r="G802" s="417"/>
      <c r="H802" s="417"/>
      <c r="I802" s="417"/>
      <c r="J802" s="417"/>
      <c r="K802" s="419"/>
      <c r="L802" s="133"/>
      <c r="M802" s="415" t="str">
        <f t="shared" si="12"/>
        <v/>
      </c>
    </row>
    <row r="803" spans="1:13" ht="14.45" customHeight="1" x14ac:dyDescent="0.2">
      <c r="A803" s="420"/>
      <c r="B803" s="416"/>
      <c r="C803" s="417"/>
      <c r="D803" s="417"/>
      <c r="E803" s="418"/>
      <c r="F803" s="416"/>
      <c r="G803" s="417"/>
      <c r="H803" s="417"/>
      <c r="I803" s="417"/>
      <c r="J803" s="417"/>
      <c r="K803" s="419"/>
      <c r="L803" s="133"/>
      <c r="M803" s="415" t="str">
        <f t="shared" si="12"/>
        <v/>
      </c>
    </row>
    <row r="804" spans="1:13" ht="14.45" customHeight="1" x14ac:dyDescent="0.2">
      <c r="A804" s="420"/>
      <c r="B804" s="416"/>
      <c r="C804" s="417"/>
      <c r="D804" s="417"/>
      <c r="E804" s="418"/>
      <c r="F804" s="416"/>
      <c r="G804" s="417"/>
      <c r="H804" s="417"/>
      <c r="I804" s="417"/>
      <c r="J804" s="417"/>
      <c r="K804" s="419"/>
      <c r="L804" s="133"/>
      <c r="M804" s="415" t="str">
        <f t="shared" si="12"/>
        <v/>
      </c>
    </row>
    <row r="805" spans="1:13" ht="14.45" customHeight="1" x14ac:dyDescent="0.2">
      <c r="A805" s="420"/>
      <c r="B805" s="416"/>
      <c r="C805" s="417"/>
      <c r="D805" s="417"/>
      <c r="E805" s="418"/>
      <c r="F805" s="416"/>
      <c r="G805" s="417"/>
      <c r="H805" s="417"/>
      <c r="I805" s="417"/>
      <c r="J805" s="417"/>
      <c r="K805" s="419"/>
      <c r="L805" s="133"/>
      <c r="M805" s="415" t="str">
        <f t="shared" si="12"/>
        <v/>
      </c>
    </row>
    <row r="806" spans="1:13" ht="14.45" customHeight="1" x14ac:dyDescent="0.2">
      <c r="A806" s="420"/>
      <c r="B806" s="416"/>
      <c r="C806" s="417"/>
      <c r="D806" s="417"/>
      <c r="E806" s="418"/>
      <c r="F806" s="416"/>
      <c r="G806" s="417"/>
      <c r="H806" s="417"/>
      <c r="I806" s="417"/>
      <c r="J806" s="417"/>
      <c r="K806" s="419"/>
      <c r="L806" s="133"/>
      <c r="M806" s="415" t="str">
        <f t="shared" si="12"/>
        <v/>
      </c>
    </row>
    <row r="807" spans="1:13" ht="14.45" customHeight="1" x14ac:dyDescent="0.2">
      <c r="A807" s="420"/>
      <c r="B807" s="416"/>
      <c r="C807" s="417"/>
      <c r="D807" s="417"/>
      <c r="E807" s="418"/>
      <c r="F807" s="416"/>
      <c r="G807" s="417"/>
      <c r="H807" s="417"/>
      <c r="I807" s="417"/>
      <c r="J807" s="417"/>
      <c r="K807" s="419"/>
      <c r="L807" s="133"/>
      <c r="M807" s="415" t="str">
        <f t="shared" si="12"/>
        <v/>
      </c>
    </row>
    <row r="808" spans="1:13" ht="14.45" customHeight="1" x14ac:dyDescent="0.2">
      <c r="A808" s="420"/>
      <c r="B808" s="416"/>
      <c r="C808" s="417"/>
      <c r="D808" s="417"/>
      <c r="E808" s="418"/>
      <c r="F808" s="416"/>
      <c r="G808" s="417"/>
      <c r="H808" s="417"/>
      <c r="I808" s="417"/>
      <c r="J808" s="417"/>
      <c r="K808" s="419"/>
      <c r="L808" s="133"/>
      <c r="M808" s="415" t="str">
        <f t="shared" si="12"/>
        <v/>
      </c>
    </row>
    <row r="809" spans="1:13" ht="14.45" customHeight="1" x14ac:dyDescent="0.2">
      <c r="A809" s="420"/>
      <c r="B809" s="416"/>
      <c r="C809" s="417"/>
      <c r="D809" s="417"/>
      <c r="E809" s="418"/>
      <c r="F809" s="416"/>
      <c r="G809" s="417"/>
      <c r="H809" s="417"/>
      <c r="I809" s="417"/>
      <c r="J809" s="417"/>
      <c r="K809" s="419"/>
      <c r="L809" s="133"/>
      <c r="M809" s="415" t="str">
        <f t="shared" si="12"/>
        <v/>
      </c>
    </row>
    <row r="810" spans="1:13" ht="14.45" customHeight="1" x14ac:dyDescent="0.2">
      <c r="A810" s="420"/>
      <c r="B810" s="416"/>
      <c r="C810" s="417"/>
      <c r="D810" s="417"/>
      <c r="E810" s="418"/>
      <c r="F810" s="416"/>
      <c r="G810" s="417"/>
      <c r="H810" s="417"/>
      <c r="I810" s="417"/>
      <c r="J810" s="417"/>
      <c r="K810" s="419"/>
      <c r="L810" s="133"/>
      <c r="M810" s="415" t="str">
        <f t="shared" si="12"/>
        <v/>
      </c>
    </row>
    <row r="811" spans="1:13" ht="14.45" customHeight="1" x14ac:dyDescent="0.2">
      <c r="A811" s="420"/>
      <c r="B811" s="416"/>
      <c r="C811" s="417"/>
      <c r="D811" s="417"/>
      <c r="E811" s="418"/>
      <c r="F811" s="416"/>
      <c r="G811" s="417"/>
      <c r="H811" s="417"/>
      <c r="I811" s="417"/>
      <c r="J811" s="417"/>
      <c r="K811" s="419"/>
      <c r="L811" s="133"/>
      <c r="M811" s="415" t="str">
        <f t="shared" si="12"/>
        <v/>
      </c>
    </row>
    <row r="812" spans="1:13" ht="14.45" customHeight="1" x14ac:dyDescent="0.2">
      <c r="A812" s="420"/>
      <c r="B812" s="416"/>
      <c r="C812" s="417"/>
      <c r="D812" s="417"/>
      <c r="E812" s="418"/>
      <c r="F812" s="416"/>
      <c r="G812" s="417"/>
      <c r="H812" s="417"/>
      <c r="I812" s="417"/>
      <c r="J812" s="417"/>
      <c r="K812" s="419"/>
      <c r="L812" s="133"/>
      <c r="M812" s="415" t="str">
        <f t="shared" si="12"/>
        <v/>
      </c>
    </row>
    <row r="813" spans="1:13" ht="14.45" customHeight="1" x14ac:dyDescent="0.2">
      <c r="A813" s="420"/>
      <c r="B813" s="416"/>
      <c r="C813" s="417"/>
      <c r="D813" s="417"/>
      <c r="E813" s="418"/>
      <c r="F813" s="416"/>
      <c r="G813" s="417"/>
      <c r="H813" s="417"/>
      <c r="I813" s="417"/>
      <c r="J813" s="417"/>
      <c r="K813" s="419"/>
      <c r="L813" s="133"/>
      <c r="M813" s="415" t="str">
        <f t="shared" si="12"/>
        <v/>
      </c>
    </row>
    <row r="814" spans="1:13" ht="14.45" customHeight="1" x14ac:dyDescent="0.2">
      <c r="A814" s="420"/>
      <c r="B814" s="416"/>
      <c r="C814" s="417"/>
      <c r="D814" s="417"/>
      <c r="E814" s="418"/>
      <c r="F814" s="416"/>
      <c r="G814" s="417"/>
      <c r="H814" s="417"/>
      <c r="I814" s="417"/>
      <c r="J814" s="417"/>
      <c r="K814" s="419"/>
      <c r="L814" s="133"/>
      <c r="M814" s="415" t="str">
        <f t="shared" si="12"/>
        <v/>
      </c>
    </row>
    <row r="815" spans="1:13" ht="14.45" customHeight="1" x14ac:dyDescent="0.2">
      <c r="A815" s="420"/>
      <c r="B815" s="416"/>
      <c r="C815" s="417"/>
      <c r="D815" s="417"/>
      <c r="E815" s="418"/>
      <c r="F815" s="416"/>
      <c r="G815" s="417"/>
      <c r="H815" s="417"/>
      <c r="I815" s="417"/>
      <c r="J815" s="417"/>
      <c r="K815" s="419"/>
      <c r="L815" s="133"/>
      <c r="M815" s="415" t="str">
        <f t="shared" si="12"/>
        <v/>
      </c>
    </row>
    <row r="816" spans="1:13" ht="14.45" customHeight="1" x14ac:dyDescent="0.2">
      <c r="A816" s="420"/>
      <c r="B816" s="416"/>
      <c r="C816" s="417"/>
      <c r="D816" s="417"/>
      <c r="E816" s="418"/>
      <c r="F816" s="416"/>
      <c r="G816" s="417"/>
      <c r="H816" s="417"/>
      <c r="I816" s="417"/>
      <c r="J816" s="417"/>
      <c r="K816" s="419"/>
      <c r="L816" s="133"/>
      <c r="M816" s="415" t="str">
        <f t="shared" si="12"/>
        <v/>
      </c>
    </row>
    <row r="817" spans="1:13" ht="14.45" customHeight="1" x14ac:dyDescent="0.2">
      <c r="A817" s="420"/>
      <c r="B817" s="416"/>
      <c r="C817" s="417"/>
      <c r="D817" s="417"/>
      <c r="E817" s="418"/>
      <c r="F817" s="416"/>
      <c r="G817" s="417"/>
      <c r="H817" s="417"/>
      <c r="I817" s="417"/>
      <c r="J817" s="417"/>
      <c r="K817" s="419"/>
      <c r="L817" s="133"/>
      <c r="M817" s="415" t="str">
        <f t="shared" si="12"/>
        <v/>
      </c>
    </row>
    <row r="818" spans="1:13" ht="14.45" customHeight="1" x14ac:dyDescent="0.2">
      <c r="A818" s="420"/>
      <c r="B818" s="416"/>
      <c r="C818" s="417"/>
      <c r="D818" s="417"/>
      <c r="E818" s="418"/>
      <c r="F818" s="416"/>
      <c r="G818" s="417"/>
      <c r="H818" s="417"/>
      <c r="I818" s="417"/>
      <c r="J818" s="417"/>
      <c r="K818" s="419"/>
      <c r="L818" s="133"/>
      <c r="M818" s="415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43" priority="3">
      <formula>$M23="HV"</formula>
    </cfRule>
    <cfRule type="expression" dxfId="42" priority="4">
      <formula>$M23="X"</formula>
    </cfRule>
  </conditionalFormatting>
  <conditionalFormatting sqref="A6:K22">
    <cfRule type="expression" dxfId="41" priority="1">
      <formula>$M6="HV"</formula>
    </cfRule>
    <cfRule type="expression" dxfId="40" priority="2">
      <formula>$M6="X"</formula>
    </cfRule>
  </conditionalFormatting>
  <hyperlinks>
    <hyperlink ref="A2" location="Obsah!A1" display="Zpět na Obsah  KL 01  1.-4.měsíc" xr:uid="{BB05081D-1FDF-4EC6-AB00-E11FE5722DE1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90" customWidth="1"/>
    <col min="2" max="2" width="61.140625" style="190" customWidth="1"/>
    <col min="3" max="3" width="9.5703125" style="114" customWidth="1" outlineLevel="1"/>
    <col min="4" max="4" width="9.5703125" style="191" customWidth="1"/>
    <col min="5" max="5" width="2.28515625" style="191" customWidth="1"/>
    <col min="6" max="6" width="9.5703125" style="192" customWidth="1"/>
    <col min="7" max="7" width="9.5703125" style="189" customWidth="1"/>
    <col min="8" max="9" width="9.5703125" style="114" customWidth="1"/>
    <col min="10" max="10" width="0" style="114" hidden="1" customWidth="1"/>
    <col min="11" max="16384" width="8.85546875" style="114"/>
  </cols>
  <sheetData>
    <row r="1" spans="1:10" ht="18.600000000000001" customHeight="1" thickBot="1" x14ac:dyDescent="0.35">
      <c r="A1" s="334" t="s">
        <v>117</v>
      </c>
      <c r="B1" s="335"/>
      <c r="C1" s="335"/>
      <c r="D1" s="335"/>
      <c r="E1" s="335"/>
      <c r="F1" s="335"/>
      <c r="G1" s="305"/>
      <c r="H1" s="336"/>
      <c r="I1" s="336"/>
    </row>
    <row r="2" spans="1:10" ht="14.45" customHeight="1" thickBot="1" x14ac:dyDescent="0.25">
      <c r="A2" s="207" t="s">
        <v>242</v>
      </c>
      <c r="B2" s="188"/>
      <c r="C2" s="188"/>
      <c r="D2" s="188"/>
      <c r="E2" s="188"/>
      <c r="F2" s="188"/>
    </row>
    <row r="3" spans="1:10" ht="14.45" customHeight="1" thickBot="1" x14ac:dyDescent="0.25">
      <c r="A3" s="207"/>
      <c r="B3" s="246"/>
      <c r="C3" s="245">
        <v>2018</v>
      </c>
      <c r="D3" s="214">
        <v>2019</v>
      </c>
      <c r="E3" s="7"/>
      <c r="F3" s="313">
        <v>2020</v>
      </c>
      <c r="G3" s="331"/>
      <c r="H3" s="331"/>
      <c r="I3" s="314"/>
    </row>
    <row r="4" spans="1:10" ht="14.45" customHeight="1" thickBot="1" x14ac:dyDescent="0.25">
      <c r="A4" s="218" t="s">
        <v>0</v>
      </c>
      <c r="B4" s="219" t="s">
        <v>167</v>
      </c>
      <c r="C4" s="332" t="s">
        <v>59</v>
      </c>
      <c r="D4" s="333"/>
      <c r="E4" s="220"/>
      <c r="F4" s="215" t="s">
        <v>59</v>
      </c>
      <c r="G4" s="216" t="s">
        <v>60</v>
      </c>
      <c r="H4" s="216" t="s">
        <v>54</v>
      </c>
      <c r="I4" s="217" t="s">
        <v>61</v>
      </c>
    </row>
    <row r="5" spans="1:10" ht="14.45" customHeight="1" x14ac:dyDescent="0.2">
      <c r="A5" s="421" t="s">
        <v>437</v>
      </c>
      <c r="B5" s="422" t="s">
        <v>438</v>
      </c>
      <c r="C5" s="423" t="s">
        <v>243</v>
      </c>
      <c r="D5" s="423" t="s">
        <v>243</v>
      </c>
      <c r="E5" s="423"/>
      <c r="F5" s="423" t="s">
        <v>243</v>
      </c>
      <c r="G5" s="423" t="s">
        <v>243</v>
      </c>
      <c r="H5" s="423" t="s">
        <v>243</v>
      </c>
      <c r="I5" s="424" t="s">
        <v>243</v>
      </c>
      <c r="J5" s="425" t="s">
        <v>55</v>
      </c>
    </row>
    <row r="6" spans="1:10" ht="14.45" customHeight="1" x14ac:dyDescent="0.2">
      <c r="A6" s="421" t="s">
        <v>437</v>
      </c>
      <c r="B6" s="422" t="s">
        <v>439</v>
      </c>
      <c r="C6" s="423">
        <v>145.41201999999998</v>
      </c>
      <c r="D6" s="423">
        <v>174.62611000000001</v>
      </c>
      <c r="E6" s="423"/>
      <c r="F6" s="423">
        <v>148.89255999999997</v>
      </c>
      <c r="G6" s="423">
        <v>0</v>
      </c>
      <c r="H6" s="423">
        <v>148.89255999999997</v>
      </c>
      <c r="I6" s="424" t="s">
        <v>243</v>
      </c>
      <c r="J6" s="425" t="s">
        <v>1</v>
      </c>
    </row>
    <row r="7" spans="1:10" ht="14.45" customHeight="1" x14ac:dyDescent="0.2">
      <c r="A7" s="421" t="s">
        <v>437</v>
      </c>
      <c r="B7" s="422" t="s">
        <v>440</v>
      </c>
      <c r="C7" s="423">
        <v>1.0309299999999999</v>
      </c>
      <c r="D7" s="423">
        <v>1.4423299999999999</v>
      </c>
      <c r="E7" s="423"/>
      <c r="F7" s="423">
        <v>1.1451100000000001</v>
      </c>
      <c r="G7" s="423">
        <v>0</v>
      </c>
      <c r="H7" s="423">
        <v>1.1451100000000001</v>
      </c>
      <c r="I7" s="424" t="s">
        <v>243</v>
      </c>
      <c r="J7" s="425" t="s">
        <v>1</v>
      </c>
    </row>
    <row r="8" spans="1:10" ht="14.45" customHeight="1" x14ac:dyDescent="0.2">
      <c r="A8" s="421" t="s">
        <v>437</v>
      </c>
      <c r="B8" s="422" t="s">
        <v>441</v>
      </c>
      <c r="C8" s="423">
        <v>76.451999999999998</v>
      </c>
      <c r="D8" s="423">
        <v>69.942999999999998</v>
      </c>
      <c r="E8" s="423"/>
      <c r="F8" s="423">
        <v>49.3005</v>
      </c>
      <c r="G8" s="423">
        <v>0</v>
      </c>
      <c r="H8" s="423">
        <v>49.3005</v>
      </c>
      <c r="I8" s="424" t="s">
        <v>243</v>
      </c>
      <c r="J8" s="425" t="s">
        <v>1</v>
      </c>
    </row>
    <row r="9" spans="1:10" ht="14.45" customHeight="1" x14ac:dyDescent="0.2">
      <c r="A9" s="421" t="s">
        <v>437</v>
      </c>
      <c r="B9" s="422" t="s">
        <v>442</v>
      </c>
      <c r="C9" s="423">
        <v>222.89494999999999</v>
      </c>
      <c r="D9" s="423">
        <v>246.01143999999999</v>
      </c>
      <c r="E9" s="423"/>
      <c r="F9" s="423">
        <v>199.33816999999996</v>
      </c>
      <c r="G9" s="423">
        <v>0</v>
      </c>
      <c r="H9" s="423">
        <v>199.33816999999996</v>
      </c>
      <c r="I9" s="424" t="s">
        <v>243</v>
      </c>
      <c r="J9" s="425" t="s">
        <v>443</v>
      </c>
    </row>
    <row r="11" spans="1:10" ht="14.45" customHeight="1" x14ac:dyDescent="0.2">
      <c r="A11" s="421" t="s">
        <v>437</v>
      </c>
      <c r="B11" s="422" t="s">
        <v>438</v>
      </c>
      <c r="C11" s="423" t="s">
        <v>243</v>
      </c>
      <c r="D11" s="423" t="s">
        <v>243</v>
      </c>
      <c r="E11" s="423"/>
      <c r="F11" s="423" t="s">
        <v>243</v>
      </c>
      <c r="G11" s="423" t="s">
        <v>243</v>
      </c>
      <c r="H11" s="423" t="s">
        <v>243</v>
      </c>
      <c r="I11" s="424" t="s">
        <v>243</v>
      </c>
      <c r="J11" s="425" t="s">
        <v>55</v>
      </c>
    </row>
    <row r="12" spans="1:10" ht="14.45" customHeight="1" x14ac:dyDescent="0.2">
      <c r="A12" s="421" t="s">
        <v>444</v>
      </c>
      <c r="B12" s="422" t="s">
        <v>445</v>
      </c>
      <c r="C12" s="423" t="s">
        <v>243</v>
      </c>
      <c r="D12" s="423" t="s">
        <v>243</v>
      </c>
      <c r="E12" s="423"/>
      <c r="F12" s="423" t="s">
        <v>243</v>
      </c>
      <c r="G12" s="423" t="s">
        <v>243</v>
      </c>
      <c r="H12" s="423" t="s">
        <v>243</v>
      </c>
      <c r="I12" s="424" t="s">
        <v>243</v>
      </c>
      <c r="J12" s="425" t="s">
        <v>0</v>
      </c>
    </row>
    <row r="13" spans="1:10" ht="14.45" customHeight="1" x14ac:dyDescent="0.2">
      <c r="A13" s="421" t="s">
        <v>444</v>
      </c>
      <c r="B13" s="422" t="s">
        <v>439</v>
      </c>
      <c r="C13" s="423">
        <v>145.41201999999998</v>
      </c>
      <c r="D13" s="423">
        <v>174.62611000000001</v>
      </c>
      <c r="E13" s="423"/>
      <c r="F13" s="423">
        <v>148.89255999999997</v>
      </c>
      <c r="G13" s="423">
        <v>0</v>
      </c>
      <c r="H13" s="423">
        <v>148.89255999999997</v>
      </c>
      <c r="I13" s="424" t="s">
        <v>243</v>
      </c>
      <c r="J13" s="425" t="s">
        <v>1</v>
      </c>
    </row>
    <row r="14" spans="1:10" ht="14.45" customHeight="1" x14ac:dyDescent="0.2">
      <c r="A14" s="421" t="s">
        <v>444</v>
      </c>
      <c r="B14" s="422" t="s">
        <v>440</v>
      </c>
      <c r="C14" s="423">
        <v>1.0309299999999999</v>
      </c>
      <c r="D14" s="423">
        <v>1.4423299999999999</v>
      </c>
      <c r="E14" s="423"/>
      <c r="F14" s="423">
        <v>1.1451100000000001</v>
      </c>
      <c r="G14" s="423">
        <v>0</v>
      </c>
      <c r="H14" s="423">
        <v>1.1451100000000001</v>
      </c>
      <c r="I14" s="424" t="s">
        <v>243</v>
      </c>
      <c r="J14" s="425" t="s">
        <v>1</v>
      </c>
    </row>
    <row r="15" spans="1:10" ht="14.45" customHeight="1" x14ac:dyDescent="0.2">
      <c r="A15" s="421" t="s">
        <v>444</v>
      </c>
      <c r="B15" s="422" t="s">
        <v>441</v>
      </c>
      <c r="C15" s="423">
        <v>76.451999999999998</v>
      </c>
      <c r="D15" s="423">
        <v>69.942999999999998</v>
      </c>
      <c r="E15" s="423"/>
      <c r="F15" s="423">
        <v>49.3005</v>
      </c>
      <c r="G15" s="423">
        <v>0</v>
      </c>
      <c r="H15" s="423">
        <v>49.3005</v>
      </c>
      <c r="I15" s="424" t="s">
        <v>243</v>
      </c>
      <c r="J15" s="425" t="s">
        <v>1</v>
      </c>
    </row>
    <row r="16" spans="1:10" ht="14.45" customHeight="1" x14ac:dyDescent="0.2">
      <c r="A16" s="421" t="s">
        <v>444</v>
      </c>
      <c r="B16" s="422" t="s">
        <v>446</v>
      </c>
      <c r="C16" s="423">
        <v>222.89494999999999</v>
      </c>
      <c r="D16" s="423">
        <v>246.01143999999999</v>
      </c>
      <c r="E16" s="423"/>
      <c r="F16" s="423">
        <v>199.33816999999996</v>
      </c>
      <c r="G16" s="423">
        <v>0</v>
      </c>
      <c r="H16" s="423">
        <v>199.33816999999996</v>
      </c>
      <c r="I16" s="424" t="s">
        <v>243</v>
      </c>
      <c r="J16" s="425" t="s">
        <v>447</v>
      </c>
    </row>
    <row r="17" spans="1:10" ht="14.45" customHeight="1" x14ac:dyDescent="0.2">
      <c r="A17" s="421" t="s">
        <v>243</v>
      </c>
      <c r="B17" s="422" t="s">
        <v>243</v>
      </c>
      <c r="C17" s="423" t="s">
        <v>243</v>
      </c>
      <c r="D17" s="423" t="s">
        <v>243</v>
      </c>
      <c r="E17" s="423"/>
      <c r="F17" s="423" t="s">
        <v>243</v>
      </c>
      <c r="G17" s="423" t="s">
        <v>243</v>
      </c>
      <c r="H17" s="423" t="s">
        <v>243</v>
      </c>
      <c r="I17" s="424" t="s">
        <v>243</v>
      </c>
      <c r="J17" s="425" t="s">
        <v>448</v>
      </c>
    </row>
    <row r="18" spans="1:10" ht="14.45" customHeight="1" x14ac:dyDescent="0.2">
      <c r="A18" s="421" t="s">
        <v>437</v>
      </c>
      <c r="B18" s="422" t="s">
        <v>442</v>
      </c>
      <c r="C18" s="423">
        <v>222.89494999999999</v>
      </c>
      <c r="D18" s="423">
        <v>246.01143999999999</v>
      </c>
      <c r="E18" s="423"/>
      <c r="F18" s="423">
        <v>199.33816999999996</v>
      </c>
      <c r="G18" s="423">
        <v>0</v>
      </c>
      <c r="H18" s="423">
        <v>199.33816999999996</v>
      </c>
      <c r="I18" s="424" t="s">
        <v>243</v>
      </c>
      <c r="J18" s="425" t="s">
        <v>443</v>
      </c>
    </row>
  </sheetData>
  <mergeCells count="3">
    <mergeCell ref="F3:I3"/>
    <mergeCell ref="C4:D4"/>
    <mergeCell ref="A1:I1"/>
  </mergeCells>
  <conditionalFormatting sqref="F10 F19:F65537">
    <cfRule type="cellIs" dxfId="39" priority="18" stopIfTrue="1" operator="greaterThan">
      <formula>1</formula>
    </cfRule>
  </conditionalFormatting>
  <conditionalFormatting sqref="H5:H9">
    <cfRule type="expression" dxfId="38" priority="14">
      <formula>$H5&gt;0</formula>
    </cfRule>
  </conditionalFormatting>
  <conditionalFormatting sqref="I5:I9">
    <cfRule type="expression" dxfId="37" priority="15">
      <formula>$I5&gt;1</formula>
    </cfRule>
  </conditionalFormatting>
  <conditionalFormatting sqref="B5:B9">
    <cfRule type="expression" dxfId="36" priority="11">
      <formula>OR($J5="NS",$J5="SumaNS",$J5="Účet")</formula>
    </cfRule>
  </conditionalFormatting>
  <conditionalFormatting sqref="B5:D9 F5:I9">
    <cfRule type="expression" dxfId="35" priority="17">
      <formula>AND($J5&lt;&gt;"",$J5&lt;&gt;"mezeraKL")</formula>
    </cfRule>
  </conditionalFormatting>
  <conditionalFormatting sqref="B5:D9 F5:I9">
    <cfRule type="expression" dxfId="34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33" priority="13">
      <formula>OR($J5="SumaNS",$J5="NS")</formula>
    </cfRule>
  </conditionalFormatting>
  <conditionalFormatting sqref="A5:A9">
    <cfRule type="expression" dxfId="32" priority="9">
      <formula>AND($J5&lt;&gt;"mezeraKL",$J5&lt;&gt;"")</formula>
    </cfRule>
  </conditionalFormatting>
  <conditionalFormatting sqref="A5:A9">
    <cfRule type="expression" dxfId="31" priority="10">
      <formula>AND($J5&lt;&gt;"",$J5&lt;&gt;"mezeraKL")</formula>
    </cfRule>
  </conditionalFormatting>
  <conditionalFormatting sqref="H11:H18">
    <cfRule type="expression" dxfId="30" priority="5">
      <formula>$H11&gt;0</formula>
    </cfRule>
  </conditionalFormatting>
  <conditionalFormatting sqref="A11:A18">
    <cfRule type="expression" dxfId="29" priority="2">
      <formula>AND($J11&lt;&gt;"mezeraKL",$J11&lt;&gt;"")</formula>
    </cfRule>
  </conditionalFormatting>
  <conditionalFormatting sqref="I11:I18">
    <cfRule type="expression" dxfId="28" priority="6">
      <formula>$I11&gt;1</formula>
    </cfRule>
  </conditionalFormatting>
  <conditionalFormatting sqref="B11:B18">
    <cfRule type="expression" dxfId="27" priority="1">
      <formula>OR($J11="NS",$J11="SumaNS",$J11="Účet")</formula>
    </cfRule>
  </conditionalFormatting>
  <conditionalFormatting sqref="A11:D18 F11:I18">
    <cfRule type="expression" dxfId="26" priority="8">
      <formula>AND($J11&lt;&gt;"",$J11&lt;&gt;"mezeraKL")</formula>
    </cfRule>
  </conditionalFormatting>
  <conditionalFormatting sqref="B11:D18 F11:I18">
    <cfRule type="expression" dxfId="25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24" priority="4">
      <formula>OR($J11="SumaNS",$J11="NS")</formula>
    </cfRule>
  </conditionalFormatting>
  <hyperlinks>
    <hyperlink ref="A2" location="Obsah!A1" display="Zpět na Obsah  KL 01  1.-4.měsíc" xr:uid="{DF0C5066-CA50-4A89-BB95-D047D9140065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80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14" hidden="1" customWidth="1" outlineLevel="1"/>
    <col min="2" max="2" width="28.28515625" style="114" hidden="1" customWidth="1" outlineLevel="1"/>
    <col min="3" max="3" width="5.28515625" style="191" bestFit="1" customWidth="1" collapsed="1"/>
    <col min="4" max="4" width="18.7109375" style="195" customWidth="1"/>
    <col min="5" max="5" width="9" style="250" bestFit="1" customWidth="1"/>
    <col min="6" max="6" width="18.7109375" style="195" customWidth="1"/>
    <col min="7" max="7" width="5" style="191" customWidth="1"/>
    <col min="8" max="8" width="12.42578125" style="191" hidden="1" customWidth="1" outlineLevel="1"/>
    <col min="9" max="9" width="8.5703125" style="191" hidden="1" customWidth="1" outlineLevel="1"/>
    <col min="10" max="10" width="25.7109375" style="191" customWidth="1" collapsed="1"/>
    <col min="11" max="11" width="8.7109375" style="191" customWidth="1"/>
    <col min="12" max="13" width="7.7109375" style="189" customWidth="1"/>
    <col min="14" max="14" width="12.7109375" style="189" customWidth="1"/>
    <col min="15" max="16384" width="8.85546875" style="114"/>
  </cols>
  <sheetData>
    <row r="1" spans="1:14" ht="18.600000000000001" customHeight="1" thickBot="1" x14ac:dyDescent="0.35">
      <c r="A1" s="341" t="s">
        <v>136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</row>
    <row r="2" spans="1:14" ht="14.45" customHeight="1" thickBot="1" x14ac:dyDescent="0.25">
      <c r="A2" s="207" t="s">
        <v>242</v>
      </c>
      <c r="B2" s="62"/>
      <c r="C2" s="193"/>
      <c r="D2" s="193"/>
      <c r="E2" s="249"/>
      <c r="F2" s="193"/>
      <c r="G2" s="193"/>
      <c r="H2" s="193"/>
      <c r="I2" s="193"/>
      <c r="J2" s="193"/>
      <c r="K2" s="193"/>
      <c r="L2" s="194"/>
      <c r="M2" s="194"/>
      <c r="N2" s="194"/>
    </row>
    <row r="3" spans="1:14" ht="14.45" customHeight="1" thickBot="1" x14ac:dyDescent="0.25">
      <c r="A3" s="62"/>
      <c r="B3" s="62"/>
      <c r="C3" s="337"/>
      <c r="D3" s="338"/>
      <c r="E3" s="338"/>
      <c r="F3" s="338"/>
      <c r="G3" s="338"/>
      <c r="H3" s="338"/>
      <c r="I3" s="338"/>
      <c r="J3" s="339" t="s">
        <v>107</v>
      </c>
      <c r="K3" s="340"/>
      <c r="L3" s="84">
        <f>IF(M3&lt;&gt;0,N3/M3,0)</f>
        <v>139.07439036479084</v>
      </c>
      <c r="M3" s="84">
        <f>SUBTOTAL(9,M5:M1048576)</f>
        <v>1074.1500000000001</v>
      </c>
      <c r="N3" s="85">
        <f>SUBTOTAL(9,N5:N1048576)</f>
        <v>149386.75641034011</v>
      </c>
    </row>
    <row r="4" spans="1:14" s="190" customFormat="1" ht="14.45" customHeight="1" thickBot="1" x14ac:dyDescent="0.25">
      <c r="A4" s="426" t="s">
        <v>4</v>
      </c>
      <c r="B4" s="427" t="s">
        <v>5</v>
      </c>
      <c r="C4" s="427" t="s">
        <v>0</v>
      </c>
      <c r="D4" s="427" t="s">
        <v>6</v>
      </c>
      <c r="E4" s="428" t="s">
        <v>7</v>
      </c>
      <c r="F4" s="427" t="s">
        <v>1</v>
      </c>
      <c r="G4" s="427" t="s">
        <v>8</v>
      </c>
      <c r="H4" s="427" t="s">
        <v>9</v>
      </c>
      <c r="I4" s="427" t="s">
        <v>10</v>
      </c>
      <c r="J4" s="429" t="s">
        <v>11</v>
      </c>
      <c r="K4" s="429" t="s">
        <v>12</v>
      </c>
      <c r="L4" s="430" t="s">
        <v>121</v>
      </c>
      <c r="M4" s="430" t="s">
        <v>13</v>
      </c>
      <c r="N4" s="431" t="s">
        <v>132</v>
      </c>
    </row>
    <row r="5" spans="1:14" ht="14.45" customHeight="1" x14ac:dyDescent="0.2">
      <c r="A5" s="434" t="s">
        <v>437</v>
      </c>
      <c r="B5" s="435" t="s">
        <v>438</v>
      </c>
      <c r="C5" s="436" t="s">
        <v>444</v>
      </c>
      <c r="D5" s="437" t="s">
        <v>445</v>
      </c>
      <c r="E5" s="438">
        <v>50113001</v>
      </c>
      <c r="F5" s="437" t="s">
        <v>449</v>
      </c>
      <c r="G5" s="436" t="s">
        <v>450</v>
      </c>
      <c r="H5" s="436">
        <v>196886</v>
      </c>
      <c r="I5" s="436">
        <v>96886</v>
      </c>
      <c r="J5" s="436" t="s">
        <v>451</v>
      </c>
      <c r="K5" s="436" t="s">
        <v>452</v>
      </c>
      <c r="L5" s="439">
        <v>50.16</v>
      </c>
      <c r="M5" s="439">
        <v>20</v>
      </c>
      <c r="N5" s="440">
        <v>1003.1999999999999</v>
      </c>
    </row>
    <row r="6" spans="1:14" ht="14.45" customHeight="1" x14ac:dyDescent="0.2">
      <c r="A6" s="441" t="s">
        <v>437</v>
      </c>
      <c r="B6" s="442" t="s">
        <v>438</v>
      </c>
      <c r="C6" s="443" t="s">
        <v>444</v>
      </c>
      <c r="D6" s="444" t="s">
        <v>445</v>
      </c>
      <c r="E6" s="445">
        <v>50113001</v>
      </c>
      <c r="F6" s="444" t="s">
        <v>449</v>
      </c>
      <c r="G6" s="443" t="s">
        <v>450</v>
      </c>
      <c r="H6" s="443">
        <v>100362</v>
      </c>
      <c r="I6" s="443">
        <v>362</v>
      </c>
      <c r="J6" s="443" t="s">
        <v>453</v>
      </c>
      <c r="K6" s="443" t="s">
        <v>454</v>
      </c>
      <c r="L6" s="446">
        <v>72.526250000000005</v>
      </c>
      <c r="M6" s="446">
        <v>8</v>
      </c>
      <c r="N6" s="447">
        <v>580.21</v>
      </c>
    </row>
    <row r="7" spans="1:14" ht="14.45" customHeight="1" x14ac:dyDescent="0.2">
      <c r="A7" s="441" t="s">
        <v>437</v>
      </c>
      <c r="B7" s="442" t="s">
        <v>438</v>
      </c>
      <c r="C7" s="443" t="s">
        <v>444</v>
      </c>
      <c r="D7" s="444" t="s">
        <v>445</v>
      </c>
      <c r="E7" s="445">
        <v>50113001</v>
      </c>
      <c r="F7" s="444" t="s">
        <v>449</v>
      </c>
      <c r="G7" s="443" t="s">
        <v>450</v>
      </c>
      <c r="H7" s="443">
        <v>196610</v>
      </c>
      <c r="I7" s="443">
        <v>96610</v>
      </c>
      <c r="J7" s="443" t="s">
        <v>455</v>
      </c>
      <c r="K7" s="443" t="s">
        <v>456</v>
      </c>
      <c r="L7" s="446">
        <v>51.76</v>
      </c>
      <c r="M7" s="446">
        <v>3</v>
      </c>
      <c r="N7" s="447">
        <v>155.28</v>
      </c>
    </row>
    <row r="8" spans="1:14" ht="14.45" customHeight="1" x14ac:dyDescent="0.2">
      <c r="A8" s="441" t="s">
        <v>437</v>
      </c>
      <c r="B8" s="442" t="s">
        <v>438</v>
      </c>
      <c r="C8" s="443" t="s">
        <v>444</v>
      </c>
      <c r="D8" s="444" t="s">
        <v>445</v>
      </c>
      <c r="E8" s="445">
        <v>50113001</v>
      </c>
      <c r="F8" s="444" t="s">
        <v>449</v>
      </c>
      <c r="G8" s="443" t="s">
        <v>450</v>
      </c>
      <c r="H8" s="443">
        <v>156926</v>
      </c>
      <c r="I8" s="443">
        <v>56926</v>
      </c>
      <c r="J8" s="443" t="s">
        <v>457</v>
      </c>
      <c r="K8" s="443" t="s">
        <v>458</v>
      </c>
      <c r="L8" s="446">
        <v>48.399999999999991</v>
      </c>
      <c r="M8" s="446">
        <v>21</v>
      </c>
      <c r="N8" s="447">
        <v>1016.3999999999999</v>
      </c>
    </row>
    <row r="9" spans="1:14" ht="14.45" customHeight="1" x14ac:dyDescent="0.2">
      <c r="A9" s="441" t="s">
        <v>437</v>
      </c>
      <c r="B9" s="442" t="s">
        <v>438</v>
      </c>
      <c r="C9" s="443" t="s">
        <v>444</v>
      </c>
      <c r="D9" s="444" t="s">
        <v>445</v>
      </c>
      <c r="E9" s="445">
        <v>50113001</v>
      </c>
      <c r="F9" s="444" t="s">
        <v>449</v>
      </c>
      <c r="G9" s="443" t="s">
        <v>450</v>
      </c>
      <c r="H9" s="443">
        <v>208456</v>
      </c>
      <c r="I9" s="443">
        <v>208456</v>
      </c>
      <c r="J9" s="443" t="s">
        <v>459</v>
      </c>
      <c r="K9" s="443" t="s">
        <v>460</v>
      </c>
      <c r="L9" s="446">
        <v>738.53999999999974</v>
      </c>
      <c r="M9" s="446">
        <v>0.15000000000000002</v>
      </c>
      <c r="N9" s="447">
        <v>110.78099999999998</v>
      </c>
    </row>
    <row r="10" spans="1:14" ht="14.45" customHeight="1" x14ac:dyDescent="0.2">
      <c r="A10" s="441" t="s">
        <v>437</v>
      </c>
      <c r="B10" s="442" t="s">
        <v>438</v>
      </c>
      <c r="C10" s="443" t="s">
        <v>444</v>
      </c>
      <c r="D10" s="444" t="s">
        <v>445</v>
      </c>
      <c r="E10" s="445">
        <v>50113001</v>
      </c>
      <c r="F10" s="444" t="s">
        <v>449</v>
      </c>
      <c r="G10" s="443" t="s">
        <v>450</v>
      </c>
      <c r="H10" s="443">
        <v>100394</v>
      </c>
      <c r="I10" s="443">
        <v>394</v>
      </c>
      <c r="J10" s="443" t="s">
        <v>461</v>
      </c>
      <c r="K10" s="443" t="s">
        <v>462</v>
      </c>
      <c r="L10" s="446">
        <v>65.65000000000002</v>
      </c>
      <c r="M10" s="446">
        <v>2</v>
      </c>
      <c r="N10" s="447">
        <v>131.30000000000004</v>
      </c>
    </row>
    <row r="11" spans="1:14" ht="14.45" customHeight="1" x14ac:dyDescent="0.2">
      <c r="A11" s="441" t="s">
        <v>437</v>
      </c>
      <c r="B11" s="442" t="s">
        <v>438</v>
      </c>
      <c r="C11" s="443" t="s">
        <v>444</v>
      </c>
      <c r="D11" s="444" t="s">
        <v>445</v>
      </c>
      <c r="E11" s="445">
        <v>50113001</v>
      </c>
      <c r="F11" s="444" t="s">
        <v>449</v>
      </c>
      <c r="G11" s="443" t="s">
        <v>450</v>
      </c>
      <c r="H11" s="443">
        <v>112895</v>
      </c>
      <c r="I11" s="443">
        <v>12895</v>
      </c>
      <c r="J11" s="443" t="s">
        <v>463</v>
      </c>
      <c r="K11" s="443" t="s">
        <v>464</v>
      </c>
      <c r="L11" s="446">
        <v>106.58000000000001</v>
      </c>
      <c r="M11" s="446">
        <v>2</v>
      </c>
      <c r="N11" s="447">
        <v>213.16000000000003</v>
      </c>
    </row>
    <row r="12" spans="1:14" ht="14.45" customHeight="1" x14ac:dyDescent="0.2">
      <c r="A12" s="441" t="s">
        <v>437</v>
      </c>
      <c r="B12" s="442" t="s">
        <v>438</v>
      </c>
      <c r="C12" s="443" t="s">
        <v>444</v>
      </c>
      <c r="D12" s="444" t="s">
        <v>445</v>
      </c>
      <c r="E12" s="445">
        <v>50113001</v>
      </c>
      <c r="F12" s="444" t="s">
        <v>449</v>
      </c>
      <c r="G12" s="443" t="s">
        <v>450</v>
      </c>
      <c r="H12" s="443">
        <v>112894</v>
      </c>
      <c r="I12" s="443">
        <v>12894</v>
      </c>
      <c r="J12" s="443" t="s">
        <v>463</v>
      </c>
      <c r="K12" s="443" t="s">
        <v>465</v>
      </c>
      <c r="L12" s="446">
        <v>60.509999999999984</v>
      </c>
      <c r="M12" s="446">
        <v>2</v>
      </c>
      <c r="N12" s="447">
        <v>121.01999999999997</v>
      </c>
    </row>
    <row r="13" spans="1:14" ht="14.45" customHeight="1" x14ac:dyDescent="0.2">
      <c r="A13" s="441" t="s">
        <v>437</v>
      </c>
      <c r="B13" s="442" t="s">
        <v>438</v>
      </c>
      <c r="C13" s="443" t="s">
        <v>444</v>
      </c>
      <c r="D13" s="444" t="s">
        <v>445</v>
      </c>
      <c r="E13" s="445">
        <v>50113001</v>
      </c>
      <c r="F13" s="444" t="s">
        <v>449</v>
      </c>
      <c r="G13" s="443" t="s">
        <v>450</v>
      </c>
      <c r="H13" s="443">
        <v>139968</v>
      </c>
      <c r="I13" s="443">
        <v>139968</v>
      </c>
      <c r="J13" s="443" t="s">
        <v>466</v>
      </c>
      <c r="K13" s="443" t="s">
        <v>467</v>
      </c>
      <c r="L13" s="446">
        <v>69.550000000000011</v>
      </c>
      <c r="M13" s="446">
        <v>2</v>
      </c>
      <c r="N13" s="447">
        <v>139.10000000000002</v>
      </c>
    </row>
    <row r="14" spans="1:14" ht="14.45" customHeight="1" x14ac:dyDescent="0.2">
      <c r="A14" s="441" t="s">
        <v>437</v>
      </c>
      <c r="B14" s="442" t="s">
        <v>438</v>
      </c>
      <c r="C14" s="443" t="s">
        <v>444</v>
      </c>
      <c r="D14" s="444" t="s">
        <v>445</v>
      </c>
      <c r="E14" s="445">
        <v>50113001</v>
      </c>
      <c r="F14" s="444" t="s">
        <v>449</v>
      </c>
      <c r="G14" s="443" t="s">
        <v>450</v>
      </c>
      <c r="H14" s="443">
        <v>841498</v>
      </c>
      <c r="I14" s="443">
        <v>31951</v>
      </c>
      <c r="J14" s="443" t="s">
        <v>468</v>
      </c>
      <c r="K14" s="443" t="s">
        <v>469</v>
      </c>
      <c r="L14" s="446">
        <v>51.026666666666678</v>
      </c>
      <c r="M14" s="446">
        <v>3</v>
      </c>
      <c r="N14" s="447">
        <v>153.08000000000004</v>
      </c>
    </row>
    <row r="15" spans="1:14" ht="14.45" customHeight="1" x14ac:dyDescent="0.2">
      <c r="A15" s="441" t="s">
        <v>437</v>
      </c>
      <c r="B15" s="442" t="s">
        <v>438</v>
      </c>
      <c r="C15" s="443" t="s">
        <v>444</v>
      </c>
      <c r="D15" s="444" t="s">
        <v>445</v>
      </c>
      <c r="E15" s="445">
        <v>50113001</v>
      </c>
      <c r="F15" s="444" t="s">
        <v>449</v>
      </c>
      <c r="G15" s="443" t="s">
        <v>450</v>
      </c>
      <c r="H15" s="443">
        <v>193104</v>
      </c>
      <c r="I15" s="443">
        <v>93104</v>
      </c>
      <c r="J15" s="443" t="s">
        <v>470</v>
      </c>
      <c r="K15" s="443" t="s">
        <v>471</v>
      </c>
      <c r="L15" s="446">
        <v>47.27</v>
      </c>
      <c r="M15" s="446">
        <v>1</v>
      </c>
      <c r="N15" s="447">
        <v>47.27</v>
      </c>
    </row>
    <row r="16" spans="1:14" ht="14.45" customHeight="1" x14ac:dyDescent="0.2">
      <c r="A16" s="441" t="s">
        <v>437</v>
      </c>
      <c r="B16" s="442" t="s">
        <v>438</v>
      </c>
      <c r="C16" s="443" t="s">
        <v>444</v>
      </c>
      <c r="D16" s="444" t="s">
        <v>445</v>
      </c>
      <c r="E16" s="445">
        <v>50113001</v>
      </c>
      <c r="F16" s="444" t="s">
        <v>449</v>
      </c>
      <c r="G16" s="443" t="s">
        <v>450</v>
      </c>
      <c r="H16" s="443">
        <v>230423</v>
      </c>
      <c r="I16" s="443">
        <v>230423</v>
      </c>
      <c r="J16" s="443" t="s">
        <v>472</v>
      </c>
      <c r="K16" s="443" t="s">
        <v>473</v>
      </c>
      <c r="L16" s="446">
        <v>39.850000000000009</v>
      </c>
      <c r="M16" s="446">
        <v>1</v>
      </c>
      <c r="N16" s="447">
        <v>39.850000000000009</v>
      </c>
    </row>
    <row r="17" spans="1:14" ht="14.45" customHeight="1" x14ac:dyDescent="0.2">
      <c r="A17" s="441" t="s">
        <v>437</v>
      </c>
      <c r="B17" s="442" t="s">
        <v>438</v>
      </c>
      <c r="C17" s="443" t="s">
        <v>444</v>
      </c>
      <c r="D17" s="444" t="s">
        <v>445</v>
      </c>
      <c r="E17" s="445">
        <v>50113001</v>
      </c>
      <c r="F17" s="444" t="s">
        <v>449</v>
      </c>
      <c r="G17" s="443" t="s">
        <v>450</v>
      </c>
      <c r="H17" s="443">
        <v>154539</v>
      </c>
      <c r="I17" s="443">
        <v>54539</v>
      </c>
      <c r="J17" s="443" t="s">
        <v>474</v>
      </c>
      <c r="K17" s="443" t="s">
        <v>475</v>
      </c>
      <c r="L17" s="446">
        <v>59.885000000000005</v>
      </c>
      <c r="M17" s="446">
        <v>2</v>
      </c>
      <c r="N17" s="447">
        <v>119.77000000000001</v>
      </c>
    </row>
    <row r="18" spans="1:14" ht="14.45" customHeight="1" x14ac:dyDescent="0.2">
      <c r="A18" s="441" t="s">
        <v>437</v>
      </c>
      <c r="B18" s="442" t="s">
        <v>438</v>
      </c>
      <c r="C18" s="443" t="s">
        <v>444</v>
      </c>
      <c r="D18" s="444" t="s">
        <v>445</v>
      </c>
      <c r="E18" s="445">
        <v>50113001</v>
      </c>
      <c r="F18" s="444" t="s">
        <v>449</v>
      </c>
      <c r="G18" s="443" t="s">
        <v>450</v>
      </c>
      <c r="H18" s="443">
        <v>900240</v>
      </c>
      <c r="I18" s="443">
        <v>0</v>
      </c>
      <c r="J18" s="443" t="s">
        <v>476</v>
      </c>
      <c r="K18" s="443" t="s">
        <v>243</v>
      </c>
      <c r="L18" s="446">
        <v>67.759998829602722</v>
      </c>
      <c r="M18" s="446">
        <v>5</v>
      </c>
      <c r="N18" s="447">
        <v>338.79999414801364</v>
      </c>
    </row>
    <row r="19" spans="1:14" ht="14.45" customHeight="1" x14ac:dyDescent="0.2">
      <c r="A19" s="441" t="s">
        <v>437</v>
      </c>
      <c r="B19" s="442" t="s">
        <v>438</v>
      </c>
      <c r="C19" s="443" t="s">
        <v>444</v>
      </c>
      <c r="D19" s="444" t="s">
        <v>445</v>
      </c>
      <c r="E19" s="445">
        <v>50113001</v>
      </c>
      <c r="F19" s="444" t="s">
        <v>449</v>
      </c>
      <c r="G19" s="443" t="s">
        <v>450</v>
      </c>
      <c r="H19" s="443">
        <v>501596</v>
      </c>
      <c r="I19" s="443">
        <v>0</v>
      </c>
      <c r="J19" s="443" t="s">
        <v>477</v>
      </c>
      <c r="K19" s="443" t="s">
        <v>478</v>
      </c>
      <c r="L19" s="446">
        <v>113.26</v>
      </c>
      <c r="M19" s="446">
        <v>6</v>
      </c>
      <c r="N19" s="447">
        <v>679.56000000000006</v>
      </c>
    </row>
    <row r="20" spans="1:14" ht="14.45" customHeight="1" x14ac:dyDescent="0.2">
      <c r="A20" s="441" t="s">
        <v>437</v>
      </c>
      <c r="B20" s="442" t="s">
        <v>438</v>
      </c>
      <c r="C20" s="443" t="s">
        <v>444</v>
      </c>
      <c r="D20" s="444" t="s">
        <v>445</v>
      </c>
      <c r="E20" s="445">
        <v>50113001</v>
      </c>
      <c r="F20" s="444" t="s">
        <v>449</v>
      </c>
      <c r="G20" s="443" t="s">
        <v>450</v>
      </c>
      <c r="H20" s="443">
        <v>140631</v>
      </c>
      <c r="I20" s="443">
        <v>203909</v>
      </c>
      <c r="J20" s="443" t="s">
        <v>479</v>
      </c>
      <c r="K20" s="443" t="s">
        <v>480</v>
      </c>
      <c r="L20" s="446">
        <v>193.20999999999998</v>
      </c>
      <c r="M20" s="446">
        <v>4</v>
      </c>
      <c r="N20" s="447">
        <v>772.83999999999992</v>
      </c>
    </row>
    <row r="21" spans="1:14" ht="14.45" customHeight="1" x14ac:dyDescent="0.2">
      <c r="A21" s="441" t="s">
        <v>437</v>
      </c>
      <c r="B21" s="442" t="s">
        <v>438</v>
      </c>
      <c r="C21" s="443" t="s">
        <v>444</v>
      </c>
      <c r="D21" s="444" t="s">
        <v>445</v>
      </c>
      <c r="E21" s="445">
        <v>50113001</v>
      </c>
      <c r="F21" s="444" t="s">
        <v>449</v>
      </c>
      <c r="G21" s="443" t="s">
        <v>450</v>
      </c>
      <c r="H21" s="443">
        <v>51367</v>
      </c>
      <c r="I21" s="443">
        <v>51367</v>
      </c>
      <c r="J21" s="443" t="s">
        <v>481</v>
      </c>
      <c r="K21" s="443" t="s">
        <v>482</v>
      </c>
      <c r="L21" s="446">
        <v>92.950000000000017</v>
      </c>
      <c r="M21" s="446">
        <v>1</v>
      </c>
      <c r="N21" s="447">
        <v>92.950000000000017</v>
      </c>
    </row>
    <row r="22" spans="1:14" ht="14.45" customHeight="1" x14ac:dyDescent="0.2">
      <c r="A22" s="441" t="s">
        <v>437</v>
      </c>
      <c r="B22" s="442" t="s">
        <v>438</v>
      </c>
      <c r="C22" s="443" t="s">
        <v>444</v>
      </c>
      <c r="D22" s="444" t="s">
        <v>445</v>
      </c>
      <c r="E22" s="445">
        <v>50113001</v>
      </c>
      <c r="F22" s="444" t="s">
        <v>449</v>
      </c>
      <c r="G22" s="443" t="s">
        <v>450</v>
      </c>
      <c r="H22" s="443">
        <v>51383</v>
      </c>
      <c r="I22" s="443">
        <v>51383</v>
      </c>
      <c r="J22" s="443" t="s">
        <v>481</v>
      </c>
      <c r="K22" s="443" t="s">
        <v>483</v>
      </c>
      <c r="L22" s="446">
        <v>93.500000000000014</v>
      </c>
      <c r="M22" s="446">
        <v>1</v>
      </c>
      <c r="N22" s="447">
        <v>93.500000000000014</v>
      </c>
    </row>
    <row r="23" spans="1:14" ht="14.45" customHeight="1" x14ac:dyDescent="0.2">
      <c r="A23" s="441" t="s">
        <v>437</v>
      </c>
      <c r="B23" s="442" t="s">
        <v>438</v>
      </c>
      <c r="C23" s="443" t="s">
        <v>444</v>
      </c>
      <c r="D23" s="444" t="s">
        <v>445</v>
      </c>
      <c r="E23" s="445">
        <v>50113001</v>
      </c>
      <c r="F23" s="444" t="s">
        <v>449</v>
      </c>
      <c r="G23" s="443" t="s">
        <v>450</v>
      </c>
      <c r="H23" s="443">
        <v>51384</v>
      </c>
      <c r="I23" s="443">
        <v>51384</v>
      </c>
      <c r="J23" s="443" t="s">
        <v>481</v>
      </c>
      <c r="K23" s="443" t="s">
        <v>484</v>
      </c>
      <c r="L23" s="446">
        <v>192.5</v>
      </c>
      <c r="M23" s="446">
        <v>1</v>
      </c>
      <c r="N23" s="447">
        <v>192.5</v>
      </c>
    </row>
    <row r="24" spans="1:14" ht="14.45" customHeight="1" x14ac:dyDescent="0.2">
      <c r="A24" s="441" t="s">
        <v>437</v>
      </c>
      <c r="B24" s="442" t="s">
        <v>438</v>
      </c>
      <c r="C24" s="443" t="s">
        <v>444</v>
      </c>
      <c r="D24" s="444" t="s">
        <v>445</v>
      </c>
      <c r="E24" s="445">
        <v>50113001</v>
      </c>
      <c r="F24" s="444" t="s">
        <v>449</v>
      </c>
      <c r="G24" s="443" t="s">
        <v>450</v>
      </c>
      <c r="H24" s="443">
        <v>207898</v>
      </c>
      <c r="I24" s="443">
        <v>207898</v>
      </c>
      <c r="J24" s="443" t="s">
        <v>485</v>
      </c>
      <c r="K24" s="443" t="s">
        <v>486</v>
      </c>
      <c r="L24" s="446">
        <v>64.446666666666658</v>
      </c>
      <c r="M24" s="446">
        <v>3</v>
      </c>
      <c r="N24" s="447">
        <v>193.33999999999997</v>
      </c>
    </row>
    <row r="25" spans="1:14" ht="14.45" customHeight="1" x14ac:dyDescent="0.2">
      <c r="A25" s="441" t="s">
        <v>437</v>
      </c>
      <c r="B25" s="442" t="s">
        <v>438</v>
      </c>
      <c r="C25" s="443" t="s">
        <v>444</v>
      </c>
      <c r="D25" s="444" t="s">
        <v>445</v>
      </c>
      <c r="E25" s="445">
        <v>50113001</v>
      </c>
      <c r="F25" s="444" t="s">
        <v>449</v>
      </c>
      <c r="G25" s="443" t="s">
        <v>450</v>
      </c>
      <c r="H25" s="443">
        <v>207897</v>
      </c>
      <c r="I25" s="443">
        <v>207897</v>
      </c>
      <c r="J25" s="443" t="s">
        <v>485</v>
      </c>
      <c r="K25" s="443" t="s">
        <v>487</v>
      </c>
      <c r="L25" s="446">
        <v>44.540000000000006</v>
      </c>
      <c r="M25" s="446">
        <v>1</v>
      </c>
      <c r="N25" s="447">
        <v>44.540000000000006</v>
      </c>
    </row>
    <row r="26" spans="1:14" ht="14.45" customHeight="1" x14ac:dyDescent="0.2">
      <c r="A26" s="441" t="s">
        <v>437</v>
      </c>
      <c r="B26" s="442" t="s">
        <v>438</v>
      </c>
      <c r="C26" s="443" t="s">
        <v>444</v>
      </c>
      <c r="D26" s="444" t="s">
        <v>445</v>
      </c>
      <c r="E26" s="445">
        <v>50113001</v>
      </c>
      <c r="F26" s="444" t="s">
        <v>449</v>
      </c>
      <c r="G26" s="443" t="s">
        <v>450</v>
      </c>
      <c r="H26" s="443">
        <v>202878</v>
      </c>
      <c r="I26" s="443">
        <v>202878</v>
      </c>
      <c r="J26" s="443" t="s">
        <v>488</v>
      </c>
      <c r="K26" s="443" t="s">
        <v>489</v>
      </c>
      <c r="L26" s="446">
        <v>50.640000000000015</v>
      </c>
      <c r="M26" s="446">
        <v>2</v>
      </c>
      <c r="N26" s="447">
        <v>101.28000000000003</v>
      </c>
    </row>
    <row r="27" spans="1:14" ht="14.45" customHeight="1" x14ac:dyDescent="0.2">
      <c r="A27" s="441" t="s">
        <v>437</v>
      </c>
      <c r="B27" s="442" t="s">
        <v>438</v>
      </c>
      <c r="C27" s="443" t="s">
        <v>444</v>
      </c>
      <c r="D27" s="444" t="s">
        <v>445</v>
      </c>
      <c r="E27" s="445">
        <v>50113001</v>
      </c>
      <c r="F27" s="444" t="s">
        <v>449</v>
      </c>
      <c r="G27" s="443" t="s">
        <v>450</v>
      </c>
      <c r="H27" s="443">
        <v>394712</v>
      </c>
      <c r="I27" s="443">
        <v>0</v>
      </c>
      <c r="J27" s="443" t="s">
        <v>490</v>
      </c>
      <c r="K27" s="443" t="s">
        <v>491</v>
      </c>
      <c r="L27" s="446">
        <v>28.75</v>
      </c>
      <c r="M27" s="446">
        <v>84</v>
      </c>
      <c r="N27" s="447">
        <v>2415</v>
      </c>
    </row>
    <row r="28" spans="1:14" ht="14.45" customHeight="1" x14ac:dyDescent="0.2">
      <c r="A28" s="441" t="s">
        <v>437</v>
      </c>
      <c r="B28" s="442" t="s">
        <v>438</v>
      </c>
      <c r="C28" s="443" t="s">
        <v>444</v>
      </c>
      <c r="D28" s="444" t="s">
        <v>445</v>
      </c>
      <c r="E28" s="445">
        <v>50113001</v>
      </c>
      <c r="F28" s="444" t="s">
        <v>449</v>
      </c>
      <c r="G28" s="443" t="s">
        <v>450</v>
      </c>
      <c r="H28" s="443">
        <v>164758</v>
      </c>
      <c r="I28" s="443">
        <v>64758</v>
      </c>
      <c r="J28" s="443" t="s">
        <v>492</v>
      </c>
      <c r="K28" s="443" t="s">
        <v>493</v>
      </c>
      <c r="L28" s="446">
        <v>100.85000000000002</v>
      </c>
      <c r="M28" s="446">
        <v>5</v>
      </c>
      <c r="N28" s="447">
        <v>504.25000000000011</v>
      </c>
    </row>
    <row r="29" spans="1:14" ht="14.45" customHeight="1" x14ac:dyDescent="0.2">
      <c r="A29" s="441" t="s">
        <v>437</v>
      </c>
      <c r="B29" s="442" t="s">
        <v>438</v>
      </c>
      <c r="C29" s="443" t="s">
        <v>444</v>
      </c>
      <c r="D29" s="444" t="s">
        <v>445</v>
      </c>
      <c r="E29" s="445">
        <v>50113001</v>
      </c>
      <c r="F29" s="444" t="s">
        <v>449</v>
      </c>
      <c r="G29" s="443" t="s">
        <v>450</v>
      </c>
      <c r="H29" s="443">
        <v>500326</v>
      </c>
      <c r="I29" s="443">
        <v>1000</v>
      </c>
      <c r="J29" s="443" t="s">
        <v>494</v>
      </c>
      <c r="K29" s="443" t="s">
        <v>243</v>
      </c>
      <c r="L29" s="446">
        <v>155.42341897188683</v>
      </c>
      <c r="M29" s="446">
        <v>1</v>
      </c>
      <c r="N29" s="447">
        <v>155.42341897188683</v>
      </c>
    </row>
    <row r="30" spans="1:14" ht="14.45" customHeight="1" x14ac:dyDescent="0.2">
      <c r="A30" s="441" t="s">
        <v>437</v>
      </c>
      <c r="B30" s="442" t="s">
        <v>438</v>
      </c>
      <c r="C30" s="443" t="s">
        <v>444</v>
      </c>
      <c r="D30" s="444" t="s">
        <v>445</v>
      </c>
      <c r="E30" s="445">
        <v>50113001</v>
      </c>
      <c r="F30" s="444" t="s">
        <v>449</v>
      </c>
      <c r="G30" s="443" t="s">
        <v>450</v>
      </c>
      <c r="H30" s="443">
        <v>930224</v>
      </c>
      <c r="I30" s="443">
        <v>0</v>
      </c>
      <c r="J30" s="443" t="s">
        <v>495</v>
      </c>
      <c r="K30" s="443" t="s">
        <v>243</v>
      </c>
      <c r="L30" s="446">
        <v>247.74239225511408</v>
      </c>
      <c r="M30" s="446">
        <v>1</v>
      </c>
      <c r="N30" s="447">
        <v>247.74239225511408</v>
      </c>
    </row>
    <row r="31" spans="1:14" ht="14.45" customHeight="1" x14ac:dyDescent="0.2">
      <c r="A31" s="441" t="s">
        <v>437</v>
      </c>
      <c r="B31" s="442" t="s">
        <v>438</v>
      </c>
      <c r="C31" s="443" t="s">
        <v>444</v>
      </c>
      <c r="D31" s="444" t="s">
        <v>445</v>
      </c>
      <c r="E31" s="445">
        <v>50113001</v>
      </c>
      <c r="F31" s="444" t="s">
        <v>449</v>
      </c>
      <c r="G31" s="443" t="s">
        <v>450</v>
      </c>
      <c r="H31" s="443">
        <v>502354</v>
      </c>
      <c r="I31" s="443">
        <v>0</v>
      </c>
      <c r="J31" s="443" t="s">
        <v>496</v>
      </c>
      <c r="K31" s="443" t="s">
        <v>243</v>
      </c>
      <c r="L31" s="446">
        <v>87.618319051067402</v>
      </c>
      <c r="M31" s="446">
        <v>10</v>
      </c>
      <c r="N31" s="447">
        <v>876.18319051067397</v>
      </c>
    </row>
    <row r="32" spans="1:14" ht="14.45" customHeight="1" x14ac:dyDescent="0.2">
      <c r="A32" s="441" t="s">
        <v>437</v>
      </c>
      <c r="B32" s="442" t="s">
        <v>438</v>
      </c>
      <c r="C32" s="443" t="s">
        <v>444</v>
      </c>
      <c r="D32" s="444" t="s">
        <v>445</v>
      </c>
      <c r="E32" s="445">
        <v>50113001</v>
      </c>
      <c r="F32" s="444" t="s">
        <v>449</v>
      </c>
      <c r="G32" s="443" t="s">
        <v>450</v>
      </c>
      <c r="H32" s="443">
        <v>921454</v>
      </c>
      <c r="I32" s="443">
        <v>0</v>
      </c>
      <c r="J32" s="443" t="s">
        <v>497</v>
      </c>
      <c r="K32" s="443" t="s">
        <v>243</v>
      </c>
      <c r="L32" s="446">
        <v>54.771694772136364</v>
      </c>
      <c r="M32" s="446">
        <v>7</v>
      </c>
      <c r="N32" s="447">
        <v>383.40186340495455</v>
      </c>
    </row>
    <row r="33" spans="1:14" ht="14.45" customHeight="1" x14ac:dyDescent="0.2">
      <c r="A33" s="441" t="s">
        <v>437</v>
      </c>
      <c r="B33" s="442" t="s">
        <v>438</v>
      </c>
      <c r="C33" s="443" t="s">
        <v>444</v>
      </c>
      <c r="D33" s="444" t="s">
        <v>445</v>
      </c>
      <c r="E33" s="445">
        <v>50113001</v>
      </c>
      <c r="F33" s="444" t="s">
        <v>449</v>
      </c>
      <c r="G33" s="443" t="s">
        <v>450</v>
      </c>
      <c r="H33" s="443">
        <v>900513</v>
      </c>
      <c r="I33" s="443">
        <v>0</v>
      </c>
      <c r="J33" s="443" t="s">
        <v>498</v>
      </c>
      <c r="K33" s="443" t="s">
        <v>243</v>
      </c>
      <c r="L33" s="446">
        <v>64.432698612005964</v>
      </c>
      <c r="M33" s="446">
        <v>10</v>
      </c>
      <c r="N33" s="447">
        <v>644.3269861200597</v>
      </c>
    </row>
    <row r="34" spans="1:14" ht="14.45" customHeight="1" x14ac:dyDescent="0.2">
      <c r="A34" s="441" t="s">
        <v>437</v>
      </c>
      <c r="B34" s="442" t="s">
        <v>438</v>
      </c>
      <c r="C34" s="443" t="s">
        <v>444</v>
      </c>
      <c r="D34" s="444" t="s">
        <v>445</v>
      </c>
      <c r="E34" s="445">
        <v>50113001</v>
      </c>
      <c r="F34" s="444" t="s">
        <v>449</v>
      </c>
      <c r="G34" s="443" t="s">
        <v>450</v>
      </c>
      <c r="H34" s="443">
        <v>397238</v>
      </c>
      <c r="I34" s="443">
        <v>0</v>
      </c>
      <c r="J34" s="443" t="s">
        <v>499</v>
      </c>
      <c r="K34" s="443" t="s">
        <v>243</v>
      </c>
      <c r="L34" s="446">
        <v>140.71179456321474</v>
      </c>
      <c r="M34" s="446">
        <v>5</v>
      </c>
      <c r="N34" s="447">
        <v>703.55897281607372</v>
      </c>
    </row>
    <row r="35" spans="1:14" ht="14.45" customHeight="1" x14ac:dyDescent="0.2">
      <c r="A35" s="441" t="s">
        <v>437</v>
      </c>
      <c r="B35" s="442" t="s">
        <v>438</v>
      </c>
      <c r="C35" s="443" t="s">
        <v>444</v>
      </c>
      <c r="D35" s="444" t="s">
        <v>445</v>
      </c>
      <c r="E35" s="445">
        <v>50113001</v>
      </c>
      <c r="F35" s="444" t="s">
        <v>449</v>
      </c>
      <c r="G35" s="443" t="s">
        <v>450</v>
      </c>
      <c r="H35" s="443">
        <v>930589</v>
      </c>
      <c r="I35" s="443">
        <v>0</v>
      </c>
      <c r="J35" s="443" t="s">
        <v>500</v>
      </c>
      <c r="K35" s="443" t="s">
        <v>243</v>
      </c>
      <c r="L35" s="446">
        <v>229.10666584090794</v>
      </c>
      <c r="M35" s="446">
        <v>1</v>
      </c>
      <c r="N35" s="447">
        <v>229.10666584090794</v>
      </c>
    </row>
    <row r="36" spans="1:14" ht="14.45" customHeight="1" x14ac:dyDescent="0.2">
      <c r="A36" s="441" t="s">
        <v>437</v>
      </c>
      <c r="B36" s="442" t="s">
        <v>438</v>
      </c>
      <c r="C36" s="443" t="s">
        <v>444</v>
      </c>
      <c r="D36" s="444" t="s">
        <v>445</v>
      </c>
      <c r="E36" s="445">
        <v>50113001</v>
      </c>
      <c r="F36" s="444" t="s">
        <v>449</v>
      </c>
      <c r="G36" s="443" t="s">
        <v>450</v>
      </c>
      <c r="H36" s="443">
        <v>501828</v>
      </c>
      <c r="I36" s="443">
        <v>0</v>
      </c>
      <c r="J36" s="443" t="s">
        <v>501</v>
      </c>
      <c r="K36" s="443" t="s">
        <v>243</v>
      </c>
      <c r="L36" s="446">
        <v>71.100497975549558</v>
      </c>
      <c r="M36" s="446">
        <v>2</v>
      </c>
      <c r="N36" s="447">
        <v>142.20099595109912</v>
      </c>
    </row>
    <row r="37" spans="1:14" ht="14.45" customHeight="1" x14ac:dyDescent="0.2">
      <c r="A37" s="441" t="s">
        <v>437</v>
      </c>
      <c r="B37" s="442" t="s">
        <v>438</v>
      </c>
      <c r="C37" s="443" t="s">
        <v>444</v>
      </c>
      <c r="D37" s="444" t="s">
        <v>445</v>
      </c>
      <c r="E37" s="445">
        <v>50113001</v>
      </c>
      <c r="F37" s="444" t="s">
        <v>449</v>
      </c>
      <c r="G37" s="443" t="s">
        <v>450</v>
      </c>
      <c r="H37" s="443">
        <v>900857</v>
      </c>
      <c r="I37" s="443">
        <v>0</v>
      </c>
      <c r="J37" s="443" t="s">
        <v>502</v>
      </c>
      <c r="K37" s="443" t="s">
        <v>243</v>
      </c>
      <c r="L37" s="446">
        <v>251.96869339027256</v>
      </c>
      <c r="M37" s="446">
        <v>16</v>
      </c>
      <c r="N37" s="447">
        <v>4031.499094244361</v>
      </c>
    </row>
    <row r="38" spans="1:14" ht="14.45" customHeight="1" x14ac:dyDescent="0.2">
      <c r="A38" s="441" t="s">
        <v>437</v>
      </c>
      <c r="B38" s="442" t="s">
        <v>438</v>
      </c>
      <c r="C38" s="443" t="s">
        <v>444</v>
      </c>
      <c r="D38" s="444" t="s">
        <v>445</v>
      </c>
      <c r="E38" s="445">
        <v>50113001</v>
      </c>
      <c r="F38" s="444" t="s">
        <v>449</v>
      </c>
      <c r="G38" s="443" t="s">
        <v>450</v>
      </c>
      <c r="H38" s="443">
        <v>930673</v>
      </c>
      <c r="I38" s="443">
        <v>0</v>
      </c>
      <c r="J38" s="443" t="s">
        <v>503</v>
      </c>
      <c r="K38" s="443" t="s">
        <v>504</v>
      </c>
      <c r="L38" s="446">
        <v>146.03052260834576</v>
      </c>
      <c r="M38" s="446">
        <v>11</v>
      </c>
      <c r="N38" s="447">
        <v>1606.3357486918032</v>
      </c>
    </row>
    <row r="39" spans="1:14" ht="14.45" customHeight="1" x14ac:dyDescent="0.2">
      <c r="A39" s="441" t="s">
        <v>437</v>
      </c>
      <c r="B39" s="442" t="s">
        <v>438</v>
      </c>
      <c r="C39" s="443" t="s">
        <v>444</v>
      </c>
      <c r="D39" s="444" t="s">
        <v>445</v>
      </c>
      <c r="E39" s="445">
        <v>50113001</v>
      </c>
      <c r="F39" s="444" t="s">
        <v>449</v>
      </c>
      <c r="G39" s="443" t="s">
        <v>450</v>
      </c>
      <c r="H39" s="443">
        <v>930671</v>
      </c>
      <c r="I39" s="443">
        <v>0</v>
      </c>
      <c r="J39" s="443" t="s">
        <v>505</v>
      </c>
      <c r="K39" s="443" t="s">
        <v>504</v>
      </c>
      <c r="L39" s="446">
        <v>180.48038356513118</v>
      </c>
      <c r="M39" s="446">
        <v>14</v>
      </c>
      <c r="N39" s="447">
        <v>2526.7253699118364</v>
      </c>
    </row>
    <row r="40" spans="1:14" ht="14.45" customHeight="1" x14ac:dyDescent="0.2">
      <c r="A40" s="441" t="s">
        <v>437</v>
      </c>
      <c r="B40" s="442" t="s">
        <v>438</v>
      </c>
      <c r="C40" s="443" t="s">
        <v>444</v>
      </c>
      <c r="D40" s="444" t="s">
        <v>445</v>
      </c>
      <c r="E40" s="445">
        <v>50113001</v>
      </c>
      <c r="F40" s="444" t="s">
        <v>449</v>
      </c>
      <c r="G40" s="443" t="s">
        <v>450</v>
      </c>
      <c r="H40" s="443">
        <v>930670</v>
      </c>
      <c r="I40" s="443">
        <v>0</v>
      </c>
      <c r="J40" s="443" t="s">
        <v>506</v>
      </c>
      <c r="K40" s="443" t="s">
        <v>504</v>
      </c>
      <c r="L40" s="446">
        <v>131.70186062999377</v>
      </c>
      <c r="M40" s="446">
        <v>24</v>
      </c>
      <c r="N40" s="447">
        <v>3160.8446551198504</v>
      </c>
    </row>
    <row r="41" spans="1:14" ht="14.45" customHeight="1" x14ac:dyDescent="0.2">
      <c r="A41" s="441" t="s">
        <v>437</v>
      </c>
      <c r="B41" s="442" t="s">
        <v>438</v>
      </c>
      <c r="C41" s="443" t="s">
        <v>444</v>
      </c>
      <c r="D41" s="444" t="s">
        <v>445</v>
      </c>
      <c r="E41" s="445">
        <v>50113001</v>
      </c>
      <c r="F41" s="444" t="s">
        <v>449</v>
      </c>
      <c r="G41" s="443" t="s">
        <v>450</v>
      </c>
      <c r="H41" s="443">
        <v>501957</v>
      </c>
      <c r="I41" s="443">
        <v>0</v>
      </c>
      <c r="J41" s="443" t="s">
        <v>507</v>
      </c>
      <c r="K41" s="443" t="s">
        <v>243</v>
      </c>
      <c r="L41" s="446">
        <v>159.48682462995114</v>
      </c>
      <c r="M41" s="446">
        <v>7</v>
      </c>
      <c r="N41" s="447">
        <v>1116.407772409658</v>
      </c>
    </row>
    <row r="42" spans="1:14" ht="14.45" customHeight="1" x14ac:dyDescent="0.2">
      <c r="A42" s="441" t="s">
        <v>437</v>
      </c>
      <c r="B42" s="442" t="s">
        <v>438</v>
      </c>
      <c r="C42" s="443" t="s">
        <v>444</v>
      </c>
      <c r="D42" s="444" t="s">
        <v>445</v>
      </c>
      <c r="E42" s="445">
        <v>50113001</v>
      </c>
      <c r="F42" s="444" t="s">
        <v>449</v>
      </c>
      <c r="G42" s="443" t="s">
        <v>450</v>
      </c>
      <c r="H42" s="443">
        <v>930674</v>
      </c>
      <c r="I42" s="443">
        <v>0</v>
      </c>
      <c r="J42" s="443" t="s">
        <v>508</v>
      </c>
      <c r="K42" s="443" t="s">
        <v>243</v>
      </c>
      <c r="L42" s="446">
        <v>110.52925457982383</v>
      </c>
      <c r="M42" s="446">
        <v>48</v>
      </c>
      <c r="N42" s="447">
        <v>5305.4042198315437</v>
      </c>
    </row>
    <row r="43" spans="1:14" ht="14.45" customHeight="1" x14ac:dyDescent="0.2">
      <c r="A43" s="441" t="s">
        <v>437</v>
      </c>
      <c r="B43" s="442" t="s">
        <v>438</v>
      </c>
      <c r="C43" s="443" t="s">
        <v>444</v>
      </c>
      <c r="D43" s="444" t="s">
        <v>445</v>
      </c>
      <c r="E43" s="445">
        <v>50113001</v>
      </c>
      <c r="F43" s="444" t="s">
        <v>449</v>
      </c>
      <c r="G43" s="443" t="s">
        <v>450</v>
      </c>
      <c r="H43" s="443">
        <v>921272</v>
      </c>
      <c r="I43" s="443">
        <v>0</v>
      </c>
      <c r="J43" s="443" t="s">
        <v>509</v>
      </c>
      <c r="K43" s="443" t="s">
        <v>243</v>
      </c>
      <c r="L43" s="446">
        <v>145.27945023970537</v>
      </c>
      <c r="M43" s="446">
        <v>13</v>
      </c>
      <c r="N43" s="447">
        <v>1888.6328531161698</v>
      </c>
    </row>
    <row r="44" spans="1:14" ht="14.45" customHeight="1" x14ac:dyDescent="0.2">
      <c r="A44" s="441" t="s">
        <v>437</v>
      </c>
      <c r="B44" s="442" t="s">
        <v>438</v>
      </c>
      <c r="C44" s="443" t="s">
        <v>444</v>
      </c>
      <c r="D44" s="444" t="s">
        <v>445</v>
      </c>
      <c r="E44" s="445">
        <v>50113001</v>
      </c>
      <c r="F44" s="444" t="s">
        <v>449</v>
      </c>
      <c r="G44" s="443" t="s">
        <v>450</v>
      </c>
      <c r="H44" s="443">
        <v>900321</v>
      </c>
      <c r="I44" s="443">
        <v>0</v>
      </c>
      <c r="J44" s="443" t="s">
        <v>510</v>
      </c>
      <c r="K44" s="443" t="s">
        <v>243</v>
      </c>
      <c r="L44" s="446">
        <v>278.70700670212273</v>
      </c>
      <c r="M44" s="446">
        <v>16</v>
      </c>
      <c r="N44" s="447">
        <v>4459.3121072339636</v>
      </c>
    </row>
    <row r="45" spans="1:14" ht="14.45" customHeight="1" x14ac:dyDescent="0.2">
      <c r="A45" s="441" t="s">
        <v>437</v>
      </c>
      <c r="B45" s="442" t="s">
        <v>438</v>
      </c>
      <c r="C45" s="443" t="s">
        <v>444</v>
      </c>
      <c r="D45" s="444" t="s">
        <v>445</v>
      </c>
      <c r="E45" s="445">
        <v>50113001</v>
      </c>
      <c r="F45" s="444" t="s">
        <v>449</v>
      </c>
      <c r="G45" s="443" t="s">
        <v>450</v>
      </c>
      <c r="H45" s="443">
        <v>501990</v>
      </c>
      <c r="I45" s="443">
        <v>0</v>
      </c>
      <c r="J45" s="443" t="s">
        <v>511</v>
      </c>
      <c r="K45" s="443" t="s">
        <v>243</v>
      </c>
      <c r="L45" s="446">
        <v>259.32515539378676</v>
      </c>
      <c r="M45" s="446">
        <v>4</v>
      </c>
      <c r="N45" s="447">
        <v>1037.300621575147</v>
      </c>
    </row>
    <row r="46" spans="1:14" ht="14.45" customHeight="1" x14ac:dyDescent="0.2">
      <c r="A46" s="441" t="s">
        <v>437</v>
      </c>
      <c r="B46" s="442" t="s">
        <v>438</v>
      </c>
      <c r="C46" s="443" t="s">
        <v>444</v>
      </c>
      <c r="D46" s="444" t="s">
        <v>445</v>
      </c>
      <c r="E46" s="445">
        <v>50113001</v>
      </c>
      <c r="F46" s="444" t="s">
        <v>449</v>
      </c>
      <c r="G46" s="443" t="s">
        <v>450</v>
      </c>
      <c r="H46" s="443">
        <v>501065</v>
      </c>
      <c r="I46" s="443">
        <v>0</v>
      </c>
      <c r="J46" s="443" t="s">
        <v>512</v>
      </c>
      <c r="K46" s="443" t="s">
        <v>243</v>
      </c>
      <c r="L46" s="446">
        <v>126.77392035634333</v>
      </c>
      <c r="M46" s="446">
        <v>2</v>
      </c>
      <c r="N46" s="447">
        <v>253.54784071268665</v>
      </c>
    </row>
    <row r="47" spans="1:14" ht="14.45" customHeight="1" x14ac:dyDescent="0.2">
      <c r="A47" s="441" t="s">
        <v>437</v>
      </c>
      <c r="B47" s="442" t="s">
        <v>438</v>
      </c>
      <c r="C47" s="443" t="s">
        <v>444</v>
      </c>
      <c r="D47" s="444" t="s">
        <v>445</v>
      </c>
      <c r="E47" s="445">
        <v>50113001</v>
      </c>
      <c r="F47" s="444" t="s">
        <v>449</v>
      </c>
      <c r="G47" s="443" t="s">
        <v>450</v>
      </c>
      <c r="H47" s="443">
        <v>921241</v>
      </c>
      <c r="I47" s="443">
        <v>0</v>
      </c>
      <c r="J47" s="443" t="s">
        <v>513</v>
      </c>
      <c r="K47" s="443" t="s">
        <v>243</v>
      </c>
      <c r="L47" s="446">
        <v>174.44357419163387</v>
      </c>
      <c r="M47" s="446">
        <v>6</v>
      </c>
      <c r="N47" s="447">
        <v>1046.6614451498033</v>
      </c>
    </row>
    <row r="48" spans="1:14" ht="14.45" customHeight="1" x14ac:dyDescent="0.2">
      <c r="A48" s="441" t="s">
        <v>437</v>
      </c>
      <c r="B48" s="442" t="s">
        <v>438</v>
      </c>
      <c r="C48" s="443" t="s">
        <v>444</v>
      </c>
      <c r="D48" s="444" t="s">
        <v>445</v>
      </c>
      <c r="E48" s="445">
        <v>50113001</v>
      </c>
      <c r="F48" s="444" t="s">
        <v>449</v>
      </c>
      <c r="G48" s="443" t="s">
        <v>450</v>
      </c>
      <c r="H48" s="443">
        <v>920380</v>
      </c>
      <c r="I48" s="443">
        <v>0</v>
      </c>
      <c r="J48" s="443" t="s">
        <v>514</v>
      </c>
      <c r="K48" s="443" t="s">
        <v>243</v>
      </c>
      <c r="L48" s="446">
        <v>74.833413036401481</v>
      </c>
      <c r="M48" s="446">
        <v>5</v>
      </c>
      <c r="N48" s="447">
        <v>374.16706518200738</v>
      </c>
    </row>
    <row r="49" spans="1:14" ht="14.45" customHeight="1" x14ac:dyDescent="0.2">
      <c r="A49" s="441" t="s">
        <v>437</v>
      </c>
      <c r="B49" s="442" t="s">
        <v>438</v>
      </c>
      <c r="C49" s="443" t="s">
        <v>444</v>
      </c>
      <c r="D49" s="444" t="s">
        <v>445</v>
      </c>
      <c r="E49" s="445">
        <v>50113001</v>
      </c>
      <c r="F49" s="444" t="s">
        <v>449</v>
      </c>
      <c r="G49" s="443" t="s">
        <v>450</v>
      </c>
      <c r="H49" s="443">
        <v>921320</v>
      </c>
      <c r="I49" s="443">
        <v>0</v>
      </c>
      <c r="J49" s="443" t="s">
        <v>515</v>
      </c>
      <c r="K49" s="443" t="s">
        <v>243</v>
      </c>
      <c r="L49" s="446">
        <v>44.224166437042854</v>
      </c>
      <c r="M49" s="446">
        <v>14</v>
      </c>
      <c r="N49" s="447">
        <v>619.13833011859992</v>
      </c>
    </row>
    <row r="50" spans="1:14" ht="14.45" customHeight="1" x14ac:dyDescent="0.2">
      <c r="A50" s="441" t="s">
        <v>437</v>
      </c>
      <c r="B50" s="442" t="s">
        <v>438</v>
      </c>
      <c r="C50" s="443" t="s">
        <v>444</v>
      </c>
      <c r="D50" s="444" t="s">
        <v>445</v>
      </c>
      <c r="E50" s="445">
        <v>50113001</v>
      </c>
      <c r="F50" s="444" t="s">
        <v>449</v>
      </c>
      <c r="G50" s="443" t="s">
        <v>450</v>
      </c>
      <c r="H50" s="443">
        <v>920376</v>
      </c>
      <c r="I50" s="443">
        <v>0</v>
      </c>
      <c r="J50" s="443" t="s">
        <v>516</v>
      </c>
      <c r="K50" s="443" t="s">
        <v>243</v>
      </c>
      <c r="L50" s="446">
        <v>77.111284965809944</v>
      </c>
      <c r="M50" s="446">
        <v>26</v>
      </c>
      <c r="N50" s="447">
        <v>2004.8934091110586</v>
      </c>
    </row>
    <row r="51" spans="1:14" ht="14.45" customHeight="1" x14ac:dyDescent="0.2">
      <c r="A51" s="441" t="s">
        <v>437</v>
      </c>
      <c r="B51" s="442" t="s">
        <v>438</v>
      </c>
      <c r="C51" s="443" t="s">
        <v>444</v>
      </c>
      <c r="D51" s="444" t="s">
        <v>445</v>
      </c>
      <c r="E51" s="445">
        <v>50113001</v>
      </c>
      <c r="F51" s="444" t="s">
        <v>449</v>
      </c>
      <c r="G51" s="443" t="s">
        <v>450</v>
      </c>
      <c r="H51" s="443">
        <v>900015</v>
      </c>
      <c r="I51" s="443">
        <v>0</v>
      </c>
      <c r="J51" s="443" t="s">
        <v>517</v>
      </c>
      <c r="K51" s="443" t="s">
        <v>243</v>
      </c>
      <c r="L51" s="446">
        <v>93.342201053830948</v>
      </c>
      <c r="M51" s="446">
        <v>1</v>
      </c>
      <c r="N51" s="447">
        <v>93.342201053830948</v>
      </c>
    </row>
    <row r="52" spans="1:14" ht="14.45" customHeight="1" x14ac:dyDescent="0.2">
      <c r="A52" s="441" t="s">
        <v>437</v>
      </c>
      <c r="B52" s="442" t="s">
        <v>438</v>
      </c>
      <c r="C52" s="443" t="s">
        <v>444</v>
      </c>
      <c r="D52" s="444" t="s">
        <v>445</v>
      </c>
      <c r="E52" s="445">
        <v>50113001</v>
      </c>
      <c r="F52" s="444" t="s">
        <v>449</v>
      </c>
      <c r="G52" s="443" t="s">
        <v>450</v>
      </c>
      <c r="H52" s="443">
        <v>920377</v>
      </c>
      <c r="I52" s="443">
        <v>0</v>
      </c>
      <c r="J52" s="443" t="s">
        <v>518</v>
      </c>
      <c r="K52" s="443" t="s">
        <v>243</v>
      </c>
      <c r="L52" s="446">
        <v>106.15658063515502</v>
      </c>
      <c r="M52" s="446">
        <v>6</v>
      </c>
      <c r="N52" s="447">
        <v>636.93948381093014</v>
      </c>
    </row>
    <row r="53" spans="1:14" ht="14.45" customHeight="1" x14ac:dyDescent="0.2">
      <c r="A53" s="441" t="s">
        <v>437</v>
      </c>
      <c r="B53" s="442" t="s">
        <v>438</v>
      </c>
      <c r="C53" s="443" t="s">
        <v>444</v>
      </c>
      <c r="D53" s="444" t="s">
        <v>445</v>
      </c>
      <c r="E53" s="445">
        <v>50113001</v>
      </c>
      <c r="F53" s="444" t="s">
        <v>449</v>
      </c>
      <c r="G53" s="443" t="s">
        <v>450</v>
      </c>
      <c r="H53" s="443">
        <v>920064</v>
      </c>
      <c r="I53" s="443">
        <v>0</v>
      </c>
      <c r="J53" s="443" t="s">
        <v>519</v>
      </c>
      <c r="K53" s="443" t="s">
        <v>243</v>
      </c>
      <c r="L53" s="446">
        <v>64.545193749642976</v>
      </c>
      <c r="M53" s="446">
        <v>1</v>
      </c>
      <c r="N53" s="447">
        <v>64.545193749642976</v>
      </c>
    </row>
    <row r="54" spans="1:14" ht="14.45" customHeight="1" x14ac:dyDescent="0.2">
      <c r="A54" s="441" t="s">
        <v>437</v>
      </c>
      <c r="B54" s="442" t="s">
        <v>438</v>
      </c>
      <c r="C54" s="443" t="s">
        <v>444</v>
      </c>
      <c r="D54" s="444" t="s">
        <v>445</v>
      </c>
      <c r="E54" s="445">
        <v>50113001</v>
      </c>
      <c r="F54" s="444" t="s">
        <v>449</v>
      </c>
      <c r="G54" s="443" t="s">
        <v>450</v>
      </c>
      <c r="H54" s="443">
        <v>921453</v>
      </c>
      <c r="I54" s="443">
        <v>0</v>
      </c>
      <c r="J54" s="443" t="s">
        <v>520</v>
      </c>
      <c r="K54" s="443" t="s">
        <v>243</v>
      </c>
      <c r="L54" s="446">
        <v>72.204361321917318</v>
      </c>
      <c r="M54" s="446">
        <v>10</v>
      </c>
      <c r="N54" s="447">
        <v>722.04361321917315</v>
      </c>
    </row>
    <row r="55" spans="1:14" ht="14.45" customHeight="1" x14ac:dyDescent="0.2">
      <c r="A55" s="441" t="s">
        <v>437</v>
      </c>
      <c r="B55" s="442" t="s">
        <v>438</v>
      </c>
      <c r="C55" s="443" t="s">
        <v>444</v>
      </c>
      <c r="D55" s="444" t="s">
        <v>445</v>
      </c>
      <c r="E55" s="445">
        <v>50113001</v>
      </c>
      <c r="F55" s="444" t="s">
        <v>449</v>
      </c>
      <c r="G55" s="443" t="s">
        <v>450</v>
      </c>
      <c r="H55" s="443">
        <v>930417</v>
      </c>
      <c r="I55" s="443">
        <v>0</v>
      </c>
      <c r="J55" s="443" t="s">
        <v>521</v>
      </c>
      <c r="K55" s="443" t="s">
        <v>243</v>
      </c>
      <c r="L55" s="446">
        <v>99.764232863502698</v>
      </c>
      <c r="M55" s="446">
        <v>21</v>
      </c>
      <c r="N55" s="447">
        <v>2095.0488901335566</v>
      </c>
    </row>
    <row r="56" spans="1:14" ht="14.45" customHeight="1" x14ac:dyDescent="0.2">
      <c r="A56" s="441" t="s">
        <v>437</v>
      </c>
      <c r="B56" s="442" t="s">
        <v>438</v>
      </c>
      <c r="C56" s="443" t="s">
        <v>444</v>
      </c>
      <c r="D56" s="444" t="s">
        <v>445</v>
      </c>
      <c r="E56" s="445">
        <v>50113001</v>
      </c>
      <c r="F56" s="444" t="s">
        <v>449</v>
      </c>
      <c r="G56" s="443" t="s">
        <v>450</v>
      </c>
      <c r="H56" s="443">
        <v>920315</v>
      </c>
      <c r="I56" s="443">
        <v>0</v>
      </c>
      <c r="J56" s="443" t="s">
        <v>522</v>
      </c>
      <c r="K56" s="443" t="s">
        <v>243</v>
      </c>
      <c r="L56" s="446">
        <v>195.86181314286932</v>
      </c>
      <c r="M56" s="446">
        <v>1</v>
      </c>
      <c r="N56" s="447">
        <v>195.86181314286932</v>
      </c>
    </row>
    <row r="57" spans="1:14" ht="14.45" customHeight="1" x14ac:dyDescent="0.2">
      <c r="A57" s="441" t="s">
        <v>437</v>
      </c>
      <c r="B57" s="442" t="s">
        <v>438</v>
      </c>
      <c r="C57" s="443" t="s">
        <v>444</v>
      </c>
      <c r="D57" s="444" t="s">
        <v>445</v>
      </c>
      <c r="E57" s="445">
        <v>50113001</v>
      </c>
      <c r="F57" s="444" t="s">
        <v>449</v>
      </c>
      <c r="G57" s="443" t="s">
        <v>450</v>
      </c>
      <c r="H57" s="443">
        <v>921184</v>
      </c>
      <c r="I57" s="443">
        <v>0</v>
      </c>
      <c r="J57" s="443" t="s">
        <v>523</v>
      </c>
      <c r="K57" s="443" t="s">
        <v>243</v>
      </c>
      <c r="L57" s="446">
        <v>149.74788647449475</v>
      </c>
      <c r="M57" s="446">
        <v>1</v>
      </c>
      <c r="N57" s="447">
        <v>149.74788647449475</v>
      </c>
    </row>
    <row r="58" spans="1:14" ht="14.45" customHeight="1" x14ac:dyDescent="0.2">
      <c r="A58" s="441" t="s">
        <v>437</v>
      </c>
      <c r="B58" s="442" t="s">
        <v>438</v>
      </c>
      <c r="C58" s="443" t="s">
        <v>444</v>
      </c>
      <c r="D58" s="444" t="s">
        <v>445</v>
      </c>
      <c r="E58" s="445">
        <v>50113001</v>
      </c>
      <c r="F58" s="444" t="s">
        <v>449</v>
      </c>
      <c r="G58" s="443" t="s">
        <v>450</v>
      </c>
      <c r="H58" s="443">
        <v>921230</v>
      </c>
      <c r="I58" s="443">
        <v>0</v>
      </c>
      <c r="J58" s="443" t="s">
        <v>524</v>
      </c>
      <c r="K58" s="443" t="s">
        <v>243</v>
      </c>
      <c r="L58" s="446">
        <v>46.478647491932669</v>
      </c>
      <c r="M58" s="446">
        <v>36</v>
      </c>
      <c r="N58" s="447">
        <v>1673.2313097095762</v>
      </c>
    </row>
    <row r="59" spans="1:14" ht="14.45" customHeight="1" x14ac:dyDescent="0.2">
      <c r="A59" s="441" t="s">
        <v>437</v>
      </c>
      <c r="B59" s="442" t="s">
        <v>438</v>
      </c>
      <c r="C59" s="443" t="s">
        <v>444</v>
      </c>
      <c r="D59" s="444" t="s">
        <v>445</v>
      </c>
      <c r="E59" s="445">
        <v>50113001</v>
      </c>
      <c r="F59" s="444" t="s">
        <v>449</v>
      </c>
      <c r="G59" s="443" t="s">
        <v>450</v>
      </c>
      <c r="H59" s="443">
        <v>921403</v>
      </c>
      <c r="I59" s="443">
        <v>0</v>
      </c>
      <c r="J59" s="443" t="s">
        <v>525</v>
      </c>
      <c r="K59" s="443" t="s">
        <v>243</v>
      </c>
      <c r="L59" s="446">
        <v>53.517273328981489</v>
      </c>
      <c r="M59" s="446">
        <v>11</v>
      </c>
      <c r="N59" s="447">
        <v>588.69000661879636</v>
      </c>
    </row>
    <row r="60" spans="1:14" ht="14.45" customHeight="1" x14ac:dyDescent="0.2">
      <c r="A60" s="441" t="s">
        <v>437</v>
      </c>
      <c r="B60" s="442" t="s">
        <v>438</v>
      </c>
      <c r="C60" s="443" t="s">
        <v>444</v>
      </c>
      <c r="D60" s="444" t="s">
        <v>445</v>
      </c>
      <c r="E60" s="445">
        <v>50113001</v>
      </c>
      <c r="F60" s="444" t="s">
        <v>449</v>
      </c>
      <c r="G60" s="443" t="s">
        <v>450</v>
      </c>
      <c r="H60" s="443">
        <v>203092</v>
      </c>
      <c r="I60" s="443">
        <v>203092</v>
      </c>
      <c r="J60" s="443" t="s">
        <v>526</v>
      </c>
      <c r="K60" s="443" t="s">
        <v>527</v>
      </c>
      <c r="L60" s="446">
        <v>150.34000000000003</v>
      </c>
      <c r="M60" s="446">
        <v>9</v>
      </c>
      <c r="N60" s="447">
        <v>1353.0600000000004</v>
      </c>
    </row>
    <row r="61" spans="1:14" ht="14.45" customHeight="1" x14ac:dyDescent="0.2">
      <c r="A61" s="441" t="s">
        <v>437</v>
      </c>
      <c r="B61" s="442" t="s">
        <v>438</v>
      </c>
      <c r="C61" s="443" t="s">
        <v>444</v>
      </c>
      <c r="D61" s="444" t="s">
        <v>445</v>
      </c>
      <c r="E61" s="445">
        <v>50113001</v>
      </c>
      <c r="F61" s="444" t="s">
        <v>449</v>
      </c>
      <c r="G61" s="443" t="s">
        <v>450</v>
      </c>
      <c r="H61" s="443">
        <v>231541</v>
      </c>
      <c r="I61" s="443">
        <v>231541</v>
      </c>
      <c r="J61" s="443" t="s">
        <v>528</v>
      </c>
      <c r="K61" s="443" t="s">
        <v>529</v>
      </c>
      <c r="L61" s="446">
        <v>80.690000000000012</v>
      </c>
      <c r="M61" s="446">
        <v>3</v>
      </c>
      <c r="N61" s="447">
        <v>242.07000000000005</v>
      </c>
    </row>
    <row r="62" spans="1:14" ht="14.45" customHeight="1" x14ac:dyDescent="0.2">
      <c r="A62" s="441" t="s">
        <v>437</v>
      </c>
      <c r="B62" s="442" t="s">
        <v>438</v>
      </c>
      <c r="C62" s="443" t="s">
        <v>444</v>
      </c>
      <c r="D62" s="444" t="s">
        <v>445</v>
      </c>
      <c r="E62" s="445">
        <v>50113001</v>
      </c>
      <c r="F62" s="444" t="s">
        <v>449</v>
      </c>
      <c r="G62" s="443" t="s">
        <v>450</v>
      </c>
      <c r="H62" s="443">
        <v>231544</v>
      </c>
      <c r="I62" s="443">
        <v>231544</v>
      </c>
      <c r="J62" s="443" t="s">
        <v>528</v>
      </c>
      <c r="K62" s="443" t="s">
        <v>530</v>
      </c>
      <c r="L62" s="446">
        <v>80.69</v>
      </c>
      <c r="M62" s="446">
        <v>2</v>
      </c>
      <c r="N62" s="447">
        <v>161.38</v>
      </c>
    </row>
    <row r="63" spans="1:14" ht="14.45" customHeight="1" x14ac:dyDescent="0.2">
      <c r="A63" s="441" t="s">
        <v>437</v>
      </c>
      <c r="B63" s="442" t="s">
        <v>438</v>
      </c>
      <c r="C63" s="443" t="s">
        <v>444</v>
      </c>
      <c r="D63" s="444" t="s">
        <v>445</v>
      </c>
      <c r="E63" s="445">
        <v>50113001</v>
      </c>
      <c r="F63" s="444" t="s">
        <v>449</v>
      </c>
      <c r="G63" s="443" t="s">
        <v>450</v>
      </c>
      <c r="H63" s="443">
        <v>237329</v>
      </c>
      <c r="I63" s="443">
        <v>237329</v>
      </c>
      <c r="J63" s="443" t="s">
        <v>531</v>
      </c>
      <c r="K63" s="443" t="s">
        <v>532</v>
      </c>
      <c r="L63" s="446">
        <v>108.91142857142857</v>
      </c>
      <c r="M63" s="446">
        <v>7</v>
      </c>
      <c r="N63" s="447">
        <v>762.38</v>
      </c>
    </row>
    <row r="64" spans="1:14" ht="14.45" customHeight="1" x14ac:dyDescent="0.2">
      <c r="A64" s="441" t="s">
        <v>437</v>
      </c>
      <c r="B64" s="442" t="s">
        <v>438</v>
      </c>
      <c r="C64" s="443" t="s">
        <v>444</v>
      </c>
      <c r="D64" s="444" t="s">
        <v>445</v>
      </c>
      <c r="E64" s="445">
        <v>50113001</v>
      </c>
      <c r="F64" s="444" t="s">
        <v>449</v>
      </c>
      <c r="G64" s="443" t="s">
        <v>450</v>
      </c>
      <c r="H64" s="443">
        <v>237330</v>
      </c>
      <c r="I64" s="443">
        <v>237330</v>
      </c>
      <c r="J64" s="443" t="s">
        <v>533</v>
      </c>
      <c r="K64" s="443" t="s">
        <v>534</v>
      </c>
      <c r="L64" s="446">
        <v>105.88000000000002</v>
      </c>
      <c r="M64" s="446">
        <v>2</v>
      </c>
      <c r="N64" s="447">
        <v>211.76000000000005</v>
      </c>
    </row>
    <row r="65" spans="1:14" ht="14.45" customHeight="1" x14ac:dyDescent="0.2">
      <c r="A65" s="441" t="s">
        <v>437</v>
      </c>
      <c r="B65" s="442" t="s">
        <v>438</v>
      </c>
      <c r="C65" s="443" t="s">
        <v>444</v>
      </c>
      <c r="D65" s="444" t="s">
        <v>445</v>
      </c>
      <c r="E65" s="445">
        <v>50113001</v>
      </c>
      <c r="F65" s="444" t="s">
        <v>449</v>
      </c>
      <c r="G65" s="443" t="s">
        <v>450</v>
      </c>
      <c r="H65" s="443">
        <v>234736</v>
      </c>
      <c r="I65" s="443">
        <v>234736</v>
      </c>
      <c r="J65" s="443" t="s">
        <v>535</v>
      </c>
      <c r="K65" s="443" t="s">
        <v>536</v>
      </c>
      <c r="L65" s="446">
        <v>120.54000000000002</v>
      </c>
      <c r="M65" s="446">
        <v>6</v>
      </c>
      <c r="N65" s="447">
        <v>723.24000000000012</v>
      </c>
    </row>
    <row r="66" spans="1:14" ht="14.45" customHeight="1" x14ac:dyDescent="0.2">
      <c r="A66" s="441" t="s">
        <v>437</v>
      </c>
      <c r="B66" s="442" t="s">
        <v>438</v>
      </c>
      <c r="C66" s="443" t="s">
        <v>444</v>
      </c>
      <c r="D66" s="444" t="s">
        <v>445</v>
      </c>
      <c r="E66" s="445">
        <v>50113001</v>
      </c>
      <c r="F66" s="444" t="s">
        <v>449</v>
      </c>
      <c r="G66" s="443" t="s">
        <v>450</v>
      </c>
      <c r="H66" s="443">
        <v>100502</v>
      </c>
      <c r="I66" s="443">
        <v>502</v>
      </c>
      <c r="J66" s="443" t="s">
        <v>537</v>
      </c>
      <c r="K66" s="443" t="s">
        <v>538</v>
      </c>
      <c r="L66" s="446">
        <v>268.94</v>
      </c>
      <c r="M66" s="446">
        <v>1</v>
      </c>
      <c r="N66" s="447">
        <v>268.94</v>
      </c>
    </row>
    <row r="67" spans="1:14" ht="14.45" customHeight="1" x14ac:dyDescent="0.2">
      <c r="A67" s="441" t="s">
        <v>437</v>
      </c>
      <c r="B67" s="442" t="s">
        <v>438</v>
      </c>
      <c r="C67" s="443" t="s">
        <v>444</v>
      </c>
      <c r="D67" s="444" t="s">
        <v>445</v>
      </c>
      <c r="E67" s="445">
        <v>50113001</v>
      </c>
      <c r="F67" s="444" t="s">
        <v>449</v>
      </c>
      <c r="G67" s="443" t="s">
        <v>450</v>
      </c>
      <c r="H67" s="443">
        <v>117187</v>
      </c>
      <c r="I67" s="443">
        <v>17187</v>
      </c>
      <c r="J67" s="443" t="s">
        <v>539</v>
      </c>
      <c r="K67" s="443" t="s">
        <v>540</v>
      </c>
      <c r="L67" s="446">
        <v>88.984999999999999</v>
      </c>
      <c r="M67" s="446">
        <v>2</v>
      </c>
      <c r="N67" s="447">
        <v>177.97</v>
      </c>
    </row>
    <row r="68" spans="1:14" ht="14.45" customHeight="1" x14ac:dyDescent="0.2">
      <c r="A68" s="441" t="s">
        <v>437</v>
      </c>
      <c r="B68" s="442" t="s">
        <v>438</v>
      </c>
      <c r="C68" s="443" t="s">
        <v>444</v>
      </c>
      <c r="D68" s="444" t="s">
        <v>445</v>
      </c>
      <c r="E68" s="445">
        <v>50113001</v>
      </c>
      <c r="F68" s="444" t="s">
        <v>449</v>
      </c>
      <c r="G68" s="443" t="s">
        <v>450</v>
      </c>
      <c r="H68" s="443">
        <v>200863</v>
      </c>
      <c r="I68" s="443">
        <v>200863</v>
      </c>
      <c r="J68" s="443" t="s">
        <v>541</v>
      </c>
      <c r="K68" s="443" t="s">
        <v>542</v>
      </c>
      <c r="L68" s="446">
        <v>79.459999999999994</v>
      </c>
      <c r="M68" s="446">
        <v>1</v>
      </c>
      <c r="N68" s="447">
        <v>79.459999999999994</v>
      </c>
    </row>
    <row r="69" spans="1:14" ht="14.45" customHeight="1" x14ac:dyDescent="0.2">
      <c r="A69" s="441" t="s">
        <v>437</v>
      </c>
      <c r="B69" s="442" t="s">
        <v>438</v>
      </c>
      <c r="C69" s="443" t="s">
        <v>444</v>
      </c>
      <c r="D69" s="444" t="s">
        <v>445</v>
      </c>
      <c r="E69" s="445">
        <v>50113001</v>
      </c>
      <c r="F69" s="444" t="s">
        <v>449</v>
      </c>
      <c r="G69" s="443" t="s">
        <v>450</v>
      </c>
      <c r="H69" s="443">
        <v>101940</v>
      </c>
      <c r="I69" s="443">
        <v>1940</v>
      </c>
      <c r="J69" s="443" t="s">
        <v>543</v>
      </c>
      <c r="K69" s="443" t="s">
        <v>544</v>
      </c>
      <c r="L69" s="446">
        <v>34.655000000000001</v>
      </c>
      <c r="M69" s="446">
        <v>2</v>
      </c>
      <c r="N69" s="447">
        <v>69.31</v>
      </c>
    </row>
    <row r="70" spans="1:14" ht="14.45" customHeight="1" x14ac:dyDescent="0.2">
      <c r="A70" s="441" t="s">
        <v>437</v>
      </c>
      <c r="B70" s="442" t="s">
        <v>438</v>
      </c>
      <c r="C70" s="443" t="s">
        <v>444</v>
      </c>
      <c r="D70" s="444" t="s">
        <v>445</v>
      </c>
      <c r="E70" s="445">
        <v>50113001</v>
      </c>
      <c r="F70" s="444" t="s">
        <v>449</v>
      </c>
      <c r="G70" s="443" t="s">
        <v>450</v>
      </c>
      <c r="H70" s="443">
        <v>207820</v>
      </c>
      <c r="I70" s="443">
        <v>207820</v>
      </c>
      <c r="J70" s="443" t="s">
        <v>545</v>
      </c>
      <c r="K70" s="443" t="s">
        <v>546</v>
      </c>
      <c r="L70" s="446">
        <v>32.203333333333326</v>
      </c>
      <c r="M70" s="446">
        <v>3</v>
      </c>
      <c r="N70" s="447">
        <v>96.609999999999985</v>
      </c>
    </row>
    <row r="71" spans="1:14" ht="14.45" customHeight="1" x14ac:dyDescent="0.2">
      <c r="A71" s="441" t="s">
        <v>437</v>
      </c>
      <c r="B71" s="442" t="s">
        <v>438</v>
      </c>
      <c r="C71" s="443" t="s">
        <v>444</v>
      </c>
      <c r="D71" s="444" t="s">
        <v>445</v>
      </c>
      <c r="E71" s="445">
        <v>50113001</v>
      </c>
      <c r="F71" s="444" t="s">
        <v>449</v>
      </c>
      <c r="G71" s="443" t="s">
        <v>450</v>
      </c>
      <c r="H71" s="443">
        <v>202953</v>
      </c>
      <c r="I71" s="443">
        <v>202953</v>
      </c>
      <c r="J71" s="443" t="s">
        <v>547</v>
      </c>
      <c r="K71" s="443" t="s">
        <v>548</v>
      </c>
      <c r="L71" s="446">
        <v>484.18400000000008</v>
      </c>
      <c r="M71" s="446">
        <v>5</v>
      </c>
      <c r="N71" s="447">
        <v>2420.9200000000005</v>
      </c>
    </row>
    <row r="72" spans="1:14" ht="14.45" customHeight="1" x14ac:dyDescent="0.2">
      <c r="A72" s="441" t="s">
        <v>437</v>
      </c>
      <c r="B72" s="442" t="s">
        <v>438</v>
      </c>
      <c r="C72" s="443" t="s">
        <v>444</v>
      </c>
      <c r="D72" s="444" t="s">
        <v>445</v>
      </c>
      <c r="E72" s="445">
        <v>50113001</v>
      </c>
      <c r="F72" s="444" t="s">
        <v>449</v>
      </c>
      <c r="G72" s="443" t="s">
        <v>450</v>
      </c>
      <c r="H72" s="443">
        <v>232857</v>
      </c>
      <c r="I72" s="443">
        <v>232857</v>
      </c>
      <c r="J72" s="443" t="s">
        <v>549</v>
      </c>
      <c r="K72" s="443" t="s">
        <v>550</v>
      </c>
      <c r="L72" s="446">
        <v>201.73000000000005</v>
      </c>
      <c r="M72" s="446">
        <v>1</v>
      </c>
      <c r="N72" s="447">
        <v>201.73000000000005</v>
      </c>
    </row>
    <row r="73" spans="1:14" ht="14.45" customHeight="1" x14ac:dyDescent="0.2">
      <c r="A73" s="441" t="s">
        <v>437</v>
      </c>
      <c r="B73" s="442" t="s">
        <v>438</v>
      </c>
      <c r="C73" s="443" t="s">
        <v>444</v>
      </c>
      <c r="D73" s="444" t="s">
        <v>445</v>
      </c>
      <c r="E73" s="445">
        <v>50113001</v>
      </c>
      <c r="F73" s="444" t="s">
        <v>449</v>
      </c>
      <c r="G73" s="443" t="s">
        <v>450</v>
      </c>
      <c r="H73" s="443">
        <v>193109</v>
      </c>
      <c r="I73" s="443">
        <v>93109</v>
      </c>
      <c r="J73" s="443" t="s">
        <v>551</v>
      </c>
      <c r="K73" s="443" t="s">
        <v>552</v>
      </c>
      <c r="L73" s="446">
        <v>183.14712830957231</v>
      </c>
      <c r="M73" s="446">
        <v>491</v>
      </c>
      <c r="N73" s="447">
        <v>89925.24</v>
      </c>
    </row>
    <row r="74" spans="1:14" ht="14.45" customHeight="1" x14ac:dyDescent="0.2">
      <c r="A74" s="441" t="s">
        <v>437</v>
      </c>
      <c r="B74" s="442" t="s">
        <v>438</v>
      </c>
      <c r="C74" s="443" t="s">
        <v>444</v>
      </c>
      <c r="D74" s="444" t="s">
        <v>445</v>
      </c>
      <c r="E74" s="445">
        <v>50113001</v>
      </c>
      <c r="F74" s="444" t="s">
        <v>449</v>
      </c>
      <c r="G74" s="443" t="s">
        <v>450</v>
      </c>
      <c r="H74" s="443">
        <v>395294</v>
      </c>
      <c r="I74" s="443">
        <v>180306</v>
      </c>
      <c r="J74" s="443" t="s">
        <v>553</v>
      </c>
      <c r="K74" s="443" t="s">
        <v>554</v>
      </c>
      <c r="L74" s="446">
        <v>210.70999999999998</v>
      </c>
      <c r="M74" s="446">
        <v>14</v>
      </c>
      <c r="N74" s="447">
        <v>2949.9399999999996</v>
      </c>
    </row>
    <row r="75" spans="1:14" ht="14.45" customHeight="1" x14ac:dyDescent="0.2">
      <c r="A75" s="441" t="s">
        <v>437</v>
      </c>
      <c r="B75" s="442" t="s">
        <v>438</v>
      </c>
      <c r="C75" s="443" t="s">
        <v>444</v>
      </c>
      <c r="D75" s="444" t="s">
        <v>445</v>
      </c>
      <c r="E75" s="445">
        <v>50113001</v>
      </c>
      <c r="F75" s="444" t="s">
        <v>449</v>
      </c>
      <c r="G75" s="443" t="s">
        <v>555</v>
      </c>
      <c r="H75" s="443">
        <v>231956</v>
      </c>
      <c r="I75" s="443">
        <v>231956</v>
      </c>
      <c r="J75" s="443" t="s">
        <v>556</v>
      </c>
      <c r="K75" s="443" t="s">
        <v>557</v>
      </c>
      <c r="L75" s="446">
        <v>49.76</v>
      </c>
      <c r="M75" s="446">
        <v>3</v>
      </c>
      <c r="N75" s="447">
        <v>149.28</v>
      </c>
    </row>
    <row r="76" spans="1:14" ht="14.45" customHeight="1" x14ac:dyDescent="0.2">
      <c r="A76" s="441" t="s">
        <v>437</v>
      </c>
      <c r="B76" s="442" t="s">
        <v>438</v>
      </c>
      <c r="C76" s="443" t="s">
        <v>444</v>
      </c>
      <c r="D76" s="444" t="s">
        <v>445</v>
      </c>
      <c r="E76" s="445">
        <v>50113001</v>
      </c>
      <c r="F76" s="444" t="s">
        <v>449</v>
      </c>
      <c r="G76" s="443" t="s">
        <v>450</v>
      </c>
      <c r="H76" s="443">
        <v>100643</v>
      </c>
      <c r="I76" s="443">
        <v>643</v>
      </c>
      <c r="J76" s="443" t="s">
        <v>558</v>
      </c>
      <c r="K76" s="443" t="s">
        <v>559</v>
      </c>
      <c r="L76" s="446">
        <v>63.560000000000016</v>
      </c>
      <c r="M76" s="446">
        <v>2</v>
      </c>
      <c r="N76" s="447">
        <v>127.12000000000003</v>
      </c>
    </row>
    <row r="77" spans="1:14" ht="14.45" customHeight="1" x14ac:dyDescent="0.2">
      <c r="A77" s="441" t="s">
        <v>437</v>
      </c>
      <c r="B77" s="442" t="s">
        <v>438</v>
      </c>
      <c r="C77" s="443" t="s">
        <v>444</v>
      </c>
      <c r="D77" s="444" t="s">
        <v>445</v>
      </c>
      <c r="E77" s="445">
        <v>50113001</v>
      </c>
      <c r="F77" s="444" t="s">
        <v>449</v>
      </c>
      <c r="G77" s="443" t="s">
        <v>555</v>
      </c>
      <c r="H77" s="443">
        <v>166030</v>
      </c>
      <c r="I77" s="443">
        <v>66030</v>
      </c>
      <c r="J77" s="443" t="s">
        <v>560</v>
      </c>
      <c r="K77" s="443" t="s">
        <v>561</v>
      </c>
      <c r="L77" s="446">
        <v>29.99</v>
      </c>
      <c r="M77" s="446">
        <v>1</v>
      </c>
      <c r="N77" s="447">
        <v>29.99</v>
      </c>
    </row>
    <row r="78" spans="1:14" ht="14.45" customHeight="1" x14ac:dyDescent="0.2">
      <c r="A78" s="441" t="s">
        <v>437</v>
      </c>
      <c r="B78" s="442" t="s">
        <v>438</v>
      </c>
      <c r="C78" s="443" t="s">
        <v>444</v>
      </c>
      <c r="D78" s="444" t="s">
        <v>445</v>
      </c>
      <c r="E78" s="445">
        <v>50113013</v>
      </c>
      <c r="F78" s="444" t="s">
        <v>562</v>
      </c>
      <c r="G78" s="443" t="s">
        <v>450</v>
      </c>
      <c r="H78" s="443">
        <v>203097</v>
      </c>
      <c r="I78" s="443">
        <v>203097</v>
      </c>
      <c r="J78" s="443" t="s">
        <v>563</v>
      </c>
      <c r="K78" s="443" t="s">
        <v>564</v>
      </c>
      <c r="L78" s="446">
        <v>167.69200000000001</v>
      </c>
      <c r="M78" s="446">
        <v>5</v>
      </c>
      <c r="N78" s="447">
        <v>838.46</v>
      </c>
    </row>
    <row r="79" spans="1:14" ht="14.45" customHeight="1" x14ac:dyDescent="0.2">
      <c r="A79" s="441" t="s">
        <v>437</v>
      </c>
      <c r="B79" s="442" t="s">
        <v>438</v>
      </c>
      <c r="C79" s="443" t="s">
        <v>444</v>
      </c>
      <c r="D79" s="444" t="s">
        <v>445</v>
      </c>
      <c r="E79" s="445">
        <v>50113013</v>
      </c>
      <c r="F79" s="444" t="s">
        <v>562</v>
      </c>
      <c r="G79" s="443" t="s">
        <v>555</v>
      </c>
      <c r="H79" s="443">
        <v>105951</v>
      </c>
      <c r="I79" s="443">
        <v>5951</v>
      </c>
      <c r="J79" s="443" t="s">
        <v>565</v>
      </c>
      <c r="K79" s="443" t="s">
        <v>566</v>
      </c>
      <c r="L79" s="446">
        <v>113.75</v>
      </c>
      <c r="M79" s="446">
        <v>1</v>
      </c>
      <c r="N79" s="447">
        <v>113.75</v>
      </c>
    </row>
    <row r="80" spans="1:14" ht="14.45" customHeight="1" thickBot="1" x14ac:dyDescent="0.25">
      <c r="A80" s="448" t="s">
        <v>437</v>
      </c>
      <c r="B80" s="449" t="s">
        <v>438</v>
      </c>
      <c r="C80" s="450" t="s">
        <v>444</v>
      </c>
      <c r="D80" s="451" t="s">
        <v>445</v>
      </c>
      <c r="E80" s="452">
        <v>50113013</v>
      </c>
      <c r="F80" s="451" t="s">
        <v>562</v>
      </c>
      <c r="G80" s="450" t="s">
        <v>450</v>
      </c>
      <c r="H80" s="450">
        <v>844576</v>
      </c>
      <c r="I80" s="450">
        <v>100339</v>
      </c>
      <c r="J80" s="450" t="s">
        <v>567</v>
      </c>
      <c r="K80" s="450" t="s">
        <v>568</v>
      </c>
      <c r="L80" s="453">
        <v>96.45</v>
      </c>
      <c r="M80" s="453">
        <v>2</v>
      </c>
      <c r="N80" s="454">
        <v>192.9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881964CD-9752-4BAE-B91B-C304C7FA943A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11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14" customWidth="1"/>
    <col min="2" max="2" width="10" style="189" customWidth="1"/>
    <col min="3" max="3" width="5.5703125" style="192" customWidth="1"/>
    <col min="4" max="4" width="10.85546875" style="189" customWidth="1"/>
    <col min="5" max="5" width="5.5703125" style="192" customWidth="1"/>
    <col min="6" max="6" width="10.85546875" style="189" customWidth="1"/>
    <col min="7" max="16384" width="8.85546875" style="114"/>
  </cols>
  <sheetData>
    <row r="1" spans="1:6" ht="37.15" customHeight="1" thickBot="1" x14ac:dyDescent="0.35">
      <c r="A1" s="342" t="s">
        <v>137</v>
      </c>
      <c r="B1" s="343"/>
      <c r="C1" s="343"/>
      <c r="D1" s="343"/>
      <c r="E1" s="343"/>
      <c r="F1" s="343"/>
    </row>
    <row r="2" spans="1:6" ht="14.45" customHeight="1" thickBot="1" x14ac:dyDescent="0.25">
      <c r="A2" s="207" t="s">
        <v>242</v>
      </c>
      <c r="B2" s="63"/>
      <c r="C2" s="64"/>
      <c r="D2" s="65"/>
      <c r="E2" s="64"/>
      <c r="F2" s="65"/>
    </row>
    <row r="3" spans="1:6" ht="14.45" customHeight="1" thickBot="1" x14ac:dyDescent="0.25">
      <c r="A3" s="86"/>
      <c r="B3" s="344" t="s">
        <v>109</v>
      </c>
      <c r="C3" s="345"/>
      <c r="D3" s="346" t="s">
        <v>108</v>
      </c>
      <c r="E3" s="345"/>
      <c r="F3" s="72" t="s">
        <v>3</v>
      </c>
    </row>
    <row r="4" spans="1:6" ht="14.45" customHeight="1" thickBot="1" x14ac:dyDescent="0.25">
      <c r="A4" s="455" t="s">
        <v>122</v>
      </c>
      <c r="B4" s="456" t="s">
        <v>14</v>
      </c>
      <c r="C4" s="457" t="s">
        <v>2</v>
      </c>
      <c r="D4" s="456" t="s">
        <v>14</v>
      </c>
      <c r="E4" s="457" t="s">
        <v>2</v>
      </c>
      <c r="F4" s="458" t="s">
        <v>14</v>
      </c>
    </row>
    <row r="5" spans="1:6" ht="14.45" customHeight="1" thickBot="1" x14ac:dyDescent="0.25">
      <c r="A5" s="467" t="s">
        <v>569</v>
      </c>
      <c r="B5" s="432"/>
      <c r="C5" s="459">
        <v>0</v>
      </c>
      <c r="D5" s="432">
        <v>293.02</v>
      </c>
      <c r="E5" s="459">
        <v>1</v>
      </c>
      <c r="F5" s="433">
        <v>293.02</v>
      </c>
    </row>
    <row r="6" spans="1:6" ht="14.45" customHeight="1" thickBot="1" x14ac:dyDescent="0.25">
      <c r="A6" s="463" t="s">
        <v>3</v>
      </c>
      <c r="B6" s="464"/>
      <c r="C6" s="465">
        <v>0</v>
      </c>
      <c r="D6" s="464">
        <v>293.02</v>
      </c>
      <c r="E6" s="465">
        <v>1</v>
      </c>
      <c r="F6" s="466">
        <v>293.02</v>
      </c>
    </row>
    <row r="7" spans="1:6" ht="14.45" customHeight="1" thickBot="1" x14ac:dyDescent="0.25"/>
    <row r="8" spans="1:6" ht="14.45" customHeight="1" x14ac:dyDescent="0.2">
      <c r="A8" s="473" t="s">
        <v>570</v>
      </c>
      <c r="B8" s="439"/>
      <c r="C8" s="460">
        <v>0</v>
      </c>
      <c r="D8" s="439">
        <v>149.28</v>
      </c>
      <c r="E8" s="460">
        <v>1</v>
      </c>
      <c r="F8" s="440">
        <v>149.28</v>
      </c>
    </row>
    <row r="9" spans="1:6" ht="14.45" customHeight="1" x14ac:dyDescent="0.2">
      <c r="A9" s="474" t="s">
        <v>571</v>
      </c>
      <c r="B9" s="446"/>
      <c r="C9" s="469">
        <v>0</v>
      </c>
      <c r="D9" s="446">
        <v>29.99</v>
      </c>
      <c r="E9" s="469">
        <v>1</v>
      </c>
      <c r="F9" s="447">
        <v>29.99</v>
      </c>
    </row>
    <row r="10" spans="1:6" ht="14.45" customHeight="1" thickBot="1" x14ac:dyDescent="0.25">
      <c r="A10" s="475" t="s">
        <v>572</v>
      </c>
      <c r="B10" s="470"/>
      <c r="C10" s="471">
        <v>0</v>
      </c>
      <c r="D10" s="470">
        <v>113.75</v>
      </c>
      <c r="E10" s="471">
        <v>1</v>
      </c>
      <c r="F10" s="472">
        <v>113.75</v>
      </c>
    </row>
    <row r="11" spans="1:6" ht="14.45" customHeight="1" thickBot="1" x14ac:dyDescent="0.25">
      <c r="A11" s="463" t="s">
        <v>3</v>
      </c>
      <c r="B11" s="464"/>
      <c r="C11" s="465">
        <v>0</v>
      </c>
      <c r="D11" s="464">
        <v>293.02</v>
      </c>
      <c r="E11" s="465">
        <v>1</v>
      </c>
      <c r="F11" s="466">
        <v>293.02</v>
      </c>
    </row>
  </sheetData>
  <mergeCells count="3">
    <mergeCell ref="A1:F1"/>
    <mergeCell ref="B3:C3"/>
    <mergeCell ref="D3:E3"/>
  </mergeCells>
  <conditionalFormatting sqref="C5:C1048576">
    <cfRule type="cellIs" dxfId="23" priority="8" stopIfTrue="1" operator="greaterThan">
      <formula>0.1</formula>
    </cfRule>
  </conditionalFormatting>
  <hyperlinks>
    <hyperlink ref="A2" location="Obsah!A1" display="Zpět na Obsah  KL 01  1.-4.měsíc" xr:uid="{37F39614-6FFF-45E6-9E0D-1B85598E1424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3</vt:i4>
      </vt:variant>
    </vt:vector>
  </HeadingPairs>
  <TitlesOfParts>
    <vt:vector size="2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2020-10-20T11:17:09Z</dcterms:modified>
</cp:coreProperties>
</file>