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648" windowWidth="15300" windowHeight="860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éky Recepty" sheetId="346" r:id="rId11"/>
    <sheet name="LRp Lékaři" sheetId="415" r:id="rId12"/>
    <sheet name="LRp Detail" sheetId="347" r:id="rId13"/>
    <sheet name="LRp PL" sheetId="388" r:id="rId14"/>
    <sheet name="LRp PL Detail" sheetId="390" r:id="rId15"/>
    <sheet name="Materiál Žádanky" sheetId="402" r:id="rId16"/>
    <sheet name="MŽ Detail" sheetId="403" r:id="rId17"/>
    <sheet name="Osobní náklady" sheetId="419" r:id="rId18"/>
    <sheet name="ON Data" sheetId="418" state="hidden" r:id="rId19"/>
    <sheet name="ZV Vykáz.-A" sheetId="344" r:id="rId20"/>
    <sheet name="ZV Vykáz.-A Detail" sheetId="345" r:id="rId21"/>
    <sheet name="ZV Vykáz.-H" sheetId="410" r:id="rId22"/>
    <sheet name="ZV Vykáz.-H Detail" sheetId="377" r:id="rId23"/>
    <sheet name="CaseMix" sheetId="370" r:id="rId24"/>
    <sheet name="ALOS" sheetId="374" r:id="rId25"/>
    <sheet name="Total" sheetId="371" r:id="rId26"/>
    <sheet name="ZV Vyžád." sheetId="342" r:id="rId27"/>
    <sheet name="ZV Vyžád. Detail" sheetId="343" r:id="rId28"/>
    <sheet name="OD TISS" sheetId="372" r:id="rId29"/>
  </sheets>
  <definedNames>
    <definedName name="_xlnm._FilterDatabase" localSheetId="5" hidden="1">HV!$A$5:$A$5</definedName>
    <definedName name="_xlnm._FilterDatabase" localSheetId="10" hidden="1">'Léky Recepty'!$A$4:$M$4</definedName>
    <definedName name="_xlnm._FilterDatabase" localSheetId="6" hidden="1">'Léky Žádanky'!$A$3:$G$3</definedName>
    <definedName name="_xlnm._FilterDatabase" localSheetId="12" hidden="1">'LRp Detail'!$A$6:$U$6</definedName>
    <definedName name="_xlnm._FilterDatabase" localSheetId="11" hidden="1">'LRp Lékaři'!$A$4:$N$4</definedName>
    <definedName name="_xlnm._FilterDatabase" localSheetId="13" hidden="1">'LRp PL'!$A$3:$F$50</definedName>
    <definedName name="_xlnm._FilterDatabase" localSheetId="14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4" hidden="1">'Man Tab'!$A$5:$A$31</definedName>
    <definedName name="_xlnm._FilterDatabase" localSheetId="15" hidden="1">'Materiál Žádanky'!$A$3:$G$3</definedName>
    <definedName name="_xlnm._FilterDatabase" localSheetId="16" hidden="1">'MŽ Detail'!$A$4:$K$4</definedName>
    <definedName name="_xlnm._FilterDatabase" localSheetId="28" hidden="1">'OD TISS'!$A$5:$N$5</definedName>
    <definedName name="_xlnm._FilterDatabase" localSheetId="25" hidden="1">Total!$A$4:$W$4</definedName>
    <definedName name="_xlnm._FilterDatabase" localSheetId="20" hidden="1">'ZV Vykáz.-A Detail'!$A$5:$P$5</definedName>
    <definedName name="_xlnm._FilterDatabase" localSheetId="22" hidden="1">'ZV Vykáz.-H Detail'!$A$5:$Q$5</definedName>
    <definedName name="_xlnm._FilterDatabase" localSheetId="26" hidden="1">'ZV Vyžád.'!$A$5:$M$5</definedName>
    <definedName name="_xlnm._FilterDatabase" localSheetId="27" hidden="1">'ZV Vyžád. Detail'!$A$5:$Q$5</definedName>
    <definedName name="doměsíce">'HI Graf'!$C$11</definedName>
    <definedName name="_xlnm.Print_Area" localSheetId="24">ALOS!$A$1:$M$45</definedName>
    <definedName name="_xlnm.Print_Area" localSheetId="23">CaseMix!$A$1:$M$39</definedName>
  </definedNames>
  <calcPr calcId="145621"/>
</workbook>
</file>

<file path=xl/calcChain.xml><?xml version="1.0" encoding="utf-8"?>
<calcChain xmlns="http://schemas.openxmlformats.org/spreadsheetml/2006/main">
  <c r="T51" i="371" l="1"/>
  <c r="V51" i="371" s="1"/>
  <c r="S51" i="371"/>
  <c r="U51" i="371" s="1"/>
  <c r="R51" i="371"/>
  <c r="Q51" i="371"/>
  <c r="U50" i="371"/>
  <c r="T50" i="371"/>
  <c r="S50" i="371"/>
  <c r="V50" i="371" s="1"/>
  <c r="R50" i="371"/>
  <c r="Q50" i="371"/>
  <c r="T49" i="371"/>
  <c r="V49" i="371" s="1"/>
  <c r="S49" i="371"/>
  <c r="U49" i="371" s="1"/>
  <c r="R49" i="371"/>
  <c r="Q49" i="371"/>
  <c r="U48" i="371"/>
  <c r="T48" i="371"/>
  <c r="S48" i="371"/>
  <c r="V48" i="371" s="1"/>
  <c r="R48" i="371"/>
  <c r="Q48" i="371"/>
  <c r="V47" i="371"/>
  <c r="U47" i="371"/>
  <c r="T47" i="371"/>
  <c r="S47" i="371"/>
  <c r="R47" i="371"/>
  <c r="Q47" i="371"/>
  <c r="U46" i="371"/>
  <c r="T46" i="371"/>
  <c r="V46" i="371" s="1"/>
  <c r="S46" i="371"/>
  <c r="R46" i="371"/>
  <c r="Q46" i="371"/>
  <c r="T45" i="371"/>
  <c r="V45" i="371" s="1"/>
  <c r="S45" i="371"/>
  <c r="U45" i="371" s="1"/>
  <c r="R45" i="371"/>
  <c r="Q45" i="371"/>
  <c r="V44" i="371"/>
  <c r="U44" i="371"/>
  <c r="T44" i="371"/>
  <c r="S44" i="371"/>
  <c r="R44" i="371"/>
  <c r="Q44" i="371"/>
  <c r="T43" i="371"/>
  <c r="V43" i="371" s="1"/>
  <c r="S43" i="371"/>
  <c r="U43" i="371" s="1"/>
  <c r="R43" i="371"/>
  <c r="Q43" i="371"/>
  <c r="V42" i="371"/>
  <c r="U42" i="371"/>
  <c r="T42" i="371"/>
  <c r="S42" i="371"/>
  <c r="R42" i="371"/>
  <c r="Q42" i="371"/>
  <c r="T41" i="371"/>
  <c r="V41" i="371" s="1"/>
  <c r="S41" i="371"/>
  <c r="U41" i="371" s="1"/>
  <c r="R41" i="371"/>
  <c r="Q41" i="371"/>
  <c r="V40" i="371"/>
  <c r="U40" i="371"/>
  <c r="T40" i="371"/>
  <c r="S40" i="371"/>
  <c r="R40" i="371"/>
  <c r="Q40" i="371"/>
  <c r="V39" i="371"/>
  <c r="U39" i="371"/>
  <c r="T39" i="371"/>
  <c r="S39" i="371"/>
  <c r="R39" i="371"/>
  <c r="Q39" i="371"/>
  <c r="U38" i="371"/>
  <c r="T38" i="371"/>
  <c r="S38" i="371"/>
  <c r="V38" i="371" s="1"/>
  <c r="R38" i="371"/>
  <c r="Q38" i="371"/>
  <c r="V37" i="371"/>
  <c r="U37" i="371"/>
  <c r="T37" i="371"/>
  <c r="S37" i="371"/>
  <c r="R37" i="371"/>
  <c r="Q37" i="371"/>
  <c r="V36" i="371"/>
  <c r="U36" i="371"/>
  <c r="T36" i="371"/>
  <c r="S36" i="371"/>
  <c r="R36" i="371"/>
  <c r="Q36" i="371"/>
  <c r="T35" i="371"/>
  <c r="V35" i="371" s="1"/>
  <c r="S35" i="371"/>
  <c r="U35" i="371" s="1"/>
  <c r="R35" i="371"/>
  <c r="Q35" i="371"/>
  <c r="U34" i="371"/>
  <c r="T34" i="371"/>
  <c r="V34" i="371" s="1"/>
  <c r="S34" i="371"/>
  <c r="R34" i="371"/>
  <c r="Q34" i="371"/>
  <c r="V33" i="371"/>
  <c r="U33" i="371"/>
  <c r="T33" i="371"/>
  <c r="S33" i="371"/>
  <c r="R33" i="371"/>
  <c r="Q33" i="371"/>
  <c r="V32" i="371"/>
  <c r="U32" i="371"/>
  <c r="T32" i="371"/>
  <c r="S32" i="371"/>
  <c r="R32" i="371"/>
  <c r="Q32" i="371"/>
  <c r="V31" i="371"/>
  <c r="U31" i="371"/>
  <c r="T31" i="371"/>
  <c r="S31" i="371"/>
  <c r="R31" i="371"/>
  <c r="Q31" i="371"/>
  <c r="U30" i="371"/>
  <c r="T30" i="371"/>
  <c r="S30" i="371"/>
  <c r="V30" i="371" s="1"/>
  <c r="R30" i="371"/>
  <c r="Q30" i="371"/>
  <c r="T29" i="371"/>
  <c r="V29" i="371" s="1"/>
  <c r="S29" i="371"/>
  <c r="U29" i="371" s="1"/>
  <c r="R29" i="371"/>
  <c r="Q29" i="371"/>
  <c r="U28" i="371"/>
  <c r="T28" i="371"/>
  <c r="S28" i="371"/>
  <c r="V28" i="371" s="1"/>
  <c r="R28" i="371"/>
  <c r="Q28" i="371"/>
  <c r="T27" i="371"/>
  <c r="V27" i="371" s="1"/>
  <c r="S27" i="371"/>
  <c r="U27" i="371" s="1"/>
  <c r="R27" i="371"/>
  <c r="Q27" i="371"/>
  <c r="V26" i="371"/>
  <c r="U26" i="371"/>
  <c r="T26" i="371"/>
  <c r="S26" i="371"/>
  <c r="R26" i="371"/>
  <c r="Q26" i="371"/>
  <c r="T25" i="371"/>
  <c r="V25" i="371" s="1"/>
  <c r="S25" i="371"/>
  <c r="U25" i="371" s="1"/>
  <c r="R25" i="371"/>
  <c r="Q25" i="371"/>
  <c r="V24" i="371"/>
  <c r="U24" i="371"/>
  <c r="T24" i="371"/>
  <c r="S24" i="371"/>
  <c r="R24" i="371"/>
  <c r="Q24" i="371"/>
  <c r="T23" i="371"/>
  <c r="V23" i="371" s="1"/>
  <c r="S23" i="371"/>
  <c r="U23" i="371" s="1"/>
  <c r="R23" i="371"/>
  <c r="Q23" i="371"/>
  <c r="U22" i="371"/>
  <c r="T22" i="371"/>
  <c r="S22" i="371"/>
  <c r="V22" i="371" s="1"/>
  <c r="R22" i="371"/>
  <c r="Q22" i="371"/>
  <c r="T21" i="371"/>
  <c r="V21" i="371" s="1"/>
  <c r="S21" i="371"/>
  <c r="U21" i="371" s="1"/>
  <c r="R21" i="371"/>
  <c r="Q21" i="371"/>
  <c r="V20" i="371"/>
  <c r="U20" i="371"/>
  <c r="T20" i="371"/>
  <c r="S20" i="371"/>
  <c r="R20" i="371"/>
  <c r="Q20" i="371"/>
  <c r="T19" i="371"/>
  <c r="V19" i="371" s="1"/>
  <c r="S19" i="371"/>
  <c r="U19" i="371" s="1"/>
  <c r="R19" i="371"/>
  <c r="Q19" i="371"/>
  <c r="U18" i="371"/>
  <c r="T18" i="371"/>
  <c r="S18" i="371"/>
  <c r="V18" i="371" s="1"/>
  <c r="R18" i="371"/>
  <c r="Q18" i="371"/>
  <c r="V17" i="371"/>
  <c r="U17" i="371"/>
  <c r="T17" i="371"/>
  <c r="S17" i="371"/>
  <c r="R17" i="371"/>
  <c r="Q17" i="371"/>
  <c r="U16" i="371"/>
  <c r="T16" i="371"/>
  <c r="S16" i="371"/>
  <c r="V16" i="371" s="1"/>
  <c r="R16" i="371"/>
  <c r="Q16" i="371"/>
  <c r="T15" i="371"/>
  <c r="V15" i="371" s="1"/>
  <c r="S15" i="371"/>
  <c r="U15" i="371" s="1"/>
  <c r="R15" i="371"/>
  <c r="Q15" i="371"/>
  <c r="V14" i="371"/>
  <c r="U14" i="371"/>
  <c r="T14" i="371"/>
  <c r="S14" i="371"/>
  <c r="R14" i="371"/>
  <c r="Q14" i="371"/>
  <c r="V13" i="371"/>
  <c r="U13" i="371"/>
  <c r="T13" i="371"/>
  <c r="S13" i="371"/>
  <c r="R13" i="371"/>
  <c r="Q13" i="371"/>
  <c r="U12" i="371"/>
  <c r="T12" i="371"/>
  <c r="S12" i="371"/>
  <c r="V12" i="371" s="1"/>
  <c r="R12" i="371"/>
  <c r="Q12" i="371"/>
  <c r="T11" i="371"/>
  <c r="V11" i="371" s="1"/>
  <c r="S11" i="371"/>
  <c r="U11" i="371" s="1"/>
  <c r="R11" i="371"/>
  <c r="Q11" i="371"/>
  <c r="V10" i="371"/>
  <c r="U10" i="371"/>
  <c r="T10" i="371"/>
  <c r="S10" i="371"/>
  <c r="R10" i="371"/>
  <c r="Q10" i="371"/>
  <c r="V9" i="371"/>
  <c r="U9" i="371"/>
  <c r="T9" i="371"/>
  <c r="S9" i="371"/>
  <c r="R9" i="371"/>
  <c r="Q9" i="371"/>
  <c r="U8" i="371"/>
  <c r="T8" i="371"/>
  <c r="S8" i="371"/>
  <c r="V8" i="371" s="1"/>
  <c r="R8" i="371"/>
  <c r="Q8" i="371"/>
  <c r="V7" i="371"/>
  <c r="U7" i="371"/>
  <c r="T7" i="371"/>
  <c r="S7" i="371"/>
  <c r="R7" i="371"/>
  <c r="Q7" i="371"/>
  <c r="V6" i="371"/>
  <c r="U6" i="371"/>
  <c r="T6" i="371"/>
  <c r="S6" i="371"/>
  <c r="R6" i="371"/>
  <c r="Q6" i="371"/>
  <c r="V5" i="371"/>
  <c r="U5" i="371"/>
  <c r="T5" i="371"/>
  <c r="S5" i="371"/>
  <c r="R5" i="371"/>
  <c r="Q5" i="371"/>
  <c r="A7" i="339" l="1"/>
  <c r="B3" i="418" l="1"/>
  <c r="M6" i="419" l="1"/>
  <c r="I6" i="419"/>
  <c r="E6" i="419"/>
  <c r="J6" i="419"/>
  <c r="L6" i="419"/>
  <c r="H6" i="419"/>
  <c r="D6" i="419"/>
  <c r="F6" i="419"/>
  <c r="K6" i="419"/>
  <c r="G6" i="419"/>
  <c r="C6" i="419"/>
  <c r="B6" i="419"/>
  <c r="E11" i="419"/>
  <c r="E12" i="419"/>
  <c r="E13" i="419"/>
  <c r="E14" i="419"/>
  <c r="E16" i="419"/>
  <c r="E17" i="419"/>
  <c r="E19" i="419"/>
  <c r="E20" i="419"/>
  <c r="B28" i="419"/>
  <c r="B27" i="419"/>
  <c r="B26" i="419"/>
  <c r="B25" i="419"/>
  <c r="E18" i="419" l="1"/>
  <c r="M20" i="419"/>
  <c r="L20" i="419"/>
  <c r="K20" i="419"/>
  <c r="J20" i="419"/>
  <c r="I20" i="419"/>
  <c r="H20" i="419"/>
  <c r="G20" i="419"/>
  <c r="F20" i="419"/>
  <c r="D20" i="419"/>
  <c r="C20" i="419"/>
  <c r="B20" i="419"/>
  <c r="M19" i="419"/>
  <c r="L19" i="419"/>
  <c r="K19" i="419"/>
  <c r="J19" i="419"/>
  <c r="I19" i="419"/>
  <c r="H19" i="419"/>
  <c r="G19" i="419"/>
  <c r="F19" i="419"/>
  <c r="D19" i="419"/>
  <c r="C19" i="419"/>
  <c r="B19" i="419"/>
  <c r="M17" i="419"/>
  <c r="L17" i="419"/>
  <c r="K17" i="419"/>
  <c r="J17" i="419"/>
  <c r="I17" i="419"/>
  <c r="H17" i="419"/>
  <c r="G17" i="419"/>
  <c r="F17" i="419"/>
  <c r="D17" i="419"/>
  <c r="C17" i="419"/>
  <c r="B17" i="419"/>
  <c r="M16" i="419"/>
  <c r="L16" i="419"/>
  <c r="K16" i="419"/>
  <c r="J16" i="419"/>
  <c r="I16" i="419"/>
  <c r="H16" i="419"/>
  <c r="G16" i="419"/>
  <c r="F16" i="419"/>
  <c r="D16" i="419"/>
  <c r="C16" i="419"/>
  <c r="B16" i="419"/>
  <c r="M14" i="419"/>
  <c r="L14" i="419"/>
  <c r="K14" i="419"/>
  <c r="J14" i="419"/>
  <c r="I14" i="419"/>
  <c r="H14" i="419"/>
  <c r="G14" i="419"/>
  <c r="F14" i="419"/>
  <c r="D14" i="419"/>
  <c r="C14" i="419"/>
  <c r="B14" i="419"/>
  <c r="M13" i="419"/>
  <c r="L13" i="419"/>
  <c r="K13" i="419"/>
  <c r="J13" i="419"/>
  <c r="I13" i="419"/>
  <c r="H13" i="419"/>
  <c r="G13" i="419"/>
  <c r="F13" i="419"/>
  <c r="D13" i="419"/>
  <c r="C13" i="419"/>
  <c r="B13" i="419"/>
  <c r="M12" i="419"/>
  <c r="L12" i="419"/>
  <c r="K12" i="419"/>
  <c r="J12" i="419"/>
  <c r="I12" i="419"/>
  <c r="H12" i="419"/>
  <c r="G12" i="419"/>
  <c r="F12" i="419"/>
  <c r="D12" i="419"/>
  <c r="C12" i="419"/>
  <c r="B12" i="419"/>
  <c r="M11" i="419"/>
  <c r="L11" i="419"/>
  <c r="K11" i="419"/>
  <c r="J11" i="419"/>
  <c r="I11" i="419"/>
  <c r="H11" i="419"/>
  <c r="G11" i="419"/>
  <c r="F11" i="419"/>
  <c r="D11" i="419"/>
  <c r="C11" i="419"/>
  <c r="B11" i="419"/>
  <c r="M18" i="419" l="1"/>
  <c r="L18" i="419"/>
  <c r="K18" i="419"/>
  <c r="J18" i="419"/>
  <c r="I18" i="419"/>
  <c r="H18" i="419"/>
  <c r="G18" i="419"/>
  <c r="F18" i="419"/>
  <c r="D18" i="419"/>
  <c r="C18" i="419"/>
  <c r="B18" i="419" l="1"/>
  <c r="O3" i="418" l="1"/>
  <c r="N3" i="418"/>
  <c r="M3" i="418"/>
  <c r="L3" i="418"/>
  <c r="K3" i="418"/>
  <c r="J3" i="418"/>
  <c r="I3" i="418"/>
  <c r="H3" i="418"/>
  <c r="G3" i="418"/>
  <c r="F3" i="418"/>
  <c r="E3" i="418"/>
  <c r="D3" i="418"/>
  <c r="B39" i="370" l="1"/>
  <c r="H39" i="370"/>
  <c r="G39" i="370"/>
  <c r="F39" i="370"/>
  <c r="D39" i="370"/>
  <c r="C39" i="370"/>
  <c r="H26" i="370"/>
  <c r="G26" i="370"/>
  <c r="F26" i="370"/>
  <c r="D26" i="370"/>
  <c r="C26" i="370"/>
  <c r="B26" i="370"/>
  <c r="H13" i="370"/>
  <c r="G13" i="370"/>
  <c r="F13" i="370"/>
  <c r="D13" i="370"/>
  <c r="C13" i="370"/>
  <c r="B13" i="370"/>
  <c r="M38" i="370" l="1"/>
  <c r="L38" i="370"/>
  <c r="M25" i="370"/>
  <c r="L25" i="370"/>
  <c r="M12" i="370"/>
  <c r="L12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4" i="414" l="1"/>
  <c r="D7" i="414"/>
  <c r="J24" i="370" l="1"/>
  <c r="J23" i="370"/>
  <c r="J22" i="370"/>
  <c r="J21" i="370"/>
  <c r="J20" i="370"/>
  <c r="J19" i="370"/>
  <c r="J18" i="370"/>
  <c r="A27" i="414" l="1"/>
  <c r="A17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5" i="414" l="1"/>
  <c r="A24" i="414"/>
  <c r="A23" i="414"/>
  <c r="A22" i="414" l="1"/>
  <c r="A21" i="414"/>
  <c r="A18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7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0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19" i="414" s="1"/>
  <c r="C11" i="339"/>
  <c r="H11" i="339" l="1"/>
  <c r="G11" i="339"/>
  <c r="A26" i="414"/>
  <c r="A20" i="414"/>
  <c r="A19" i="414"/>
  <c r="A14" i="414"/>
  <c r="A11" i="414"/>
  <c r="A10" i="414"/>
  <c r="A8" i="414"/>
  <c r="A7" i="414"/>
  <c r="A15" i="414"/>
  <c r="A4" i="414"/>
  <c r="A6" i="339" l="1"/>
  <c r="A5" i="339"/>
  <c r="D18" i="414"/>
  <c r="C18" i="414"/>
  <c r="D4" i="414"/>
  <c r="D15" i="414"/>
  <c r="D11" i="414" l="1"/>
  <c r="D8" i="414"/>
  <c r="C14" i="414" l="1"/>
  <c r="C7" i="414"/>
  <c r="D10" i="414" l="1"/>
  <c r="E10" i="414" s="1"/>
  <c r="E20" i="414"/>
  <c r="E19" i="414"/>
  <c r="E14" i="414"/>
  <c r="E7" i="414"/>
  <c r="E11" i="414"/>
  <c r="E8" i="414"/>
  <c r="A16" i="383" l="1"/>
  <c r="A19" i="383" l="1"/>
  <c r="A14" i="383" l="1"/>
  <c r="C11" i="340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M37" i="370" l="1"/>
  <c r="L37" i="370"/>
  <c r="M36" i="370"/>
  <c r="L36" i="370"/>
  <c r="M35" i="370"/>
  <c r="L35" i="370"/>
  <c r="M34" i="370"/>
  <c r="L34" i="370"/>
  <c r="M33" i="370"/>
  <c r="L33" i="370"/>
  <c r="M32" i="370"/>
  <c r="L32" i="370"/>
  <c r="M31" i="370"/>
  <c r="L31" i="370"/>
  <c r="E39" i="370" l="1"/>
  <c r="D24" i="414" s="1"/>
  <c r="E24" i="414" s="1"/>
  <c r="I39" i="370"/>
  <c r="I26" i="370"/>
  <c r="E12" i="339"/>
  <c r="M39" i="370"/>
  <c r="E26" i="370"/>
  <c r="D23" i="414" s="1"/>
  <c r="E23" i="414" s="1"/>
  <c r="L39" i="370"/>
  <c r="C12" i="339"/>
  <c r="E13" i="370"/>
  <c r="D22" i="414" s="1"/>
  <c r="E22" i="414" s="1"/>
  <c r="L13" i="370"/>
  <c r="B12" i="339"/>
  <c r="F12" i="339" s="1"/>
  <c r="I13" i="370"/>
  <c r="D25" i="414" s="1"/>
  <c r="E25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J3" i="343"/>
  <c r="G3" i="343"/>
  <c r="F3" i="343"/>
  <c r="O3" i="377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90"/>
  <c r="L3" i="390"/>
  <c r="J3" i="390"/>
  <c r="I3" i="390"/>
  <c r="G3" i="390"/>
  <c r="F3" i="390"/>
  <c r="T3" i="347"/>
  <c r="R3" i="347"/>
  <c r="P3" i="347"/>
  <c r="O3" i="347"/>
  <c r="U3" i="347" s="1"/>
  <c r="N3" i="347"/>
  <c r="S3" i="347" s="1"/>
  <c r="M3" i="347"/>
  <c r="Q3" i="347" s="1"/>
  <c r="M3" i="387"/>
  <c r="K3" i="387" s="1"/>
  <c r="L3" i="387"/>
  <c r="J3" i="387"/>
  <c r="I3" i="387"/>
  <c r="H3" i="387"/>
  <c r="G3" i="387"/>
  <c r="F3" i="387"/>
  <c r="N3" i="220"/>
  <c r="L3" i="220" s="1"/>
  <c r="C21" i="414"/>
  <c r="D21" i="414"/>
  <c r="H3" i="390" l="1"/>
  <c r="F3" i="372"/>
  <c r="N3" i="372"/>
  <c r="C27" i="414"/>
  <c r="E27" i="414" s="1"/>
  <c r="F13" i="339"/>
  <c r="E13" i="339"/>
  <c r="E15" i="339" s="1"/>
  <c r="J3" i="372"/>
  <c r="H12" i="339"/>
  <c r="G12" i="339"/>
  <c r="K3" i="390"/>
  <c r="A11" i="383"/>
  <c r="A4" i="383"/>
  <c r="A34" i="383"/>
  <c r="A33" i="383"/>
  <c r="A32" i="383"/>
  <c r="A31" i="383"/>
  <c r="A30" i="383"/>
  <c r="A29" i="383"/>
  <c r="A28" i="383"/>
  <c r="A27" i="383"/>
  <c r="A26" i="383"/>
  <c r="A25" i="383"/>
  <c r="A22" i="383"/>
  <c r="A21" i="383"/>
  <c r="A20" i="383"/>
  <c r="A18" i="383"/>
  <c r="A17" i="383"/>
  <c r="A15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M24" i="370"/>
  <c r="L24" i="370"/>
  <c r="M23" i="370"/>
  <c r="L23" i="370"/>
  <c r="M22" i="370"/>
  <c r="L22" i="370"/>
  <c r="M21" i="370"/>
  <c r="L21" i="370"/>
  <c r="M20" i="370"/>
  <c r="L20" i="370"/>
  <c r="M19" i="370"/>
  <c r="L19" i="370"/>
  <c r="M18" i="370"/>
  <c r="L18" i="370"/>
  <c r="M13" i="370"/>
  <c r="M11" i="370"/>
  <c r="L11" i="370"/>
  <c r="M10" i="370"/>
  <c r="L10" i="370"/>
  <c r="M9" i="370"/>
  <c r="L9" i="370"/>
  <c r="M8" i="370"/>
  <c r="L8" i="370"/>
  <c r="M7" i="370"/>
  <c r="L7" i="370"/>
  <c r="M6" i="370"/>
  <c r="L6" i="370"/>
  <c r="M5" i="370"/>
  <c r="L5" i="370"/>
  <c r="Q3" i="343"/>
  <c r="P3" i="343"/>
  <c r="C13" i="339"/>
  <c r="C15" i="339" s="1"/>
  <c r="B13" i="339"/>
  <c r="B15" i="339" s="1"/>
  <c r="L26" i="370"/>
  <c r="M26" i="370"/>
  <c r="C15" i="414"/>
  <c r="D17" i="414"/>
  <c r="C4" i="414"/>
  <c r="H13" i="339" l="1"/>
  <c r="F15" i="339"/>
  <c r="D26" i="414"/>
  <c r="E26" i="414" s="1"/>
  <c r="E15" i="414"/>
  <c r="E4" i="414"/>
  <c r="C6" i="340"/>
  <c r="D6" i="340" s="1"/>
  <c r="B4" i="340"/>
  <c r="G13" i="339"/>
  <c r="B13" i="340" l="1"/>
  <c r="B12" i="340"/>
  <c r="G15" i="339"/>
  <c r="H15" i="339"/>
  <c r="C4" i="340"/>
  <c r="E18" i="414"/>
  <c r="E21" i="414"/>
  <c r="D4" i="340"/>
  <c r="E6" i="340"/>
  <c r="C17" i="414"/>
  <c r="E17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 vpravo vyberte požadovanou hodnotu.</t>
        </r>
      </text>
    </comment>
  </commentList>
</comments>
</file>

<file path=xl/sharedStrings.xml><?xml version="1.0" encoding="utf-8"?>
<sst xmlns="http://schemas.openxmlformats.org/spreadsheetml/2006/main" count="8169" uniqueCount="2163">
  <si>
    <t>NS</t>
  </si>
  <si>
    <t>Č. účtu</t>
  </si>
  <si>
    <t>Účet</t>
  </si>
  <si>
    <t>Limit Kč</t>
  </si>
  <si>
    <t>Spotř. Kč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</si>
  <si>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</si>
  <si>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</si>
  <si>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</si>
  <si>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</si>
  <si>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</si>
  <si>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</si>
  <si>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</si>
  <si>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</si>
  <si>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</si>
  <si>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</si>
  <si>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</si>
  <si>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</si>
  <si>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</si>
  <si>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</si>
  <si>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</si>
  <si>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</si>
  <si>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</si>
  <si>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</si>
  <si>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</si>
  <si>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</si>
  <si>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</si>
  <si>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</si>
  <si>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</si>
  <si>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</si>
  <si>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</si>
  <si>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</si>
  <si>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</si>
  <si>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</si>
  <si>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</si>
  <si>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</si>
  <si>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</si>
  <si>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</si>
  <si>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</si>
  <si>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</si>
  <si>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</si>
  <si>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</si>
  <si>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</si>
  <si>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</si>
  <si>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</si>
  <si>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</si>
  <si>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</si>
  <si>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</si>
  <si>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</si>
  <si>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</si>
  <si>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</si>
  <si>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</si>
  <si>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</si>
  <si>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</si>
  <si>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</si>
  <si>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</si>
  <si>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</si>
  <si>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</si>
  <si>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</si>
  <si>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</si>
  <si>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</si>
  <si>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</si>
  <si>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</si>
  <si>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</si>
  <si>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</si>
  <si>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</si>
  <si>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</si>
  <si>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</si>
  <si>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</si>
  <si>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</si>
  <si>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</si>
  <si>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</si>
  <si>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</si>
  <si>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</si>
  <si>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</si>
  <si>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</si>
  <si>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</si>
  <si>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</si>
  <si>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</si>
  <si>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</si>
  <si>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</si>
  <si>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</si>
  <si>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</si>
  <si>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</si>
  <si>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</si>
  <si>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</si>
  <si>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</si>
  <si>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</si>
  <si>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</si>
  <si>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</si>
  <si>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</si>
  <si>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</si>
  <si>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</si>
  <si>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</si>
  <si>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</si>
  <si>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</si>
  <si>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</si>
  <si>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</si>
  <si>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</si>
  <si>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</si>
  <si>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</si>
  <si>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</si>
  <si>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</si>
  <si>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</si>
  <si>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</si>
  <si>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</si>
  <si>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</si>
  <si>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</si>
  <si>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</si>
  <si>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</si>
  <si>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</si>
  <si>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</si>
  <si>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</si>
  <si>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</si>
  <si>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</si>
  <si>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</si>
  <si>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</si>
  <si>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</si>
  <si>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</si>
  <si>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</si>
  <si>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</si>
  <si>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</si>
  <si>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</si>
  <si>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</si>
  <si>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</si>
  <si>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</si>
  <si>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</si>
  <si>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</si>
  <si>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</si>
  <si>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</si>
  <si>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</si>
  <si>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</si>
  <si>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</si>
  <si>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</si>
  <si>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</si>
  <si>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</si>
  <si>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</si>
  <si>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</si>
  <si>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</si>
  <si>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</si>
  <si>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</si>
  <si>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</si>
  <si>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</si>
  <si>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</si>
  <si>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</si>
  <si>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</si>
  <si>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</si>
  <si>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</si>
  <si>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</si>
  <si>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</si>
  <si>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</si>
  <si>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</si>
  <si>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</si>
  <si>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</si>
  <si>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</si>
  <si>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</si>
  <si>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</si>
  <si>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</si>
  <si>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</si>
  <si>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</si>
  <si>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</si>
  <si>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</si>
  <si>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</si>
  <si>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</si>
  <si>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</si>
  <si>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</si>
  <si>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</si>
  <si>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</si>
  <si>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</si>
  <si>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</si>
  <si>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</si>
  <si>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</si>
  <si>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</si>
  <si>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</si>
  <si>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</si>
  <si>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</si>
  <si>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</si>
  <si>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</si>
  <si>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</si>
  <si>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</si>
  <si>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</si>
  <si>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</si>
  <si>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</si>
  <si>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</si>
  <si>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</si>
  <si>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</si>
  <si>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</si>
  <si>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</si>
  <si>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</si>
  <si>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Přečerpáno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</si>
  <si>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</si>
  <si>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</si>
  <si>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</si>
  <si>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</si>
  <si>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</si>
  <si>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</si>
  <si>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</si>
  <si>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</si>
  <si>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</si>
  <si>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</si>
  <si>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</si>
  <si>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</si>
  <si>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</si>
  <si>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</si>
  <si>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</si>
  <si>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</si>
  <si>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</si>
  <si>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</si>
  <si>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</si>
  <si>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Ambulance = vykázané výkony (body) + vykázaný ZUM a ZULP (Kč)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</si>
  <si>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</si>
  <si>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</si>
  <si>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</si>
  <si>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</si>
  <si>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Rozpočet Kč</t>
  </si>
  <si>
    <t>Přehled plnění pozitivniho listu (PL) -
   spotřeba léčivých přípravků dle objemu Kč mimo PL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</si>
  <si>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</si>
  <si>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</si>
  <si>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</si>
  <si>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</si>
  <si>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</si>
  <si>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</si>
  <si>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</si>
  <si>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</si>
  <si>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</si>
  <si>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</si>
  <si>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</si>
  <si>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</si>
  <si>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</si>
  <si>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</si>
  <si>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</si>
  <si>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</si>
  <si>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</si>
  <si>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</si>
  <si>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</si>
  <si>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</si>
  <si>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DRG mimo vyjmenované baze</t>
  </si>
  <si>
    <t>Vyjmenované baze DRG</t>
  </si>
  <si>
    <t>optimum 100% *</t>
  </si>
  <si>
    <t>optimum 95% *</t>
  </si>
  <si>
    <t>* Legenda</t>
  </si>
  <si>
    <t>Dle vyhlášky optimum casemixu 97%, hospitalizace 93%</t>
  </si>
  <si>
    <t>333 - Cizinci</t>
  </si>
  <si>
    <t>Počet hospitalizací - případů DRG</t>
  </si>
  <si>
    <t>POMĚROVÉ  PLNĚNÍ = Rozpočet na rok 2014 celkem a 1/12  ročního rozpočtu, skutečnost daných měsíců a % plnění načítané skutečnosti do data k poměrné části rozpočtu do data.</t>
  </si>
  <si>
    <t>Lékař / ATC</t>
  </si>
  <si>
    <t>Pol</t>
  </si>
  <si>
    <t>0</t>
  </si>
  <si>
    <t>101</t>
  </si>
  <si>
    <t>102</t>
  </si>
  <si>
    <t>203</t>
  </si>
  <si>
    <t>305-306</t>
  </si>
  <si>
    <t>407-421</t>
  </si>
  <si>
    <t>522-528</t>
  </si>
  <si>
    <t>629-642</t>
  </si>
  <si>
    <t>743-749</t>
  </si>
  <si>
    <t>930</t>
  </si>
  <si>
    <t>940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</si>
  <si>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</si>
  <si>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</si>
  <si>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</si>
  <si>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</si>
  <si>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</si>
  <si>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</si>
  <si>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</si>
  <si>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</si>
  <si>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</si>
  <si>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</si>
  <si>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</si>
  <si>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</si>
  <si>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</si>
  <si>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</si>
  <si>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</si>
  <si>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</si>
  <si>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</si>
  <si>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farmaceuti</t>
  </si>
  <si>
    <t>všeobecné sestry a porodní asistentky</t>
  </si>
  <si>
    <t>zdravot. prac. nelékaři s odb. způsobilostí</t>
  </si>
  <si>
    <t>zdravot. prac. nelékaři s odb. a spec. způsobilostí</t>
  </si>
  <si>
    <t>zdravot. prac. nelékaři pod odb. dohledem nebo přímým vedením</t>
  </si>
  <si>
    <t>jiní odb. prac. nelékaři s odb. způsobilostí a dentisté</t>
  </si>
  <si>
    <t>THP prac.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</si>
  <si>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</si>
  <si>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</si>
  <si>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</si>
  <si>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</si>
  <si>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</si>
  <si>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</si>
  <si>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</si>
  <si>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</si>
  <si>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</si>
  <si>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</si>
  <si>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</si>
  <si>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NLZP/VŠ nelékaři</t>
  </si>
  <si>
    <t>Měsíc/Rok: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</si>
  <si>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</si>
  <si>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</si>
  <si>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</si>
  <si>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</si>
  <si>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</si>
  <si>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r>
      <t>Zpět na Obsah</t>
    </r>
    <r>
      <rPr>
        <sz val="9"/>
        <rFont val="Calibri"/>
        <family val="2"/>
        <charset val="238"/>
        <scheme val="minor"/>
      </rPr>
      <t xml:space="preserve"> | 1.-2.měsíc | Klinika ústní,čelistní a obličejové chirurgie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</si>
  <si>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</si>
  <si>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</si>
  <si>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</si>
  <si>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</si>
  <si>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</si>
  <si>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</si>
  <si>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</si>
  <si>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</si>
  <si>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</si>
  <si>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</si>
  <si>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50113006     léky - enter. a parenter. výživa (LEK)</t>
  </si>
  <si>
    <t>50113008     léky - krev.deriváty ZUL (TO)</t>
  </si>
  <si>
    <t>50113011     léky - hemofilici ZUL (TO)</t>
  </si>
  <si>
    <t>50113013     léky (paušál) - antibiotika (LEK)</t>
  </si>
  <si>
    <t>50113014     léky (paušál) - antimykotika (LEK)</t>
  </si>
  <si>
    <t>50113190     medicinální plyny</t>
  </si>
  <si>
    <t>50114     Krevní přípravky</t>
  </si>
  <si>
    <t>50114002     krevní přípravky</t>
  </si>
  <si>
    <t>50114003     plazma</t>
  </si>
  <si>
    <t>50115     Zdravotnické prostředky</t>
  </si>
  <si>
    <t>50115004     implant.umělé těl.náhr.-kovové (s.Z_506)</t>
  </si>
  <si>
    <t>50115010     RTG materiál, filmy a chemikálie (sk.Z_504)</t>
  </si>
  <si>
    <t>50115020     diagnostika laboratorní-LEK (sk.Z_501)</t>
  </si>
  <si>
    <t>50115050     obvazový materiál (sk.Z_502)</t>
  </si>
  <si>
    <t>50115060     ostatní ZPr - mimo níže uvedené (sk.Z_503)</t>
  </si>
  <si>
    <t>50115063     ostatní ZPr - vaky, sety (sk.Z_528)</t>
  </si>
  <si>
    <t>50115064     ostatní ZPr - šicí materiál (sk.Z_529)</t>
  </si>
  <si>
    <t>50115065     ostatní ZPr - vpichovací materiál (sk.Z_530)</t>
  </si>
  <si>
    <t>50115067     ostatní ZPr - rukavice (sk.Z_532)</t>
  </si>
  <si>
    <t>50115070     ostatní ZPr - katetry, stenty, porty (sk.Z_513)</t>
  </si>
  <si>
    <t>50115090     ostatní ZPr - zubolékařský materiál (sk.Z_509)</t>
  </si>
  <si>
    <t>50116     Potraviny</t>
  </si>
  <si>
    <t>50116001     lůžk. pacienti</t>
  </si>
  <si>
    <t>50116002     lůžk. pacienti nad normu</t>
  </si>
  <si>
    <t>50116099     nápoje - horké dny (daň.neúčinné)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</si>
  <si>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</si>
  <si>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</si>
  <si>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</si>
  <si>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</si>
  <si>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</si>
  <si>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</si>
  <si>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</si>
  <si>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</si>
  <si>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</si>
  <si>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</si>
  <si>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</si>
  <si>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</si>
  <si>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</si>
  <si>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</si>
  <si>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50118     Náhradní díly</t>
  </si>
  <si>
    <t>50118001     ND - ostatní (všeob.sklad) (sk.V38)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</si>
  <si>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</si>
  <si>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</si>
  <si>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</si>
  <si>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</si>
  <si>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</si>
  <si>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</si>
  <si>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</si>
  <si>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50119099     netkaný textil (sk.T18)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</si>
  <si>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</si>
  <si>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</si>
  <si>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</si>
  <si>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</si>
  <si>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</si>
  <si>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</si>
  <si>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</si>
  <si>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50210075     plyn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</si>
  <si>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</si>
  <si>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</si>
  <si>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</si>
  <si>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</si>
  <si>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</si>
  <si>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</si>
  <si>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</si>
  <si>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</si>
  <si>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(pokl.)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</si>
  <si>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</si>
  <si>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</si>
  <si>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</si>
  <si>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</si>
  <si>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</si>
  <si>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spoje -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</si>
  <si>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</si>
  <si>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</si>
  <si>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</si>
  <si>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</si>
  <si>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</si>
  <si>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</si>
  <si>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 pravidelný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</si>
  <si>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</si>
  <si>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</si>
  <si>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</si>
  <si>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</si>
  <si>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</si>
  <si>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</si>
  <si>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</si>
  <si>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</si>
  <si>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</si>
  <si>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51874010     ostatní služby - zdravotní</t>
  </si>
  <si>
    <t>521     Mzdové náklady</t>
  </si>
  <si>
    <t>52111     Hrubé mzdy</t>
  </si>
  <si>
    <t>52111000     hrubé mzdy</t>
  </si>
  <si>
    <t>52112     Placené služby</t>
  </si>
  <si>
    <t>52112000     placené služby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</si>
  <si>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</si>
  <si>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</si>
  <si>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</si>
  <si>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</si>
  <si>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</si>
  <si>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</si>
  <si>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</si>
  <si>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</si>
  <si>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</si>
  <si>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</si>
  <si>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</si>
  <si>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</si>
  <si>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</si>
  <si>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</si>
  <si>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</si>
  <si>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</si>
  <si>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</si>
  <si>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</si>
  <si>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</si>
  <si>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</si>
  <si>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54924     Ostatní výplaty fyzickým osobám</t>
  </si>
  <si>
    <t>54924001     odškod.zaměst. - prac.úraz,...</t>
  </si>
  <si>
    <t>54925     Ostatní výplaty fyzickým osobám(OPMČ)</t>
  </si>
  <si>
    <t>54925000     odškodn.-náhr.mzdy zam.(OPMČ)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</si>
  <si>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</si>
  <si>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</si>
  <si>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</si>
  <si>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</si>
  <si>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</si>
  <si>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</si>
  <si>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</si>
  <si>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</si>
  <si>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</si>
  <si>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</si>
  <si>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55120     ZC vyřazeného DM</t>
  </si>
  <si>
    <t>55120004     ZC DHM - zdravot.techn. z odpisů</t>
  </si>
  <si>
    <t>557     Náklady z vyřazených pohledávek</t>
  </si>
  <si>
    <t>55799     Náklady z vyřazených pohledávek(daň.neúčinné)</t>
  </si>
  <si>
    <t>55799001     náklady z vyřaz.pohled.pro nedobytnost (daň.neúčinné)</t>
  </si>
  <si>
    <t>558     Náklady z drobného dlouhodobého majetku</t>
  </si>
  <si>
    <t>55801     DDHM zdravotnický a laboratorní</t>
  </si>
  <si>
    <t>55801002     DDHM - zdravotnické nástroje (sk.Z_515)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</si>
  <si>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</si>
  <si>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</si>
  <si>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</si>
  <si>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</si>
  <si>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</si>
  <si>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</si>
  <si>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</si>
  <si>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</si>
  <si>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60210350     zdr.služby - nadstandart</t>
  </si>
  <si>
    <t>60210354     zdr.služby - cizinci</t>
  </si>
  <si>
    <t>60210359     zdr.služby - tuzemci (plastika atd. ...)</t>
  </si>
  <si>
    <t>60228     Zdr. výkony - VZP sledov.položky    OZPI</t>
  </si>
  <si>
    <t>60228108     výkony + materiál - VZP na výkon</t>
  </si>
  <si>
    <t>60228109     výkony stomatologie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</si>
  <si>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</si>
  <si>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</si>
  <si>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</si>
  <si>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</si>
  <si>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60229209     výkony stomatologie</t>
  </si>
  <si>
    <t>60241     Odmítnutí vykázané péče     OZPI</t>
  </si>
  <si>
    <t>60241101     odmítnutí vykázané péče, receptů, poukázek PZt, Tr - VZP</t>
  </si>
  <si>
    <t>60241201     odmítnutí vykázané péče, receptů, poukázek PZt, Tr - ostatní 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</si>
  <si>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</si>
  <si>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</si>
  <si>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</si>
  <si>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</si>
  <si>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</si>
  <si>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</si>
  <si>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</si>
  <si>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</si>
  <si>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64804     Čerpání FRM</t>
  </si>
  <si>
    <t>64804221     čerp. FRM - opravy ZT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</si>
  <si>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</si>
  <si>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</si>
  <si>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</si>
  <si>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</si>
  <si>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</si>
  <si>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</si>
  <si>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64908050     náhrady od pojišť. (zaměstn.)</t>
  </si>
  <si>
    <t>64924     Ostatní služby - mimo zdrav.výkony  FAKTURACE</t>
  </si>
  <si>
    <t>64924443     znalecké posudky - Znaleký ústav</t>
  </si>
  <si>
    <t>64924447     ostatní provoz.sl. - hl.činnost (LSPP)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</si>
  <si>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</si>
  <si>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</si>
  <si>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</si>
  <si>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</si>
  <si>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</si>
  <si>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</si>
  <si>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</si>
  <si>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</si>
  <si>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</si>
  <si>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79906001     výkony prádelny - mikrovlákno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</si>
  <si>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</si>
  <si>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</si>
  <si>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</si>
  <si>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</si>
  <si>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</si>
  <si>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</si>
  <si>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</si>
  <si>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</si>
  <si>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</si>
  <si>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25</t>
  </si>
  <si>
    <t/>
  </si>
  <si>
    <t>Klinika ústní,čelistní a obl. chir.</t>
  </si>
  <si>
    <t>50113001</t>
  </si>
  <si>
    <t>Lékárna - léčiva</t>
  </si>
  <si>
    <t>50113006</t>
  </si>
  <si>
    <t>Lékárna - enterární výživa</t>
  </si>
  <si>
    <t>50113011</t>
  </si>
  <si>
    <t>394 TO krevní deriváty hemofilici (112 01 003)</t>
  </si>
  <si>
    <t>50113013</t>
  </si>
  <si>
    <t>Lékárna - antibiotika</t>
  </si>
  <si>
    <t>50113014</t>
  </si>
  <si>
    <t>Lékárna - antimykotika</t>
  </si>
  <si>
    <t>SumaKL</t>
  </si>
  <si>
    <t>2511</t>
  </si>
  <si>
    <t>Klinika ústní,čelistní a obl. chir., lůžk. odd. 33</t>
  </si>
  <si>
    <t>SumaNS</t>
  </si>
  <si>
    <t>mezeraNS</t>
  </si>
  <si>
    <t>2521</t>
  </si>
  <si>
    <t>Klinika ústní,čelistní a obl. chir., ambulance</t>
  </si>
  <si>
    <t>2522</t>
  </si>
  <si>
    <t>Klinika ústní,čelistní a obl. chir., LSPP stomat.</t>
  </si>
  <si>
    <t>2562</t>
  </si>
  <si>
    <t>Klinika ústní,čelistní a obl. chir., operační sál</t>
  </si>
  <si>
    <t>O</t>
  </si>
  <si>
    <t>51366</t>
  </si>
  <si>
    <t>CHLORID SODNÝ 0,9% BRAUN</t>
  </si>
  <si>
    <t>INF SOL 20X100MLPELAH</t>
  </si>
  <si>
    <t>51383</t>
  </si>
  <si>
    <t>INF SOL 10X500MLPELAH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</si>
  <si>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</si>
  <si>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</si>
  <si>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</si>
  <si>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</si>
  <si>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</si>
  <si>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</si>
  <si>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</si>
  <si>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</si>
  <si>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100802</t>
  </si>
  <si>
    <t>802</t>
  </si>
  <si>
    <t>OPHTHALMO-SEPTONEX</t>
  </si>
  <si>
    <t>GTT OPH 1X10ML</t>
  </si>
  <si>
    <t>100843</t>
  </si>
  <si>
    <t>843</t>
  </si>
  <si>
    <t>DERMAZULEN</t>
  </si>
  <si>
    <t>UNG 1X30GM</t>
  </si>
  <si>
    <t>100876</t>
  </si>
  <si>
    <t>876</t>
  </si>
  <si>
    <t>UNG OPH 1X5GM</t>
  </si>
  <si>
    <t>102477</t>
  </si>
  <si>
    <t>2477</t>
  </si>
  <si>
    <t>DIAZEPAM SLOVAKOFARMA</t>
  </si>
  <si>
    <t>TBL 20X5MG</t>
  </si>
  <si>
    <t>102478</t>
  </si>
  <si>
    <t>2478</t>
  </si>
  <si>
    <t>TBL 20X10MG</t>
  </si>
  <si>
    <t>102479</t>
  </si>
  <si>
    <t>2479</t>
  </si>
  <si>
    <t>DITHIADEN</t>
  </si>
  <si>
    <t>TBL 20X2MG</t>
  </si>
  <si>
    <t>103645</t>
  </si>
  <si>
    <t>3645</t>
  </si>
  <si>
    <t>DIMEXOL</t>
  </si>
  <si>
    <t>TBL 30X200MG</t>
  </si>
  <si>
    <t>112894</t>
  </si>
  <si>
    <t>12894</t>
  </si>
  <si>
    <t>AULIN</t>
  </si>
  <si>
    <t>GRA 15X100MG(SACKY)</t>
  </si>
  <si>
    <t>145310</t>
  </si>
  <si>
    <t>45310</t>
  </si>
  <si>
    <t>ANACID</t>
  </si>
  <si>
    <t>SUS 12X5ML(SACKY)</t>
  </si>
  <si>
    <t>155823</t>
  </si>
  <si>
    <t>55823</t>
  </si>
  <si>
    <t>NOVALGIN</t>
  </si>
  <si>
    <t>TBL OBD 20X500MG</t>
  </si>
  <si>
    <t>155947</t>
  </si>
  <si>
    <t>55947</t>
  </si>
  <si>
    <t>OPHTAL LIQ 2X50ML</t>
  </si>
  <si>
    <t>157525</t>
  </si>
  <si>
    <t>57525</t>
  </si>
  <si>
    <t>MYDOCALM 150MG</t>
  </si>
  <si>
    <t>TBL OBD 30X150MG</t>
  </si>
  <si>
    <t>164881</t>
  </si>
  <si>
    <t>64881</t>
  </si>
  <si>
    <t>BEROTEC N 100 MCG</t>
  </si>
  <si>
    <t>INH SOL PSS200 DAV</t>
  </si>
  <si>
    <t>166555</t>
  </si>
  <si>
    <t>66555</t>
  </si>
  <si>
    <t>MAGNOSOLV</t>
  </si>
  <si>
    <t>GRA 30X6.1GM(SACKY)</t>
  </si>
  <si>
    <t>194292</t>
  </si>
  <si>
    <t>94292</t>
  </si>
  <si>
    <t>ZOLPIDEM-RATIOPHARM 10 MG</t>
  </si>
  <si>
    <t>POR TBL FLM 20X10MG</t>
  </si>
  <si>
    <t>197522</t>
  </si>
  <si>
    <t>97522</t>
  </si>
  <si>
    <t>DETRALEX</t>
  </si>
  <si>
    <t>TBL OBD 30</t>
  </si>
  <si>
    <t>395997</t>
  </si>
  <si>
    <t>DZ SOFTASEPT N BEZBARVÝ 250 ml</t>
  </si>
  <si>
    <t>840143</t>
  </si>
  <si>
    <t>Heřmánek Spofa her.20x1g nálev.sáčky LEROS</t>
  </si>
  <si>
    <t>843905</t>
  </si>
  <si>
    <t>103391</t>
  </si>
  <si>
    <t>MUCOSOLVAN</t>
  </si>
  <si>
    <t>POR GTT SOL+INH SOL 60ML</t>
  </si>
  <si>
    <t>846758</t>
  </si>
  <si>
    <t>103387</t>
  </si>
  <si>
    <t>ACC INJEKT</t>
  </si>
  <si>
    <t>INJ SOL 5X3ML/300MG</t>
  </si>
  <si>
    <t>848950</t>
  </si>
  <si>
    <t>155148</t>
  </si>
  <si>
    <t>PARALEN 500</t>
  </si>
  <si>
    <t>POR TBL NOB 12X500MG</t>
  </si>
  <si>
    <t>849941</t>
  </si>
  <si>
    <t>162142</t>
  </si>
  <si>
    <t>POR TBL NOB 24X500MG</t>
  </si>
  <si>
    <t>100394</t>
  </si>
  <si>
    <t>394</t>
  </si>
  <si>
    <t>ATROPIN BIOTIKA 1MG</t>
  </si>
  <si>
    <t>INJ 10X1ML/1MG</t>
  </si>
  <si>
    <t>102818</t>
  </si>
  <si>
    <t>2818</t>
  </si>
  <si>
    <t>ENDIARON</t>
  </si>
  <si>
    <t>TBL OBD 20X250MG</t>
  </si>
  <si>
    <t>155824</t>
  </si>
  <si>
    <t>55824</t>
  </si>
  <si>
    <t>INJ 5X5ML/2500MG</t>
  </si>
  <si>
    <t>196610</t>
  </si>
  <si>
    <t>96610</t>
  </si>
  <si>
    <t>APAURIN</t>
  </si>
  <si>
    <t>INJ 10X2ML/10MG</t>
  </si>
  <si>
    <t>847635</t>
  </si>
  <si>
    <t>Biopron9    PREMIUM tob.120</t>
  </si>
  <si>
    <t>100874</t>
  </si>
  <si>
    <t>874</t>
  </si>
  <si>
    <t>OPHTHALMO-AZULEN</t>
  </si>
  <si>
    <t>193109</t>
  </si>
  <si>
    <t>93109</t>
  </si>
  <si>
    <t>SUPRACAIN 4%</t>
  </si>
  <si>
    <t>INJ 10X2ML</t>
  </si>
  <si>
    <t>803169</t>
  </si>
  <si>
    <t>KL BENZINUM 300g</t>
  </si>
  <si>
    <t>394712</t>
  </si>
  <si>
    <t>IR  AQUA STERILE OPLACH.1x1000 ml ECOTAINER</t>
  </si>
  <si>
    <t>IR OPLACH</t>
  </si>
  <si>
    <t>500701</t>
  </si>
  <si>
    <t>IR  AQUA STERILE OPLACH 1000 ml Pour Bottle Prom.</t>
  </si>
  <si>
    <t>169755</t>
  </si>
  <si>
    <t>69755</t>
  </si>
  <si>
    <t>ARDEANUTRISOL G 40</t>
  </si>
  <si>
    <t>INF 1X80ML</t>
  </si>
  <si>
    <t>501065</t>
  </si>
  <si>
    <t>KL SIGNATURY</t>
  </si>
  <si>
    <t>100810</t>
  </si>
  <si>
    <t>810</t>
  </si>
  <si>
    <t>SANORIN EMULSIO</t>
  </si>
  <si>
    <t>GTT NAS 10ML 0.1%</t>
  </si>
  <si>
    <t>133152</t>
  </si>
  <si>
    <t>33152</t>
  </si>
  <si>
    <t>FANTOMALT</t>
  </si>
  <si>
    <t>POR PLV SOL 1X400GMenterar.</t>
  </si>
  <si>
    <t>844148</t>
  </si>
  <si>
    <t>104694</t>
  </si>
  <si>
    <t>MUCOSOLVAN PRO DOSPĚLÉ</t>
  </si>
  <si>
    <t>POR SIR 1X100ML</t>
  </si>
  <si>
    <t>850729</t>
  </si>
  <si>
    <t>157875</t>
  </si>
  <si>
    <t>PARACETAMOL KABI 10MG/ML</t>
  </si>
  <si>
    <t>INF SOL 10X100ML/1000MG</t>
  </si>
  <si>
    <t>920200</t>
  </si>
  <si>
    <t>DZ BRAUNOL 1 L</t>
  </si>
  <si>
    <t>920378</t>
  </si>
  <si>
    <t>KL SOL.HYD.PEROX.3% 250G v sirokohrdle lahvi</t>
  </si>
  <si>
    <t>166503</t>
  </si>
  <si>
    <t>66503</t>
  </si>
  <si>
    <t>SEPTONEX</t>
  </si>
  <si>
    <t>DRM SPR SOL 1X30ML</t>
  </si>
  <si>
    <t>196887</t>
  </si>
  <si>
    <t>96887</t>
  </si>
  <si>
    <t>0.9% W/V SODIUM CHLORIDE I.V.</t>
  </si>
  <si>
    <t>INJ 20X20ML</t>
  </si>
  <si>
    <t>844257</t>
  </si>
  <si>
    <t>29816</t>
  </si>
  <si>
    <t>AVAMYS NAS.SPR.SUS 120X27,5RG</t>
  </si>
  <si>
    <t>500412</t>
  </si>
  <si>
    <t>Kl SOL.PHENOLI CAMPHOR. 50 g RD</t>
  </si>
  <si>
    <t>930095</t>
  </si>
  <si>
    <t>KL VASELINUM ALBUM, 30G</t>
  </si>
  <si>
    <t>911928</t>
  </si>
  <si>
    <t>KL ETHANOL.C.BENZINO 250G</t>
  </si>
  <si>
    <t>930671</t>
  </si>
  <si>
    <t>KL CHLORHEXIDINI SOL. 0,1% 300 g</t>
  </si>
  <si>
    <t>v sirokohrdle lahvi</t>
  </si>
  <si>
    <t>112895</t>
  </si>
  <si>
    <t>12895</t>
  </si>
  <si>
    <t>POR GRA SOL30SÁČKŮ</t>
  </si>
  <si>
    <t>169695</t>
  </si>
  <si>
    <t>69695</t>
  </si>
  <si>
    <t>ARDEAELYTOSOL RL 1/1</t>
  </si>
  <si>
    <t>INF 1X500ML</t>
  </si>
  <si>
    <t>159746</t>
  </si>
  <si>
    <t>59746</t>
  </si>
  <si>
    <t>HEŘMÁNKOVÝ ČAJ</t>
  </si>
  <si>
    <t>SPC 20X1.5GM(SCCKY)</t>
  </si>
  <si>
    <t>921277</t>
  </si>
  <si>
    <t>KL JODOVÝ OLEJ 30G</t>
  </si>
  <si>
    <t>988088</t>
  </si>
  <si>
    <t>Walmark Laktobacily FORTE s fruktooligosach.60+60</t>
  </si>
  <si>
    <t>200863</t>
  </si>
  <si>
    <t>OPH GTT SOL 1X10ML PLAST</t>
  </si>
  <si>
    <t>P</t>
  </si>
  <si>
    <t>109709</t>
  </si>
  <si>
    <t>9709</t>
  </si>
  <si>
    <t>SOLU-MEDROL</t>
  </si>
  <si>
    <t>INJ SIC 1X40MG+1ML</t>
  </si>
  <si>
    <t>112892</t>
  </si>
  <si>
    <t>12892</t>
  </si>
  <si>
    <t>TBL 30X100MG</t>
  </si>
  <si>
    <t>115864</t>
  </si>
  <si>
    <t>15864</t>
  </si>
  <si>
    <t>TRITACE 10</t>
  </si>
  <si>
    <t>POR TBL NOB 30X10MG</t>
  </si>
  <si>
    <t>159672</t>
  </si>
  <si>
    <t>59672</t>
  </si>
  <si>
    <t>TRALGIT SR 100</t>
  </si>
  <si>
    <t>POR TBL RET30X100MG</t>
  </si>
  <si>
    <t>848765</t>
  </si>
  <si>
    <t>107938</t>
  </si>
  <si>
    <t>CORDARONE</t>
  </si>
  <si>
    <t>INJ SOL 6X3ML/150MG</t>
  </si>
  <si>
    <t>849559</t>
  </si>
  <si>
    <t>125066</t>
  </si>
  <si>
    <t>APO-AMLO 5</t>
  </si>
  <si>
    <t>POR TBL NOB 100X5MG</t>
  </si>
  <si>
    <t>850078</t>
  </si>
  <si>
    <t>102608</t>
  </si>
  <si>
    <t>CARVESAN 25</t>
  </si>
  <si>
    <t>POR TBL NOB 30X25MG</t>
  </si>
  <si>
    <t>848947</t>
  </si>
  <si>
    <t>135928</t>
  </si>
  <si>
    <t>ESOPREX 10 MG</t>
  </si>
  <si>
    <t>POR TBL FLM 30X10MG</t>
  </si>
  <si>
    <t>126486</t>
  </si>
  <si>
    <t>26486</t>
  </si>
  <si>
    <t>ACTRAPID PENFILL 100IU/ML</t>
  </si>
  <si>
    <t>INJ SOL 5X3ML</t>
  </si>
  <si>
    <t>132059</t>
  </si>
  <si>
    <t>32059</t>
  </si>
  <si>
    <t>FRAXIPARINE</t>
  </si>
  <si>
    <t>INJ SOL 10X0.4ML</t>
  </si>
  <si>
    <t>133220</t>
  </si>
  <si>
    <t>33220</t>
  </si>
  <si>
    <t>PROTIFAR</t>
  </si>
  <si>
    <t>POR PLV SOL 1X225GM</t>
  </si>
  <si>
    <t>33526</t>
  </si>
  <si>
    <t>NUTRISON</t>
  </si>
  <si>
    <t>POR SOL 1X1000ML</t>
  </si>
  <si>
    <t>101066</t>
  </si>
  <si>
    <t>1066</t>
  </si>
  <si>
    <t>FRAMYKOIN</t>
  </si>
  <si>
    <t>UNG 1X10GM</t>
  </si>
  <si>
    <t>101076</t>
  </si>
  <si>
    <t>1076</t>
  </si>
  <si>
    <t>OPHTHALMO-FRAMYKOIN</t>
  </si>
  <si>
    <t>102427</t>
  </si>
  <si>
    <t>2427</t>
  </si>
  <si>
    <t>ENTIZOL</t>
  </si>
  <si>
    <t>TBL 20X250MG</t>
  </si>
  <si>
    <t>111592</t>
  </si>
  <si>
    <t>11592</t>
  </si>
  <si>
    <t>METRONIDAZOL 500MG BRAUN</t>
  </si>
  <si>
    <t>INJ 10X100ML(LDPE)</t>
  </si>
  <si>
    <t>113453</t>
  </si>
  <si>
    <t>PIPERACILLIN/TAZOBACTAM KABI 4 G/0,5 G</t>
  </si>
  <si>
    <t>INF PLV SOL 10X4.5GM</t>
  </si>
  <si>
    <t>105951</t>
  </si>
  <si>
    <t>5951</t>
  </si>
  <si>
    <t>AMOKSIKLAV 1G</t>
  </si>
  <si>
    <t>TBL OBD 14X1GM</t>
  </si>
  <si>
    <t>108807</t>
  </si>
  <si>
    <t>8807</t>
  </si>
  <si>
    <t>DALACIN C PHOSPHATE</t>
  </si>
  <si>
    <t>INJ 1X4ML 600MG</t>
  </si>
  <si>
    <t>147727</t>
  </si>
  <si>
    <t>47727</t>
  </si>
  <si>
    <t>ZINNAT 500 MG</t>
  </si>
  <si>
    <t>TBL OBD 10X500MG</t>
  </si>
  <si>
    <t>172972</t>
  </si>
  <si>
    <t>72972</t>
  </si>
  <si>
    <t>AMOKSIKLAV 1.2GM</t>
  </si>
  <si>
    <t>INJ SIC 5X1.2GM</t>
  </si>
  <si>
    <t>844576</t>
  </si>
  <si>
    <t>100339</t>
  </si>
  <si>
    <t>DALACIN C 300 MG</t>
  </si>
  <si>
    <t>POR CPS DUR 16X300MG</t>
  </si>
  <si>
    <t>165989</t>
  </si>
  <si>
    <t>65989</t>
  </si>
  <si>
    <t>MYCOMAX « INF. INFUZ</t>
  </si>
  <si>
    <t>87239</t>
  </si>
  <si>
    <t>Fanhdi 50 I.U./ml(500 I.U) GRIFOLS</t>
  </si>
  <si>
    <t>841059</t>
  </si>
  <si>
    <t>Indulona olivová ung.100g</t>
  </si>
  <si>
    <t>100536</t>
  </si>
  <si>
    <t>536</t>
  </si>
  <si>
    <t>NORADRENALIN LECIVA</t>
  </si>
  <si>
    <t>705608</t>
  </si>
  <si>
    <t>Indulona A/64 ung.100ml modrá</t>
  </si>
  <si>
    <t>117011</t>
  </si>
  <si>
    <t>17011</t>
  </si>
  <si>
    <t>DICYNONE 250</t>
  </si>
  <si>
    <t>INJ SOL 4X2ML/250MG</t>
  </si>
  <si>
    <t>921230</t>
  </si>
  <si>
    <t>KL VASELINUM ALBUM, 20G</t>
  </si>
  <si>
    <t>102439</t>
  </si>
  <si>
    <t>2439</t>
  </si>
  <si>
    <t>MARCAINE 0.5%</t>
  </si>
  <si>
    <t>INJ SOL5X20ML/100MG</t>
  </si>
  <si>
    <t>108510</t>
  </si>
  <si>
    <t>8510</t>
  </si>
  <si>
    <t>AETHOXYSKLEROL</t>
  </si>
  <si>
    <t>INJ 5X2ML 0.5%</t>
  </si>
  <si>
    <t>900305</t>
  </si>
  <si>
    <t>KL SOL.FORMAL.K FIXACI TKANI,500G</t>
  </si>
  <si>
    <t>185793</t>
  </si>
  <si>
    <t>136395</t>
  </si>
  <si>
    <t>SOLCOSERYL DENTAL ADHESIVE</t>
  </si>
  <si>
    <t>STM PST 1X5GM</t>
  </si>
  <si>
    <t>920376</t>
  </si>
  <si>
    <t>KL SOL.HYD.PEROX.3% 200G v sirokohrdle lahvi</t>
  </si>
  <si>
    <t>921216</t>
  </si>
  <si>
    <t>KL SOL.IODI PREGL 200g v sirokohrdle lahvi</t>
  </si>
  <si>
    <t>921241</t>
  </si>
  <si>
    <t>KL SOL.ARG.NITR.10% 10G</t>
  </si>
  <si>
    <t>930673</t>
  </si>
  <si>
    <t>KL CHLORHEXIDINI SOL. 0,1% 200g</t>
  </si>
  <si>
    <t>921245</t>
  </si>
  <si>
    <t>KL BENZINUM 150g v sirokohrdle lahvi</t>
  </si>
  <si>
    <t>190044</t>
  </si>
  <si>
    <t>90044</t>
  </si>
  <si>
    <t>DEPO-MEDROL</t>
  </si>
  <si>
    <t>INJ 1X1ML/40MG</t>
  </si>
  <si>
    <t>190778</t>
  </si>
  <si>
    <t>90778</t>
  </si>
  <si>
    <t>BACTROBAN</t>
  </si>
  <si>
    <t>DRM UNG 1X15GM</t>
  </si>
  <si>
    <t>840169</t>
  </si>
  <si>
    <t>Indulona  Nechtíková 100g</t>
  </si>
  <si>
    <t>100407</t>
  </si>
  <si>
    <t>407</t>
  </si>
  <si>
    <t>CALCIUM BIOTIKA</t>
  </si>
  <si>
    <t>INJ 10X10ML/1GM</t>
  </si>
  <si>
    <t>187906</t>
  </si>
  <si>
    <t>87906</t>
  </si>
  <si>
    <t>KORYLAN</t>
  </si>
  <si>
    <t>TBL 10</t>
  </si>
  <si>
    <t>930674</t>
  </si>
  <si>
    <t>KL CHLORNAN SODNÝ 1% 300g v sirokohrdle lahvi</t>
  </si>
  <si>
    <t>773465</t>
  </si>
  <si>
    <t>Indulona Rakytníková</t>
  </si>
  <si>
    <t>146125</t>
  </si>
  <si>
    <t>46125</t>
  </si>
  <si>
    <t>LIDOCAIN 10%</t>
  </si>
  <si>
    <t>SPR 1X38GM</t>
  </si>
  <si>
    <t>900814</t>
  </si>
  <si>
    <t>KL SOL.FORMAL.K FIXACI TKANI,1000G</t>
  </si>
  <si>
    <t>900321</t>
  </si>
  <si>
    <t>KL PRIPRAVEK</t>
  </si>
  <si>
    <t>900406</t>
  </si>
  <si>
    <t>KL SOL.NOVIKOV 10G</t>
  </si>
  <si>
    <t>921564</t>
  </si>
  <si>
    <t>KL VASELINUM ALBUM STERILNI,  10G</t>
  </si>
  <si>
    <t>500988</t>
  </si>
  <si>
    <t>KL VASELINUM ALBUM STERILNI, 20G</t>
  </si>
  <si>
    <t>844940</t>
  </si>
  <si>
    <t>KL ELIXÍR NA OPTIKU</t>
  </si>
  <si>
    <t>930224</t>
  </si>
  <si>
    <t>KL BENZINUM 900 ml</t>
  </si>
  <si>
    <t>UN 3295</t>
  </si>
  <si>
    <t>900897</t>
  </si>
  <si>
    <t>KL GELATUM FORMALDEHYDI, 100G</t>
  </si>
  <si>
    <t>formaldehydový gel</t>
  </si>
  <si>
    <t>920312</t>
  </si>
  <si>
    <t>KL SOL.TETRACAINI 2% 10G</t>
  </si>
  <si>
    <t>921054</t>
  </si>
  <si>
    <t>KL PERSTERIL 10% 300G</t>
  </si>
  <si>
    <t>2562 - Klinika ústní,čelistní a obl. chir., operační sál</t>
  </si>
  <si>
    <t>2522 - Klinika ústní,čelistní a obl. chir., LSPP stomat.</t>
  </si>
  <si>
    <t>2511 - Klinika ústní,čelistní a obl. chir., lůžk. odd. 33</t>
  </si>
  <si>
    <t>2521 - Klinika ústní,čelistní a obl. chir., ambulance</t>
  </si>
  <si>
    <t>A10AB01 - Inzulin lidský</t>
  </si>
  <si>
    <t>M01AX17 - Nimesulid</t>
  </si>
  <si>
    <t>J01FF01 - Klindamycin</t>
  </si>
  <si>
    <t>B01AB06 - Nadroparin</t>
  </si>
  <si>
    <t>N06AB10 - Escitalopram</t>
  </si>
  <si>
    <t>C01BD01 - Amiodaron</t>
  </si>
  <si>
    <t>J01DC02 - Cefuroxim</t>
  </si>
  <si>
    <t>C07AG02 - Karvedilol</t>
  </si>
  <si>
    <t>J02AC01 - Flukonazol</t>
  </si>
  <si>
    <t>C08CA01 - Amlodipin</t>
  </si>
  <si>
    <t>N02AX02 - Tramadol</t>
  </si>
  <si>
    <t>C09AA05 - Ramipril</t>
  </si>
  <si>
    <t>V06XX - Potraviny pro zvláštní lékařské účely (PZLÚ)</t>
  </si>
  <si>
    <t>H02AB04 - Methylprednisolon</t>
  </si>
  <si>
    <t>J01CR02 - Amoxicilin a enzymový inhibitor</t>
  </si>
  <si>
    <t>A10AB01</t>
  </si>
  <si>
    <t>ACTRAPID PENFILL 100 IU/ML</t>
  </si>
  <si>
    <t>B01AB06</t>
  </si>
  <si>
    <t>C01BD01</t>
  </si>
  <si>
    <t>C07AG02</t>
  </si>
  <si>
    <t>C08CA01</t>
  </si>
  <si>
    <t>C09AA05</t>
  </si>
  <si>
    <t>TRITACE 10 MG</t>
  </si>
  <si>
    <t>H02AB04</t>
  </si>
  <si>
    <t>SOLU-MEDROL 40 MG/ML</t>
  </si>
  <si>
    <t>INJ PSO LQF 40MG+1ML</t>
  </si>
  <si>
    <t>J01CR02</t>
  </si>
  <si>
    <t>AMOKSIKLAV 1 G</t>
  </si>
  <si>
    <t>POR TBL FLM 14X1GM</t>
  </si>
  <si>
    <t>AMOKSIKLAV 1,2 G</t>
  </si>
  <si>
    <t>INJ PLV SOL 5X1.2GM</t>
  </si>
  <si>
    <t>J01DC02</t>
  </si>
  <si>
    <t>POR TBL FLM 10X500MG</t>
  </si>
  <si>
    <t>J01FF01</t>
  </si>
  <si>
    <t>DALACIN C</t>
  </si>
  <si>
    <t>INJ SOL 1X4ML/600MG</t>
  </si>
  <si>
    <t>J02AC01</t>
  </si>
  <si>
    <t>MYCOMAX INF</t>
  </si>
  <si>
    <t>INF SOL 100ML/200MG</t>
  </si>
  <si>
    <t>M01AX17</t>
  </si>
  <si>
    <t>POR TBL NOB 30X100MG</t>
  </si>
  <si>
    <t>N02AX02</t>
  </si>
  <si>
    <t>POR TBL PRO 30X100MG</t>
  </si>
  <si>
    <t>N06AB10</t>
  </si>
  <si>
    <t>V06XX</t>
  </si>
  <si>
    <t>DEPO-MEDROL 40 MG/ML</t>
  </si>
  <si>
    <t>INJ SUS 1X1ML/40MG</t>
  </si>
  <si>
    <t>Přehled plnění pozitivního listu - spotřeba léčivých přípravků - orientační přehled</t>
  </si>
  <si>
    <t>HVLP</t>
  </si>
  <si>
    <t>IPLP</t>
  </si>
  <si>
    <t>89301251</t>
  </si>
  <si>
    <t>Standardní lůžková péče Celkem</t>
  </si>
  <si>
    <t>89301252</t>
  </si>
  <si>
    <t>Příjmová ambulance Celkem</t>
  </si>
  <si>
    <t>89305252</t>
  </si>
  <si>
    <t>Ambul.kliniky ústní,čelist.a oblič.chir. Celkem</t>
  </si>
  <si>
    <t>89870255</t>
  </si>
  <si>
    <t>Pracoviště stomatologické LSPP Celkem</t>
  </si>
  <si>
    <t>Klinika ústní,čelistní a obl. chir. Celkem</t>
  </si>
  <si>
    <t>Číhalová Lucie</t>
  </si>
  <si>
    <t>Dubovská Ivana</t>
  </si>
  <si>
    <t>Foltasová Lenka</t>
  </si>
  <si>
    <t>Hanáková Dagmar</t>
  </si>
  <si>
    <t>Harvan Luboš</t>
  </si>
  <si>
    <t>Havlík Miroslav</t>
  </si>
  <si>
    <t>Heinz Petr</t>
  </si>
  <si>
    <t>Chytilová Karin</t>
  </si>
  <si>
    <t>Jirava Emil</t>
  </si>
  <si>
    <t>Juřička Stanislav</t>
  </si>
  <si>
    <t>Kadlec Zdeněk</t>
  </si>
  <si>
    <t>Klimeš Vladimír</t>
  </si>
  <si>
    <t>Král David</t>
  </si>
  <si>
    <t>Krejčí Přemysl</t>
  </si>
  <si>
    <t>Michl Petr</t>
  </si>
  <si>
    <t>Moťka Vladislav</t>
  </si>
  <si>
    <t>Němcová Nikola</t>
  </si>
  <si>
    <t>Pazdera Jindřich</t>
  </si>
  <si>
    <t>Pink Richard</t>
  </si>
  <si>
    <t>Schneiderová Michaela</t>
  </si>
  <si>
    <t>Stupková Veronika</t>
  </si>
  <si>
    <t>Tvrdý Peter</t>
  </si>
  <si>
    <t>Voborná Iva</t>
  </si>
  <si>
    <t>Zbořil Vítězslav</t>
  </si>
  <si>
    <t>Žižka Radovan</t>
  </si>
  <si>
    <t>Strouhalová Jana</t>
  </si>
  <si>
    <t>Kozák Rostislav</t>
  </si>
  <si>
    <t>Alprazolam</t>
  </si>
  <si>
    <t>6618</t>
  </si>
  <si>
    <t>NEUROL 0,5</t>
  </si>
  <si>
    <t>POR TBL NOB 30X0.5MG</t>
  </si>
  <si>
    <t>Amoxicilin a enzymový inhibitor</t>
  </si>
  <si>
    <t>5950</t>
  </si>
  <si>
    <t>POR TBL FLM 10X1GM</t>
  </si>
  <si>
    <t>Flutikason-furoát</t>
  </si>
  <si>
    <t>29814</t>
  </si>
  <si>
    <t>AVAMYS</t>
  </si>
  <si>
    <t>NAS SPR SUS 30X27.5RG</t>
  </si>
  <si>
    <t>Klindamycin</t>
  </si>
  <si>
    <t>Metronidazol</t>
  </si>
  <si>
    <t>POR TBL NOB 20X250MG</t>
  </si>
  <si>
    <t>Jiná antiinfektiva</t>
  </si>
  <si>
    <t>OPH GTT SOL 1X10ML SKLO</t>
  </si>
  <si>
    <t>OPH UNG 1X5GM/5MG</t>
  </si>
  <si>
    <t>Nimesulid</t>
  </si>
  <si>
    <t>POR GRA SUS 30SÁČ I</t>
  </si>
  <si>
    <t>Chondroitin-sulfát</t>
  </si>
  <si>
    <t>14817</t>
  </si>
  <si>
    <t>CONDROSULF 400</t>
  </si>
  <si>
    <t>POR CPS DUR 60X400MG</t>
  </si>
  <si>
    <t>Cefuroxim</t>
  </si>
  <si>
    <t>47725</t>
  </si>
  <si>
    <t>ZINNAT 250 MG</t>
  </si>
  <si>
    <t>POR TBL FLM 10X250MG</t>
  </si>
  <si>
    <t>Karbamazepin</t>
  </si>
  <si>
    <t>3417</t>
  </si>
  <si>
    <t>BISTON</t>
  </si>
  <si>
    <t>POR TBL NOB 50X200MG</t>
  </si>
  <si>
    <t>Ketoprofen</t>
  </si>
  <si>
    <t>76655</t>
  </si>
  <si>
    <t>KETONAL</t>
  </si>
  <si>
    <t>POR CPS DUR 25X50MG</t>
  </si>
  <si>
    <t>107135</t>
  </si>
  <si>
    <t>DALACIN C 150 MG</t>
  </si>
  <si>
    <t>POR CPS DUR 16X150MG</t>
  </si>
  <si>
    <t>Klomipramin</t>
  </si>
  <si>
    <t>16028</t>
  </si>
  <si>
    <t>ANAFRANIL SR 75</t>
  </si>
  <si>
    <t>POR TBL RET 20X75MG</t>
  </si>
  <si>
    <t>12891</t>
  </si>
  <si>
    <t>POR TBL NOB 15X100MG</t>
  </si>
  <si>
    <t>Tizanidin</t>
  </si>
  <si>
    <t>16050</t>
  </si>
  <si>
    <t>SIRDALUD 2 MG</t>
  </si>
  <si>
    <t>POR TBL NOB 20X2MG</t>
  </si>
  <si>
    <t>Vitamin B1 v kombinaci s vitaminem B6 a/nebo B12</t>
  </si>
  <si>
    <t>11485</t>
  </si>
  <si>
    <t>MILGAMMA N</t>
  </si>
  <si>
    <t>INJ SOL 5X2ML</t>
  </si>
  <si>
    <t>42477</t>
  </si>
  <si>
    <t>MILGAMMA</t>
  </si>
  <si>
    <t>POR TBL OBD 100</t>
  </si>
  <si>
    <t>Zolpidem</t>
  </si>
  <si>
    <t>198054</t>
  </si>
  <si>
    <t>SANVAL 10 MG</t>
  </si>
  <si>
    <t>Jiná</t>
  </si>
  <si>
    <t>*4035</t>
  </si>
  <si>
    <t>Jiný</t>
  </si>
  <si>
    <t>Diklofenak</t>
  </si>
  <si>
    <t>58880</t>
  </si>
  <si>
    <t>DOLMINA 100 SR</t>
  </si>
  <si>
    <t>POR TBL PRO 20X100MG</t>
  </si>
  <si>
    <t>Kyselina hyaluronová</t>
  </si>
  <si>
    <t>59840</t>
  </si>
  <si>
    <t>HYALGAN 20 MG/2 ML</t>
  </si>
  <si>
    <t>INJ SOL 1X2ML/20MG</t>
  </si>
  <si>
    <t>Pitofenon a analgetika</t>
  </si>
  <si>
    <t>50335</t>
  </si>
  <si>
    <t>ALGIFEN NEO</t>
  </si>
  <si>
    <t>POR GTT SOL 1X25ML</t>
  </si>
  <si>
    <t>Nifuroxazid</t>
  </si>
  <si>
    <t>46405</t>
  </si>
  <si>
    <t>ERCEFURYL 200 MG CPS.</t>
  </si>
  <si>
    <t>POR CPS DUR 14X200MG</t>
  </si>
  <si>
    <t>85525</t>
  </si>
  <si>
    <t>AMOKSIKLAV 625 MG</t>
  </si>
  <si>
    <t>POR TBL FLM 21X625MG</t>
  </si>
  <si>
    <t>132671</t>
  </si>
  <si>
    <t>POR GRA SUS 15SÁČ I</t>
  </si>
  <si>
    <t>Bromazepam</t>
  </si>
  <si>
    <t>88217</t>
  </si>
  <si>
    <t>LEXAURIN 1,5</t>
  </si>
  <si>
    <t>POR TBL NOB 30X1.5MG</t>
  </si>
  <si>
    <t>Ciklopirox</t>
  </si>
  <si>
    <t>76152</t>
  </si>
  <si>
    <t>BATRAFEN ROZTOK</t>
  </si>
  <si>
    <t>DRM SOL 1X20ML</t>
  </si>
  <si>
    <t>Jiná kapiláry stabilizující látky</t>
  </si>
  <si>
    <t>107806</t>
  </si>
  <si>
    <t>AESCIN-TEVA</t>
  </si>
  <si>
    <t>POR TBL ENT 30X20MG</t>
  </si>
  <si>
    <t>Mupirocin</t>
  </si>
  <si>
    <t>132654</t>
  </si>
  <si>
    <t>84114</t>
  </si>
  <si>
    <t>FASTUM GEL</t>
  </si>
  <si>
    <t>DRM GEL 1X50GM</t>
  </si>
  <si>
    <t>Prednison</t>
  </si>
  <si>
    <t>269</t>
  </si>
  <si>
    <t>PREDNISON 5 LÉČIVA</t>
  </si>
  <si>
    <t>POR TBL NOB 20X5MG</t>
  </si>
  <si>
    <t>*4036</t>
  </si>
  <si>
    <t>Sodná sůl metamizolu</t>
  </si>
  <si>
    <t>NOVALGIN TABLETY</t>
  </si>
  <si>
    <t>POR TBL FLM 20X500MG</t>
  </si>
  <si>
    <t>Cefadroxil</t>
  </si>
  <si>
    <t>44803</t>
  </si>
  <si>
    <t>BIODROXIL</t>
  </si>
  <si>
    <t>POR TBL FLM 20X1000MG</t>
  </si>
  <si>
    <t>Flukonazol</t>
  </si>
  <si>
    <t>66036</t>
  </si>
  <si>
    <t>MYCOMAX 100</t>
  </si>
  <si>
    <t>POR CPS DUR 28X100MG</t>
  </si>
  <si>
    <t>Imichimod</t>
  </si>
  <si>
    <t>193437</t>
  </si>
  <si>
    <t>ALDARA 5% CREAM</t>
  </si>
  <si>
    <t>CRM 24X250MG/12.5MG</t>
  </si>
  <si>
    <t>Kalcipotriol, kombinace</t>
  </si>
  <si>
    <t>47563</t>
  </si>
  <si>
    <t>DAIVOBET MAST</t>
  </si>
  <si>
    <t>Metoprolol</t>
  </si>
  <si>
    <t>46980</t>
  </si>
  <si>
    <t>BETALOC SR 200 MG</t>
  </si>
  <si>
    <t>POR TBL PRO 100X200MG</t>
  </si>
  <si>
    <t>18549</t>
  </si>
  <si>
    <t>XORIMAX 500 MG POTAHOVANÉ TABLETY</t>
  </si>
  <si>
    <t>POR TBL FLM 24X500MG</t>
  </si>
  <si>
    <t>Sildenafil</t>
  </si>
  <si>
    <t>26913</t>
  </si>
  <si>
    <t>VIAGRA 100 MG</t>
  </si>
  <si>
    <t>POR TBL FLM 8X100MG</t>
  </si>
  <si>
    <t>Doxycyklin</t>
  </si>
  <si>
    <t>47718</t>
  </si>
  <si>
    <t>DOXYCYCLIN AL 100</t>
  </si>
  <si>
    <t>POR TBL NOB 10X100MG</t>
  </si>
  <si>
    <t>16287</t>
  </si>
  <si>
    <t>DRM GEL 1X100GM</t>
  </si>
  <si>
    <t>Omeprazol</t>
  </si>
  <si>
    <t>25363</t>
  </si>
  <si>
    <t>HELICID 10 ZENTIVA</t>
  </si>
  <si>
    <t>POR CPS ETD 90X10MG SKLO</t>
  </si>
  <si>
    <t>176954</t>
  </si>
  <si>
    <t>POR GTT SOL 1X50ML</t>
  </si>
  <si>
    <t>16051</t>
  </si>
  <si>
    <t>POR TBL NOB 30X2MG</t>
  </si>
  <si>
    <t>66037</t>
  </si>
  <si>
    <t>POR CPS DUR 7X100MG</t>
  </si>
  <si>
    <t>66039</t>
  </si>
  <si>
    <t>MYCOMAX 150</t>
  </si>
  <si>
    <t>POR CPS DUR 1X150MG</t>
  </si>
  <si>
    <t>132531</t>
  </si>
  <si>
    <t>HELICID 20</t>
  </si>
  <si>
    <t>POR CPS ETD 90X20MG</t>
  </si>
  <si>
    <t>Pseudoefedrin, kombinace</t>
  </si>
  <si>
    <t>83059</t>
  </si>
  <si>
    <t>CLARINASE REPETABS</t>
  </si>
  <si>
    <t>POR TBL RET 14</t>
  </si>
  <si>
    <t>Erdostein</t>
  </si>
  <si>
    <t>87076</t>
  </si>
  <si>
    <t>ERDOMED</t>
  </si>
  <si>
    <t>POR CPS DUR 20X300MG</t>
  </si>
  <si>
    <t>17186</t>
  </si>
  <si>
    <t>NIMESIL</t>
  </si>
  <si>
    <t>POR GRA SUS 15X100MG</t>
  </si>
  <si>
    <t>Amisulprid</t>
  </si>
  <si>
    <t>134654</t>
  </si>
  <si>
    <t>AMILIA 200 MG TABLETY</t>
  </si>
  <si>
    <t>POR TBL NOB 20X200MG</t>
  </si>
  <si>
    <t>Drospirenon a ethinylestradiol</t>
  </si>
  <si>
    <t>129845</t>
  </si>
  <si>
    <t>ELOINE 0,02 MG/3 MG POTAHOVANÉ TABLETY</t>
  </si>
  <si>
    <t>POR TBL FLM 3X28</t>
  </si>
  <si>
    <t>44355</t>
  </si>
  <si>
    <t>POR TBL NOB 20X100MG</t>
  </si>
  <si>
    <t>44354</t>
  </si>
  <si>
    <t>Citalopram</t>
  </si>
  <si>
    <t>17431</t>
  </si>
  <si>
    <t>CITALEC 20 ZENTIVA</t>
  </si>
  <si>
    <t>POR TBL FLM 30X20 MG</t>
  </si>
  <si>
    <t>58261</t>
  </si>
  <si>
    <t>DICLOFENAC AL 25</t>
  </si>
  <si>
    <t>POR TBL FLM 30X25MG</t>
  </si>
  <si>
    <t>199680</t>
  </si>
  <si>
    <t>POR CPS DUR 60X300MG</t>
  </si>
  <si>
    <t>74991</t>
  </si>
  <si>
    <t>AMOKSIKLAV 156,25 MG/5 ML SUSPENZE</t>
  </si>
  <si>
    <t>POR PLV SUS 100 ML</t>
  </si>
  <si>
    <t>85524</t>
  </si>
  <si>
    <t>AMOKSIKLAV 375 MG</t>
  </si>
  <si>
    <t>POR TBL FLM 21X375MG</t>
  </si>
  <si>
    <t>Indometacin</t>
  </si>
  <si>
    <t>93724</t>
  </si>
  <si>
    <t>INDOMETACIN 100 BERLIN-CHEMIE</t>
  </si>
  <si>
    <t>RCT SUP 10X100MG</t>
  </si>
  <si>
    <t>83459</t>
  </si>
  <si>
    <t>POR CPS DUR 100X300MG</t>
  </si>
  <si>
    <t>Amoxicilin</t>
  </si>
  <si>
    <t>62049</t>
  </si>
  <si>
    <t>DUOMOX 250</t>
  </si>
  <si>
    <t>POR TBL SUS 20X250MG</t>
  </si>
  <si>
    <t>4013</t>
  </si>
  <si>
    <t>DOXYBENE 200 MG TABLETY</t>
  </si>
  <si>
    <t>POR TBL NOB 10X200MG</t>
  </si>
  <si>
    <t>Standardní lůžková péče</t>
  </si>
  <si>
    <t>Příjmová ambulance</t>
  </si>
  <si>
    <t>Ambul.kliniky ústní,čelist.a oblič.chir.</t>
  </si>
  <si>
    <t>Pracoviště stomatologické LSPP</t>
  </si>
  <si>
    <t>Preskripce a záchyt receptů a poukazů - orientační přehled</t>
  </si>
  <si>
    <t>Přehled plnění pozitivního listu (PL) - 
   preskripce léčivých přípravků dle objemu Kč mimo PL</t>
  </si>
  <si>
    <t>C07AB02 - Metoprolol</t>
  </si>
  <si>
    <t>N05BA12 - Alprazolam</t>
  </si>
  <si>
    <t>N05AL05 - Amisulprid</t>
  </si>
  <si>
    <t>N06AB04 - Citalopram</t>
  </si>
  <si>
    <t>J01AA02 - Doxycyklin</t>
  </si>
  <si>
    <t>N05AL05</t>
  </si>
  <si>
    <t>N05BA12</t>
  </si>
  <si>
    <t>C07AB02</t>
  </si>
  <si>
    <t>J01AA02</t>
  </si>
  <si>
    <t>N06AB04</t>
  </si>
  <si>
    <t>Přehled plnění PL - Preskripce léčivých přípravků - orientační přehled</t>
  </si>
  <si>
    <t>50115020</t>
  </si>
  <si>
    <t>Diagnostika (132 03 001)</t>
  </si>
  <si>
    <t>50115050</t>
  </si>
  <si>
    <t>502 SZM obvazový (112 02 040)</t>
  </si>
  <si>
    <t>50115060</t>
  </si>
  <si>
    <t>503 SZM ostatní zdravotnický (112 02 100)</t>
  </si>
  <si>
    <t>50115010</t>
  </si>
  <si>
    <t>504 SZM rentgenový (112 02 010)</t>
  </si>
  <si>
    <t>50115090</t>
  </si>
  <si>
    <t>509 SZM zubolékařský (112 02 110)</t>
  </si>
  <si>
    <t>50115063</t>
  </si>
  <si>
    <t>528 SZM sety (112 02 105)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</si>
  <si>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</si>
  <si>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</si>
  <si>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</si>
  <si>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</si>
  <si>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</si>
  <si>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</si>
  <si>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ZF351</t>
  </si>
  <si>
    <t>Náplast transpore bílá 1,25 cm x 9,14 m bal. á 24 ks 1534-0</t>
  </si>
  <si>
    <t>ZF352</t>
  </si>
  <si>
    <t>Náplast transpore bílá 2,50 cm x 9,14 m bal. á 12 ks 1534-1</t>
  </si>
  <si>
    <t>ZA486</t>
  </si>
  <si>
    <t>Krytí mastný tyl jelonet   5 x 5 cm á 50 ks 7403</t>
  </si>
  <si>
    <t>ZF042</t>
  </si>
  <si>
    <t>Krytí mastný tyl jelonet 10 x 10 cm á 10 ks 7404</t>
  </si>
  <si>
    <t>ZA787</t>
  </si>
  <si>
    <t>Stříkačka injekční 10 ml 4606108V</t>
  </si>
  <si>
    <t>ZA789</t>
  </si>
  <si>
    <t>Stříkačka injekční   2 ml 4606027V</t>
  </si>
  <si>
    <t>ZA790</t>
  </si>
  <si>
    <t>Stříkačka injekční   5 ml 4606051V</t>
  </si>
  <si>
    <t>ZB754</t>
  </si>
  <si>
    <t>Zkumavka černá 2 ml 454073</t>
  </si>
  <si>
    <t>ZB755</t>
  </si>
  <si>
    <t>Zkumavka 1 ml K3 edta fialová 454034</t>
  </si>
  <si>
    <t>ZB756</t>
  </si>
  <si>
    <t>Zkumavka 3 ml K3 edta fialová 454086</t>
  </si>
  <si>
    <t>ZB759</t>
  </si>
  <si>
    <t>Zkumavka červená 8 ml gel 455071</t>
  </si>
  <si>
    <t>ZB761</t>
  </si>
  <si>
    <t>Zkumavka červená 4 ml 454092</t>
  </si>
  <si>
    <t>ZB767</t>
  </si>
  <si>
    <t>Jehla vakuová 226/38 mm černá 450075</t>
  </si>
  <si>
    <t>ZB771</t>
  </si>
  <si>
    <t>Držák jehly základní 450201</t>
  </si>
  <si>
    <t>ZC752</t>
  </si>
  <si>
    <t>Čepelka skalpelová 15 BB515</t>
  </si>
  <si>
    <t>ZC863</t>
  </si>
  <si>
    <t>Hadička spojovací HS 1,8 x 1800LL 606304</t>
  </si>
  <si>
    <t>ZJ696</t>
  </si>
  <si>
    <t>Sonda žaludeční CH18 1200 mm s RTG linkou bal. á 30 ks 412018</t>
  </si>
  <si>
    <t>ZB647</t>
  </si>
  <si>
    <t>Minitrach seldinger kit 100/461/000</t>
  </si>
  <si>
    <t>ZF186</t>
  </si>
  <si>
    <t>Stříkačka janett 150 ml balená 08151</t>
  </si>
  <si>
    <t>ZA206</t>
  </si>
  <si>
    <t>Set perkutální PEG-24-PULL-I-S</t>
  </si>
  <si>
    <t>ZB461</t>
  </si>
  <si>
    <t>Šití silkam černý 3/0 bal. á 36 ks C0760307</t>
  </si>
  <si>
    <t>ZA360</t>
  </si>
  <si>
    <t>Jehla sterican 0,5 x 25 mm oranžová 9186158</t>
  </si>
  <si>
    <t>ZC063</t>
  </si>
  <si>
    <t>Rukavice latex bez p. M 9421615 - povoleno pouze pro ÚČOCH a KZL</t>
  </si>
  <si>
    <t>ZA554</t>
  </si>
  <si>
    <t>Krytí hypro-sorb R 10 x 10 x 10 mm bal. á 10 ks 006</t>
  </si>
  <si>
    <t>ZB084</t>
  </si>
  <si>
    <t>Náplast transpore 2,50 cm x 9,14 m 1527-1</t>
  </si>
  <si>
    <t>ZD740</t>
  </si>
  <si>
    <t>Kompresa gáza 7,5 x 7,5 cm / 5 ks sterilní 1325019265</t>
  </si>
  <si>
    <t>ZA727</t>
  </si>
  <si>
    <t>Kontejner 30 ml sterilní 331690251750</t>
  </si>
  <si>
    <t>ZA728</t>
  </si>
  <si>
    <t>Lopatka lékařská nesterilní 1320100655</t>
  </si>
  <si>
    <t>ZB351</t>
  </si>
  <si>
    <t>Miska petri UH pr. 60 mm á 20 ks 400927</t>
  </si>
  <si>
    <t>ZF159</t>
  </si>
  <si>
    <t>Nádoba na kontaminovaný odpad 1 l 15-0002</t>
  </si>
  <si>
    <t>ZE428</t>
  </si>
  <si>
    <t>Kanyla introcan safety G14 4251717-01</t>
  </si>
  <si>
    <t>ZC020</t>
  </si>
  <si>
    <t>Film zubní AGFA 150 ks 582018</t>
  </si>
  <si>
    <t>ZC033</t>
  </si>
  <si>
    <t>Vývojka TABLE TOP G153 12 x 2.5L HT536</t>
  </si>
  <si>
    <t>ZC196</t>
  </si>
  <si>
    <t>Implantát D5.1 BIO/L10 2551:3</t>
  </si>
  <si>
    <t>ZC233</t>
  </si>
  <si>
    <t>Implantát D3.7 BIO/L14 0451:3</t>
  </si>
  <si>
    <t>ZC234</t>
  </si>
  <si>
    <t>Implantát D3.7 BIO/L12 0351:3</t>
  </si>
  <si>
    <t>ZC301</t>
  </si>
  <si>
    <t>Ypeen 800g dóza 100066</t>
  </si>
  <si>
    <t>ZD767</t>
  </si>
  <si>
    <t>Aquasil soft Putty01</t>
  </si>
  <si>
    <t>ZE730</t>
  </si>
  <si>
    <t>Implantát D4.4 BIO-ACCEL/L10 0221:3</t>
  </si>
  <si>
    <t>ZC232</t>
  </si>
  <si>
    <t>Implantát D3.7 BIO/L10 0251:3</t>
  </si>
  <si>
    <t>ZJ177</t>
  </si>
  <si>
    <t>Implantát D3.7 BIO/L8 0151:3</t>
  </si>
  <si>
    <t>ZL294</t>
  </si>
  <si>
    <t>Implantát D4.4 BIO-ACCEL/L8 0121:3</t>
  </si>
  <si>
    <t>ZA222</t>
  </si>
  <si>
    <t>Membrána bio-gide 30 x 40 mm DGD460308034</t>
  </si>
  <si>
    <t>ZG440</t>
  </si>
  <si>
    <t>Tokuso rebaze fast 0998930</t>
  </si>
  <si>
    <t>ZA934</t>
  </si>
  <si>
    <t>Granulát BOI-OSS 0,25-1 mm DGD460306107E</t>
  </si>
  <si>
    <t>ZC193</t>
  </si>
  <si>
    <t>Poresorb-TCP 1.0 g/1.2 ml 1,0-2,0 m 41:2</t>
  </si>
  <si>
    <t>ZL146</t>
  </si>
  <si>
    <t>Membrána bio-gide 25 x 25 mm DGD460308033E</t>
  </si>
  <si>
    <t>ZA834</t>
  </si>
  <si>
    <t>Jehla injekční 0,7 x   40 mm černá 4660021</t>
  </si>
  <si>
    <t>ZK098</t>
  </si>
  <si>
    <t>Rukavice latex s p. L kartón 2000 ks 8958867 - povoleno pouze pro ÚČOCH a KZL</t>
  </si>
  <si>
    <t>ZD517</t>
  </si>
  <si>
    <t>Rukavice latex pudrem XS bal. á 100 ks 01010 - povoleno pouze pro ÚČOCH a KZL</t>
  </si>
  <si>
    <t>ZA539</t>
  </si>
  <si>
    <t>Kompresa NT 10 x 10 cm nesterilní 06103</t>
  </si>
  <si>
    <t>ZA604</t>
  </si>
  <si>
    <t>Tyčinka vatová sterilní á 1000 ks 5100/SG/CS</t>
  </si>
  <si>
    <t>ZB404</t>
  </si>
  <si>
    <t>Náplast cosmos 8 cm x 1m 5403353</t>
  </si>
  <si>
    <t>ZA613</t>
  </si>
  <si>
    <t>Drenáž ústní sterilní 1 x 8 cm 0368</t>
  </si>
  <si>
    <t>ZA616</t>
  </si>
  <si>
    <t>Drenáž zubní sterilní 1 x 6 cm 0360</t>
  </si>
  <si>
    <t>ZL683</t>
  </si>
  <si>
    <t>Drenáž zubní sterilní s pevným okrajem 0358</t>
  </si>
  <si>
    <t>ZC456</t>
  </si>
  <si>
    <t>Savka UH 709, á 100 ks, 00709</t>
  </si>
  <si>
    <t>ZC928</t>
  </si>
  <si>
    <t>Protahováček Hedstrém 073 025 015</t>
  </si>
  <si>
    <t>ZD933</t>
  </si>
  <si>
    <t>Listerine 1,0 l 450669</t>
  </si>
  <si>
    <t>ZF508</t>
  </si>
  <si>
    <t>Cement výplňový provizorní 40 g 5304520</t>
  </si>
  <si>
    <t>ZB638</t>
  </si>
  <si>
    <t>Protahováček Hedstrém 073 025 010</t>
  </si>
  <si>
    <t>ZC408</t>
  </si>
  <si>
    <t>Protahováček Hedstrém 073 025 020</t>
  </si>
  <si>
    <t>ZF614</t>
  </si>
  <si>
    <t>Protahováček Hedstrém 073 025 008 B 1421709</t>
  </si>
  <si>
    <t>ZL696</t>
  </si>
  <si>
    <t>Brousek diamantový 848H018314CC</t>
  </si>
  <si>
    <t>ZC003</t>
  </si>
  <si>
    <t>Rozřezávač korunek a můstků  HM31C012314</t>
  </si>
  <si>
    <t>ZJ702</t>
  </si>
  <si>
    <t>Vrtáček diamantový 848G016314C</t>
  </si>
  <si>
    <t>ZL695</t>
  </si>
  <si>
    <t>Brousek diamantový 848H016314CC</t>
  </si>
  <si>
    <t>ZD736</t>
  </si>
  <si>
    <t>Šití silkam černý 4/0 bal. á 36 ks C0760293</t>
  </si>
  <si>
    <t>ZI634</t>
  </si>
  <si>
    <t>Šití chirlac braided violet 5/0 bal. á 24ks PG 0252</t>
  </si>
  <si>
    <t>ZB556</t>
  </si>
  <si>
    <t>Jehla injekční 1,2 x   40 mm růžová 4665120</t>
  </si>
  <si>
    <t>ZL949</t>
  </si>
  <si>
    <t>Rukavice nitril promedica bez p. L bílé 6N á 100 ks 9399W4</t>
  </si>
  <si>
    <t>ZA568</t>
  </si>
  <si>
    <t>Rukavice latex premium s pudrem XS bal. á 100 ks 1016863 - povoleno pouze pro ÚČOCH a KZL</t>
  </si>
  <si>
    <t>ZD652</t>
  </si>
  <si>
    <t>Rukavice latex bez p. S 9421605 - povoleno pouze pro ÚČOCH a KZL</t>
  </si>
  <si>
    <t>ZD802</t>
  </si>
  <si>
    <t>Tampon špičatý s vláknem 6 cm á 250 ks nesterilní 50170</t>
  </si>
  <si>
    <t>ZE074</t>
  </si>
  <si>
    <t>Tampon   9 x   9 cm / 5 ks sterilní stáčený 435</t>
  </si>
  <si>
    <t>ZA759</t>
  </si>
  <si>
    <t>Drén redon CH10 50 cm U2111000</t>
  </si>
  <si>
    <t>ZA788</t>
  </si>
  <si>
    <t>Stříkačka injekční 20 ml 4606205V</t>
  </si>
  <si>
    <t>ZB780</t>
  </si>
  <si>
    <t>Kontejner 120 ml sterilní 331690250350</t>
  </si>
  <si>
    <t>ZC059</t>
  </si>
  <si>
    <t>Láhev redon drenofast 400 ml-kompletní bal. á 40 ks 28 400</t>
  </si>
  <si>
    <t>ZG916</t>
  </si>
  <si>
    <t>Elektroda neutrální bipolární pro dospělé á 100 ks 2510</t>
  </si>
  <si>
    <t>ZA695</t>
  </si>
  <si>
    <t>Držák skalpelových čepelek 4 135 mm BB084R</t>
  </si>
  <si>
    <t>ZB631</t>
  </si>
  <si>
    <t>Fólie PDS Plates 30 x 40 x 0,25 mm, bal. á 3 ks, ZX3</t>
  </si>
  <si>
    <t>ZB747</t>
  </si>
  <si>
    <t>Souprava odsávací orthopedic 07.049.08.620</t>
  </si>
  <si>
    <t>ZD131</t>
  </si>
  <si>
    <t>Čepelka skalpelová 12 BB512</t>
  </si>
  <si>
    <t>ZM096</t>
  </si>
  <si>
    <t>Poduška adhezivní samolepící na čištění koncovek nástrojů bal. á 100 ks sterilní AL-40</t>
  </si>
  <si>
    <t>ZH760</t>
  </si>
  <si>
    <t>Popisovač chirurgický - na kůži + sterilní pravítko  RQ-01</t>
  </si>
  <si>
    <t>ZD715</t>
  </si>
  <si>
    <t>Šroub mini 2,0 x 6 mm 20-MN-006</t>
  </si>
  <si>
    <t>ZD776</t>
  </si>
  <si>
    <t>Dlaha mini přímá 18 otvorová 1,0 mm 20-ST-018R</t>
  </si>
  <si>
    <t>ZD777</t>
  </si>
  <si>
    <t>Šroub mini 2,0 x 8 mm 20-MN-008</t>
  </si>
  <si>
    <t>ZD845</t>
  </si>
  <si>
    <t>Dlaha mini přímá 4 otvorová 1,0 mm 20-ST-104-E</t>
  </si>
  <si>
    <t>ZD847</t>
  </si>
  <si>
    <t>Šroub mini 2,0 x 10 mm 20-MN-010</t>
  </si>
  <si>
    <t>ZG761</t>
  </si>
  <si>
    <t>Šroub mini 2,0 x 14 mm 20-MN-014</t>
  </si>
  <si>
    <t>ZE033</t>
  </si>
  <si>
    <t>Šroub mini 2,0 x 12 mm 20-MN-012</t>
  </si>
  <si>
    <t>ZI323</t>
  </si>
  <si>
    <t>Šroub maxi 2,4 x 8 mm 24-MX-008</t>
  </si>
  <si>
    <t>ZK420</t>
  </si>
  <si>
    <t>Šroub maxi 2,4 x 10 mm 24-MX-010</t>
  </si>
  <si>
    <t>ZL889</t>
  </si>
  <si>
    <t>Dlaha maxi rekonstrukční přímá 25 otv. 24-RS-025</t>
  </si>
  <si>
    <t>ZK327</t>
  </si>
  <si>
    <t>Šroub maxi 2,4 x 14 mm 24-MX-014</t>
  </si>
  <si>
    <t>ZK421</t>
  </si>
  <si>
    <t>Šroub maxi 2,4 x 12 mm 24-MX-012</t>
  </si>
  <si>
    <t>ZM117</t>
  </si>
  <si>
    <t>Střihač dlah Mini 111-021</t>
  </si>
  <si>
    <t>ZM116</t>
  </si>
  <si>
    <t>Tělo šroubováku 111-010</t>
  </si>
  <si>
    <t>ZF699</t>
  </si>
  <si>
    <t xml:space="preserve">Šití premicron 3/0, 2,5 m bal. á 12 ks G0120060 </t>
  </si>
  <si>
    <t>ZG849</t>
  </si>
  <si>
    <t>Šití premicron 2/0 2,5m bal. á 12ks G0120061</t>
  </si>
  <si>
    <t>ZK194</t>
  </si>
  <si>
    <t>Jehla redon mírně zahnutá CH 10 BN903R</t>
  </si>
  <si>
    <t>ZK473</t>
  </si>
  <si>
    <t>Rukavice operační latexové s pudrem ansell medigrip plus vel. 6,0 302922</t>
  </si>
  <si>
    <t>ZK474</t>
  </si>
  <si>
    <t>Rukavice operační latexové s pudrem ansell medigrip plus vel. 6,5 302923</t>
  </si>
  <si>
    <t>ZK476</t>
  </si>
  <si>
    <t>Rukavice operační latexové s pudrem ansell medigrip plus vel. 7,5 302925</t>
  </si>
  <si>
    <t>ZK477</t>
  </si>
  <si>
    <t>Rukavice operační latexové s pudrem ansell medigrip plus vel. 8,0 302926</t>
  </si>
  <si>
    <t>ZK478</t>
  </si>
  <si>
    <t>Rukavice operační latexové s pudrem ansell medigrip plus vel. 8,5 302927</t>
  </si>
  <si>
    <t>910093</t>
  </si>
  <si>
    <t>-CHLOROFORM P.A. UN 1888    1000 ML</t>
  </si>
  <si>
    <t>Spotřeba zdravotnického materiálu - orientační přehled</t>
  </si>
  <si>
    <t>ON Data</t>
  </si>
  <si>
    <t>003 - Pracoviště LSPP</t>
  </si>
  <si>
    <t>014 - Pracoviště praktického zubního lékaře</t>
  </si>
  <si>
    <t>019 - Pracoviště stomatologické LSPP</t>
  </si>
  <si>
    <t>605 - Pracoviště čelistní a obličejové chirurgie</t>
  </si>
  <si>
    <t xml:space="preserve"> </t>
  </si>
  <si>
    <t>Ambulantní péče znamená, že pacient v den poskytnutí zdravotní péče není hospitalizován ve FNOL</t>
  </si>
  <si>
    <t>Zdravotní výkony vykázané na pracovišti v rámci ambulantní péče *</t>
  </si>
  <si>
    <t>003</t>
  </si>
  <si>
    <t>V</t>
  </si>
  <si>
    <t>00908</t>
  </si>
  <si>
    <t>AKUTNÍ OŠETŘENÍ A VYŠETŘENÍ NEREGISTROVANÉHO POJIŠ</t>
  </si>
  <si>
    <t>014</t>
  </si>
  <si>
    <t>4</t>
  </si>
  <si>
    <t>0074021</t>
  </si>
  <si>
    <t>0081042</t>
  </si>
  <si>
    <t>0081052</t>
  </si>
  <si>
    <t>0081132</t>
  </si>
  <si>
    <t>0081231</t>
  </si>
  <si>
    <t>0081312</t>
  </si>
  <si>
    <t>0081601</t>
  </si>
  <si>
    <t>0081611</t>
  </si>
  <si>
    <t>0082002</t>
  </si>
  <si>
    <t>0082201</t>
  </si>
  <si>
    <t>0082211</t>
  </si>
  <si>
    <t>0082213</t>
  </si>
  <si>
    <t>0082311</t>
  </si>
  <si>
    <t>0082331</t>
  </si>
  <si>
    <t>0084021</t>
  </si>
  <si>
    <t>00910</t>
  </si>
  <si>
    <t>ZHOTOVENÍ INTRAORÁLNÍHO RENTGENOVÉHO SNÍMKU</t>
  </si>
  <si>
    <t>00911</t>
  </si>
  <si>
    <t>ZHOTOVENÍ EXTRAORÁLNÍHO RENTGENOVÉHO SNÍMKU</t>
  </si>
  <si>
    <t>00916</t>
  </si>
  <si>
    <t>ANESTEZIE NA FORAMEN MANDIBULAE A INFRAORBITALE</t>
  </si>
  <si>
    <t>00920</t>
  </si>
  <si>
    <t>OŠETŘENÍ ZUBNÍHO KAZU - STÁLÝ ZUB - FOTOKOMPOZITNÍ</t>
  </si>
  <si>
    <t>00921</t>
  </si>
  <si>
    <t>OŠETŘENÍ ZUBNÍHO KAZU - STÁLÝ ZUB</t>
  </si>
  <si>
    <t>00925</t>
  </si>
  <si>
    <t>KONZERVATIVNÍ LÉČBA KOMPLIKACÍ ZUBNÍHO KAZU II - S</t>
  </si>
  <si>
    <t>00950</t>
  </si>
  <si>
    <t>EXTRAKCE STÁLÉHO ZUBU</t>
  </si>
  <si>
    <t>00951</t>
  </si>
  <si>
    <t>CHIRURGIE TVRDÝCH TKÁNÍ DUTINY ÚSTNÍ MALÉHO ROZSAH</t>
  </si>
  <si>
    <t>00955</t>
  </si>
  <si>
    <t>CHIRURGIE MĚKKÝCH TKÁNÍ DUTINY ÚSTNÍ A JEJÍHO OKOL</t>
  </si>
  <si>
    <t>00956</t>
  </si>
  <si>
    <t>00960</t>
  </si>
  <si>
    <t>ZEVNÍ INCIZE</t>
  </si>
  <si>
    <t>00961</t>
  </si>
  <si>
    <t xml:space="preserve">OŠETŘENÍ KOMPLIKACÍ CHIRURGICKÝCH VÝKONŮ V DUTINĚ </t>
  </si>
  <si>
    <t>00966</t>
  </si>
  <si>
    <t>SIGNÁLNÍ KÓD - INFORMACE O VYDÁNÍ ROZHODNUTÍ  O DO</t>
  </si>
  <si>
    <t>00970</t>
  </si>
  <si>
    <t>SEJMUTÍ FIXNÍ NÁHRADY - ZA KAŽDOU PILÍŘOVOU KONSTR</t>
  </si>
  <si>
    <t>09547</t>
  </si>
  <si>
    <t>REGULAČNÍ POPLATEK -- POJIŠTĚNEC OD ÚHRADY POPLATK</t>
  </si>
  <si>
    <t>00974</t>
  </si>
  <si>
    <t>ODEVZDÁNÍ STOMATOLOGICKÉHO VÝROBKU</t>
  </si>
  <si>
    <t>00913</t>
  </si>
  <si>
    <t>ZHOTOVENÍ ORTOPANTOMOGRAMU</t>
  </si>
  <si>
    <t>09543</t>
  </si>
  <si>
    <t>REGULAČNÍ POPLATEK ZA NÁVŠTĚVU -- POPLATEK UHRAZEN</t>
  </si>
  <si>
    <t>00909</t>
  </si>
  <si>
    <t>KLINICKÉ STOMATOLOGICKÉ VYŠETŘENÍ</t>
  </si>
  <si>
    <t>09545</t>
  </si>
  <si>
    <t>REGULAČNÍ POPLATEK ZA POHOTOVOSTNÍ SLUŽBU -- POPLA</t>
  </si>
  <si>
    <t>00963</t>
  </si>
  <si>
    <t>INJEKCE I.M., I.V., I.D., S.C.</t>
  </si>
  <si>
    <t>00914</t>
  </si>
  <si>
    <t>VYHODNOCENÍ ORTOPANTOMOGRAMU</t>
  </si>
  <si>
    <t>00917</t>
  </si>
  <si>
    <t>ANESTEZIE INFILTRAČNÍ</t>
  </si>
  <si>
    <t>00973</t>
  </si>
  <si>
    <t>OPRAVA NEBO ÚPRAVA SNÍMATELNÉ NÁHRADY V ORDINACI</t>
  </si>
  <si>
    <t>00949</t>
  </si>
  <si>
    <t>EXTRAKCE DOČASNÉHO ZUBU</t>
  </si>
  <si>
    <t>00962</t>
  </si>
  <si>
    <t>KONZERVATIVNÍ LÉČBA TEMPOROMANDIBULÁRNÍCH PORUCH (</t>
  </si>
  <si>
    <t>00907</t>
  </si>
  <si>
    <t>STOMATOLOGICKÉ OŠETŘENÍ  POJIŠTĚNCE OD 6 DO 15 LET</t>
  </si>
  <si>
    <t>00952</t>
  </si>
  <si>
    <t>CHIRURGIE TVRDÝCH TKÁNÍ DUTINY ÚSTNÍ VELKÉHO ROZSA</t>
  </si>
  <si>
    <t>00957</t>
  </si>
  <si>
    <t>TRAUMATOLOGIE TVRDÝCH TKÁNÍ DUTINY ÚSTNÍ MALÉHO RO</t>
  </si>
  <si>
    <t>00959</t>
  </si>
  <si>
    <t>INTRAORÁLNÍ INCIZE</t>
  </si>
  <si>
    <t>00954</t>
  </si>
  <si>
    <t>KONZERVAČNĚ - CHIRURGICKÁ LÉČBA KOMPLIKACÍ ZUBNÍHO</t>
  </si>
  <si>
    <t>00958</t>
  </si>
  <si>
    <t>TRAUMATOLOGIE TVRDÝCH TKÁNÍ DUTINY ÚSTNÍ VELKÉHO R</t>
  </si>
  <si>
    <t>00947</t>
  </si>
  <si>
    <t>PÉČE O REGISTROVANÉHO POJIŠTĚNCE NAD 18 LET VĚKU I</t>
  </si>
  <si>
    <t>00967</t>
  </si>
  <si>
    <t>SIGNÁLNÍ KÓD - INFORMACE O VYDÁNÍ ROZHODNUTÍ  O UK</t>
  </si>
  <si>
    <t>00912</t>
  </si>
  <si>
    <t>NÁPLŇ SLINNÉ ŽLÁZY KONTRASTNÍ LÁTKOU</t>
  </si>
  <si>
    <t>019</t>
  </si>
  <si>
    <t>605</t>
  </si>
  <si>
    <t>1</t>
  </si>
  <si>
    <t>0002439</t>
  </si>
  <si>
    <t>MARCAINE 0,5%</t>
  </si>
  <si>
    <t>0090044</t>
  </si>
  <si>
    <t>0093109</t>
  </si>
  <si>
    <t>04860</t>
  </si>
  <si>
    <t>IMOBILIZACE ČELISTÍ</t>
  </si>
  <si>
    <t>04870</t>
  </si>
  <si>
    <t>MANUÁLNÍ REPOZICE LUXACE TMK</t>
  </si>
  <si>
    <t>09237</t>
  </si>
  <si>
    <t>OŠETŘENÍ A PŘEVAZ RÁNY VČETNĚ OŠETŘENÍ KOŽNÍCH A P</t>
  </si>
  <si>
    <t>09511</t>
  </si>
  <si>
    <t>MINIMÁLNÍ KONTAKT LÉKAŘE S PACIENTEM</t>
  </si>
  <si>
    <t>61147</t>
  </si>
  <si>
    <t>UZAVŘENÍ DEFEKTU KOŽNÍM LALOKEM MÍSTNÍM DO 10 CM^2</t>
  </si>
  <si>
    <t>65023</t>
  </si>
  <si>
    <t>KONTROLNÍ VYŠETŘENÍ MAXILOFACIÁLNÍM CHIRURGEM</t>
  </si>
  <si>
    <t>66949</t>
  </si>
  <si>
    <t>PUNKCE KLOUBNÍ S APLIKACÍ LÉČIVA</t>
  </si>
  <si>
    <t>71661</t>
  </si>
  <si>
    <t>VÝPLACH ČELISTNÍ DUTINY</t>
  </si>
  <si>
    <t>71781</t>
  </si>
  <si>
    <t>SONDÁŽ, DILATACE, VÝPLACH SLINNÉ ŽLÁZY</t>
  </si>
  <si>
    <t>09119</t>
  </si>
  <si>
    <t xml:space="preserve">ODBĚR KRVE ZE ŽÍLY U DOSPĚLÉHO NEBO DÍTĚTE NAD 10 </t>
  </si>
  <si>
    <t>09233</t>
  </si>
  <si>
    <t>INJEKČNÍ OKRSKOVÁ ANESTÉZIE</t>
  </si>
  <si>
    <t>09215</t>
  </si>
  <si>
    <t>INJEKCE I. M., S. C., I. D.</t>
  </si>
  <si>
    <t>09115</t>
  </si>
  <si>
    <t>ODBĚR BIOLOGICKÉHO MATERIÁLU JINÉHO NEŽ KREV NA KV</t>
  </si>
  <si>
    <t>09235</t>
  </si>
  <si>
    <t>ODSTRANĚNÍ MALÝCH LÉZÍ KŮŽE</t>
  </si>
  <si>
    <t>65216</t>
  </si>
  <si>
    <t>ODSTRANĚNÍ DENTÁLNÍ DRÁTĚNÉ DLAHY Z VOLNÉ RUKY - J</t>
  </si>
  <si>
    <t>65217</t>
  </si>
  <si>
    <t>PROVIZORNÍ OŠETŘENÍ ZLOMENINY ČELISTI DRÁTĚNÝMI VA</t>
  </si>
  <si>
    <t>Zdravotní výkony + ZUM + ZULP vykázané na pracovišti v rámci ambulantní péče - orientační přehled</t>
  </si>
  <si>
    <t>25 - KLINIKA ÚSTNÍ, ČELISTNÍ A OBLIČEJOVÉ CHIRURGIE</t>
  </si>
  <si>
    <t>04130</t>
  </si>
  <si>
    <t>04131</t>
  </si>
  <si>
    <t>6F1</t>
  </si>
  <si>
    <t>56419</t>
  </si>
  <si>
    <t>POUŽITÍ OPERAČNÍHO MIKROSKOPU Á 15 MINUT</t>
  </si>
  <si>
    <t>61175</t>
  </si>
  <si>
    <t>VOLNÝ PŘENOS VASKULARIZOVANÉ KOSTI, PŘENOS PRSTU Z</t>
  </si>
  <si>
    <t>62710</t>
  </si>
  <si>
    <t>SÍŤOVÁNÍ (MESHOVÁNÍ) ŠTĚPU DO ROZSAHU 5 % Z POVRCH</t>
  </si>
  <si>
    <t>61165</t>
  </si>
  <si>
    <t>ROZPROSTŘENÍ NEBO MODELACE LALOKU</t>
  </si>
  <si>
    <t>61121</t>
  </si>
  <si>
    <t>CÉVNÍ ANASTOMOSA MIKROCHIRURGICKOU TECHNIKOU</t>
  </si>
  <si>
    <t>62510</t>
  </si>
  <si>
    <t>XENOTRANSPLANTACE DO 1% POVRCHU TĚLA</t>
  </si>
  <si>
    <t>6F5</t>
  </si>
  <si>
    <t>0008807</t>
  </si>
  <si>
    <t>0008808</t>
  </si>
  <si>
    <t>0016600</t>
  </si>
  <si>
    <t>UNASYN</t>
  </si>
  <si>
    <t>0053922</t>
  </si>
  <si>
    <t>CIPHIN PRO INFUSIONE 200 MG/100 ML</t>
  </si>
  <si>
    <t>0072972</t>
  </si>
  <si>
    <t>0076204</t>
  </si>
  <si>
    <t>TAXOL PRO INJ.</t>
  </si>
  <si>
    <t>0076360</t>
  </si>
  <si>
    <t>ZINACEF 1,5 G</t>
  </si>
  <si>
    <t>0087239</t>
  </si>
  <si>
    <t>FANHDI 50 I.U./ML</t>
  </si>
  <si>
    <t>2</t>
  </si>
  <si>
    <t>0007917</t>
  </si>
  <si>
    <t>Erytrocyty bez buffy coatu</t>
  </si>
  <si>
    <t>0107959</t>
  </si>
  <si>
    <t>Trombocyty z aferézy deleukotizované</t>
  </si>
  <si>
    <t>0207921</t>
  </si>
  <si>
    <t>Plazma čerstvá zmrazená</t>
  </si>
  <si>
    <t>3</t>
  </si>
  <si>
    <t>0012726</t>
  </si>
  <si>
    <t>IMPLANTÁT MAXILLOFACIÁLNÍ</t>
  </si>
  <si>
    <t>0012727</t>
  </si>
  <si>
    <t>0059979</t>
  </si>
  <si>
    <t>KLIPY EXTRA TITAN LT300,LT400</t>
  </si>
  <si>
    <t>0067160</t>
  </si>
  <si>
    <t>IMPLANTÁT ORBITÁLNÍ PDS ZX3,ZX4,ZX7 VSTŘEBATELNÝ</t>
  </si>
  <si>
    <t>0081946</t>
  </si>
  <si>
    <t>PROSTŘEDEK HEMOSTATICKÝ - TRAUMACEL TAF LIGHT</t>
  </si>
  <si>
    <t>0081947</t>
  </si>
  <si>
    <t>0082077</t>
  </si>
  <si>
    <t>KRYTÍ COM 30 OBVAZOVÁ TEXTÍLIE KOMBINOVANÁ</t>
  </si>
  <si>
    <t>0163200</t>
  </si>
  <si>
    <t>IMPLANTÁT KRANIOFACIÁLNÍ LA FÓRTE SYSTÉM</t>
  </si>
  <si>
    <t>0163219</t>
  </si>
  <si>
    <t>0163241</t>
  </si>
  <si>
    <t xml:space="preserve">IMPLANTÁT MAXILLOFACIÁLNÍ STŘEDNÍ OBLIČEJOVÁ ETÁŽ </t>
  </si>
  <si>
    <t>0163243</t>
  </si>
  <si>
    <t>0163244</t>
  </si>
  <si>
    <t>0163248</t>
  </si>
  <si>
    <t>0163249</t>
  </si>
  <si>
    <t>0163251</t>
  </si>
  <si>
    <t>0163258</t>
  </si>
  <si>
    <t>0163261</t>
  </si>
  <si>
    <t>0163266</t>
  </si>
  <si>
    <t>0163276</t>
  </si>
  <si>
    <t>IMPLANTÁT MANDIBULÁRNÍ LA FÓRTE SYSTÉM</t>
  </si>
  <si>
    <t>0163278</t>
  </si>
  <si>
    <t>0163289</t>
  </si>
  <si>
    <t>0163292</t>
  </si>
  <si>
    <t>0163201</t>
  </si>
  <si>
    <t>0163210</t>
  </si>
  <si>
    <t>0163521</t>
  </si>
  <si>
    <t>IMPLANTÁT KRANIOFACIÁLNÍ VSTŘEBATELNÝ RESORB-X</t>
  </si>
  <si>
    <t>0084031</t>
  </si>
  <si>
    <t>04110</t>
  </si>
  <si>
    <t>INTRAORÁLNÍ RTG</t>
  </si>
  <si>
    <t>04120</t>
  </si>
  <si>
    <t>EXTRAORÁLNÍ RTG SNÍMEK ČELISTI</t>
  </si>
  <si>
    <t>04400</t>
  </si>
  <si>
    <t>SVODNÁ ANESTEZIE</t>
  </si>
  <si>
    <t>04410</t>
  </si>
  <si>
    <t>INJEKČNÍ  ANESTESIE</t>
  </si>
  <si>
    <t>04610</t>
  </si>
  <si>
    <t>EXTRAKCE PROSTÁ NERESORBOVANÉHO ZUBU</t>
  </si>
  <si>
    <t>04630</t>
  </si>
  <si>
    <t>EXTRAKCE ZUBU KOMPLIKOVANÁ</t>
  </si>
  <si>
    <t>04640</t>
  </si>
  <si>
    <t>CHIRURGICKÉ VYBAVENÍ ZUBU NEKOMPLIKOVANÉ</t>
  </si>
  <si>
    <t>04650</t>
  </si>
  <si>
    <t>CHIRURGICKÉ VYBAVENÍ ZUBU KOMPLIKOVANÉ</t>
  </si>
  <si>
    <t>04700</t>
  </si>
  <si>
    <t>KONZERVATIVNÍ OŠETŘENÍ V DENTOALVEOLÁRNÍ CHIRURGII</t>
  </si>
  <si>
    <t>04710</t>
  </si>
  <si>
    <t>SUTURA EXTRAKČNÍ RÁNY - NA ZUB</t>
  </si>
  <si>
    <t>04720</t>
  </si>
  <si>
    <t>STAVENÍ POZDNÍHO POSTEXTRAKČNÍHO KRVÁCENÍ</t>
  </si>
  <si>
    <t>04740</t>
  </si>
  <si>
    <t>ODSTRANĚNÍ SEKVESTRU</t>
  </si>
  <si>
    <t>04750</t>
  </si>
  <si>
    <t>PRIMÁRNÍ UZÁVĚR OROANTRÁLNÍ KOMUNIKACE</t>
  </si>
  <si>
    <t>04800</t>
  </si>
  <si>
    <t>04801</t>
  </si>
  <si>
    <t>ZEVNÍ INCISE</t>
  </si>
  <si>
    <t>04810</t>
  </si>
  <si>
    <t>AMPUTACE KOŘENOVÉHO HROTU - FRONTÁLNÍ ZUB</t>
  </si>
  <si>
    <t>04811</t>
  </si>
  <si>
    <t>AMPUTACE KOŘENOVÉHO HROTU - PREMOLÁR, MOLÁR</t>
  </si>
  <si>
    <t>04816</t>
  </si>
  <si>
    <t>EXSTIRPACE  ODONTOGENNÍ CYSTY DO 1 CM</t>
  </si>
  <si>
    <t>04817</t>
  </si>
  <si>
    <t>EXSTIRPACE  ODONTOGENNÍ CYSTY VĚTŠÍ NEŽ 1 CM</t>
  </si>
  <si>
    <t>04825</t>
  </si>
  <si>
    <t>REPOZICE SUBLUX. ZUBU ČI FRAKTURY ALVEOLU, SEXT.</t>
  </si>
  <si>
    <t>04831</t>
  </si>
  <si>
    <t>SUTURA RÁNY SLIZNICE NAD 5 CM NEBO VÍCE VRSTEV</t>
  </si>
  <si>
    <t>04841</t>
  </si>
  <si>
    <t>PRAEPROTETICKÁ ÚPRAVA ALVEOLU VĚTŠÍHO ROZSAHU</t>
  </si>
  <si>
    <t>04845</t>
  </si>
  <si>
    <t>NEOFORMACE ÚSTNÍ PŘEDSÍNĚ BEZ POUŽITÍ AUTOTRANSPLA</t>
  </si>
  <si>
    <t>04846</t>
  </si>
  <si>
    <t>CHIRURGICKÁ ÚPRAVA PROTÉZNÍHO LOŽE</t>
  </si>
  <si>
    <t>04880</t>
  </si>
  <si>
    <t>SVALOVÉ CVIČENÍ S PŘEDEHŘÁTÍM VE STOMATOLOGII</t>
  </si>
  <si>
    <t>09227</t>
  </si>
  <si>
    <t>I. V. APLIKACE KRVE NEBO KREVNÍCH DERIVÁTŮ</t>
  </si>
  <si>
    <t>61123</t>
  </si>
  <si>
    <t>EXCIZE KOŽNÍ LÉZE OD 2 DO 10 CM^2, BEZ UZAVŘENÍ VZ</t>
  </si>
  <si>
    <t>61129</t>
  </si>
  <si>
    <t>EXCIZE KOŽNÍ LÉZE, SUTURA OD 2 DO 10 CM</t>
  </si>
  <si>
    <t>61149</t>
  </si>
  <si>
    <t xml:space="preserve">UZAVŘENÍ DEFEKTU  KOŽNÍM LALOKEM MÍSTNÍM OD 10 DO </t>
  </si>
  <si>
    <t>61423</t>
  </si>
  <si>
    <t>RINOPLASTIKA - SEDLOVITÝ NOS (L-ŠTĚP, VČETNĚ ODBĚR</t>
  </si>
  <si>
    <t>65022</t>
  </si>
  <si>
    <t>CÍLENÉ VYŠETŘENÍ MAXILOFACIÁLNÍM CHIRURGEM</t>
  </si>
  <si>
    <t>65213</t>
  </si>
  <si>
    <t>OŠETŘENÍ ZLOMENIN ČELISTI KOSTNÍM STEHEM</t>
  </si>
  <si>
    <t>65219</t>
  </si>
  <si>
    <t>KOMPLEXNÍ OŠETŘENÍ VĚTŠÍCH OBLIČEJOVÝCH DEFEKTŮ</t>
  </si>
  <si>
    <t>65319</t>
  </si>
  <si>
    <t>ZADNÍ DENTOALVEOLÁRNÍ OSTEOTOMIE MAXILLA - OBĚ STR</t>
  </si>
  <si>
    <t>65323</t>
  </si>
  <si>
    <t>OSTEKTOMIE TĚLA MANDIBULY PROSTÁ - JEDNA STRANA</t>
  </si>
  <si>
    <t>65519</t>
  </si>
  <si>
    <t>REKONSTRUKCE DEFEKTU MANDIBULY S PŘERUŠENÍM KONTIN</t>
  </si>
  <si>
    <t>65613</t>
  </si>
  <si>
    <t>EXCIZE LÉZE V ÚSTNÍ DUTINĚ - OD 2 CM DO 4 CM</t>
  </si>
  <si>
    <t>65619</t>
  </si>
  <si>
    <t>EXCIZE HYPERPLASTICKÉ SLIZNICE ALVEONÁRNÍHO VÝBĚŽK</t>
  </si>
  <si>
    <t>65923</t>
  </si>
  <si>
    <t>EGALIZACE ALVEOLÁRNÍHO VÝBĚŽKU ČELISTI NAD JEDEN S</t>
  </si>
  <si>
    <t>65949</t>
  </si>
  <si>
    <t>OŠETŘENÍ KOLEMČELISTNÍHO ZÁNĚTU A DRENÁŽ</t>
  </si>
  <si>
    <t>65959</t>
  </si>
  <si>
    <t>AUTOGENNÍ IMPLANTACE</t>
  </si>
  <si>
    <t>65993</t>
  </si>
  <si>
    <t>EXSTIRPACE KOSTNÍHO TUMORU</t>
  </si>
  <si>
    <t>66813</t>
  </si>
  <si>
    <t>ODSTRANĚNÍ OSTEOSYNTETICKÉHO MATERIÁLU</t>
  </si>
  <si>
    <t>66839</t>
  </si>
  <si>
    <t>EXSTIRPACE NÁDORU MĚKKÝCH TKÁNÍ - POVRCHOVĚ ULOŽEN</t>
  </si>
  <si>
    <t>71213</t>
  </si>
  <si>
    <t>ENDOSKOPIE PARANASÁLNÍ DUTINY</t>
  </si>
  <si>
    <t>71653</t>
  </si>
  <si>
    <t>ZAVŘENÁ REPOZICE FRAKTURY KŮSTEK NOSNÍCH</t>
  </si>
  <si>
    <t>71673</t>
  </si>
  <si>
    <t>CALDWELL-LUCOVA OPERACE</t>
  </si>
  <si>
    <t>71747</t>
  </si>
  <si>
    <t>ČÁSTEČNÁ EXSTIRPACE KRČNÍCH UZLIN</t>
  </si>
  <si>
    <t>71753</t>
  </si>
  <si>
    <t>UZÁVĚR OROANTRÁLNÍ KOMUNIKACE</t>
  </si>
  <si>
    <t>00880</t>
  </si>
  <si>
    <t>ROZLIŠENÍ VYKÁZANÉ HOSPITALIZACE JAKO: = NOVÁ HOSP</t>
  </si>
  <si>
    <t>00881</t>
  </si>
  <si>
    <t>ROZLIŠENÍ VYKÁZANÉ HOSPITALIZACE JAKO: = POKRAČOVÁ</t>
  </si>
  <si>
    <t>99981</t>
  </si>
  <si>
    <t xml:space="preserve">(VZP) PACIENT HOSPITALIZOVANÝ V LŮŽKOVÉM ZAŘÍZENÍ </t>
  </si>
  <si>
    <t>42520</t>
  </si>
  <si>
    <t>APLIKACE PROTINÁDOROVÉ CHEMOTERAPIE</t>
  </si>
  <si>
    <t>09544</t>
  </si>
  <si>
    <t>REGULAČNÍ POPLATEK ZA KAŽDÝ DEN LŮŽKOVÉ PÉČE -- PO</t>
  </si>
  <si>
    <t>00602</t>
  </si>
  <si>
    <t>OD TYPU 02 - PRO NEMOCNICE TYPU 3, (KATEGORIE 6)</t>
  </si>
  <si>
    <t>66841</t>
  </si>
  <si>
    <t>EXSTIRPACE NÁDORU MĚKKÝCH TKÁNÍ - HLUBOKO ULOŽENÝC</t>
  </si>
  <si>
    <t>65920</t>
  </si>
  <si>
    <t>ODBĚR KOSTNÍHO ŠTĚPU Z PÁNVE</t>
  </si>
  <si>
    <t>71749</t>
  </si>
  <si>
    <t>BLOKOVÁ DISEKCE KRČNÍCH UZLIN</t>
  </si>
  <si>
    <t>61125</t>
  </si>
  <si>
    <t>EXCIZE KOŽNÍ LÉZE NAD 10 CM^2, BEZ UZAVŘENÍ VZNIKL</t>
  </si>
  <si>
    <t>71815</t>
  </si>
  <si>
    <t>EXSTIRPACE LYMFANGIOMU, HEMANGIOMU HLAVY A KRKU DO</t>
  </si>
  <si>
    <t>61151</t>
  </si>
  <si>
    <t>UZAVŘENÍ DEFEKTU KOŽNÍM LALOKEM MÍSTNÍM NAD 20 CM^</t>
  </si>
  <si>
    <t>65417</t>
  </si>
  <si>
    <t>RESEKCE DOLNÍ ČELISTI S PŘERUŠENÍM KONTINUITY - JE</t>
  </si>
  <si>
    <t>71775</t>
  </si>
  <si>
    <t>PAROTIDEKTOMIE LATERÁLNÍ KONZERVATIVNÍ</t>
  </si>
  <si>
    <t>65951</t>
  </si>
  <si>
    <t>GLOSEKTOMIE PARCIÁLNÍ</t>
  </si>
  <si>
    <t>42510</t>
  </si>
  <si>
    <t xml:space="preserve">NÁROČNÁ APLIKACE REŽIMŮ LÉČBY CYTOSTATIKY (1 DEN, </t>
  </si>
  <si>
    <t>65021</t>
  </si>
  <si>
    <t>KOMPLEXNÍ VYŠETŘENÍ MAXILOFACIÁLNÍM CHIRURGEM</t>
  </si>
  <si>
    <t>65617</t>
  </si>
  <si>
    <t>KLÍNOVITÁ NEBO KVADRATICKÁ EXCIZE DOLNÍHO NEBO HOR</t>
  </si>
  <si>
    <t>65211</t>
  </si>
  <si>
    <t>OŠETŘENÍ ZLOMENINY ČELISTI DESTIČKOVOU ŠROUBOVANOU</t>
  </si>
  <si>
    <t>65415</t>
  </si>
  <si>
    <t>RESEKCE HORNÍ ČELISTI TOTÁLNÍ (JEDNOSTRANNÁ)</t>
  </si>
  <si>
    <t>65311</t>
  </si>
  <si>
    <t>MANDIB. NEBO MAXIL. ŠTÍTKOVÁ OSTEOTOMIE PŘI HYPOPL</t>
  </si>
  <si>
    <t>65935</t>
  </si>
  <si>
    <t xml:space="preserve">REPOZICE A FIXACE ZLOMENINY ZYGOMATIKOMAXILÁRNÍHO </t>
  </si>
  <si>
    <t>65421</t>
  </si>
  <si>
    <t xml:space="preserve">HORIZONTÁLNÍ RESEKCE ČERVENĚ DOLNÍHO NEBO HORNÍHO </t>
  </si>
  <si>
    <t>65425</t>
  </si>
  <si>
    <t>RESEKCE HORNÍ ČELISTI PALATOALVEOLÁRNÍ (JEDNOSTRAN</t>
  </si>
  <si>
    <t>65215</t>
  </si>
  <si>
    <t>DENTÁLNÍ DRÁTĚNÁ DLAHA Z VOLNÉ RUKY - JEDNA ČELIST</t>
  </si>
  <si>
    <t>71779</t>
  </si>
  <si>
    <t>REKONSTRUKCE DUCTUS STENONI</t>
  </si>
  <si>
    <t>65936</t>
  </si>
  <si>
    <t xml:space="preserve">REPOZICE ZLOMENINY ZYGOMATIKOMAXILÁRNÍHO KOMPLEXU </t>
  </si>
  <si>
    <t>65511</t>
  </si>
  <si>
    <t>REKONSTRUKČNÍ OPERACE JAZYKA</t>
  </si>
  <si>
    <t>75381</t>
  </si>
  <si>
    <t>REKOSTRUKCE SPODINY OČNICE</t>
  </si>
  <si>
    <t>71769</t>
  </si>
  <si>
    <t>EXSTIRPACE SUBMANDIBULÁRNÍ NEBO SUBLINGUÁLNÍ ŽLÁZY</t>
  </si>
  <si>
    <t>65327</t>
  </si>
  <si>
    <t>SAGITÁLNÍ OSTEOTOMIE VĚTVE MANDIBULY - JEDNA STRAN</t>
  </si>
  <si>
    <t>65611</t>
  </si>
  <si>
    <t>EXCIZE LÉZE V DUTINĚ ÚSTNÍ NAD 4 CM</t>
  </si>
  <si>
    <t>65917</t>
  </si>
  <si>
    <t>ARTROSKOPIE TEMPOROMANDIBULÁRNIHO KLOUBU</t>
  </si>
  <si>
    <t>65515</t>
  </si>
  <si>
    <t>REKONSTRUKCE MANDIBULY SE ŠTĚPEM A EVENT. IMPLANTÁ</t>
  </si>
  <si>
    <t>04842</t>
  </si>
  <si>
    <t>EXCISE VLAJÍCÍHO HŘEBENE - SEXTANT</t>
  </si>
  <si>
    <t>65937</t>
  </si>
  <si>
    <t xml:space="preserve">KATETRIZACE A. CAROTIS EXTERNA PRO PROTINÁDOROVOU </t>
  </si>
  <si>
    <t>04844</t>
  </si>
  <si>
    <t>ODSTRANĚNÍ RUŠIVÝCH VLIVŮ VAZIVOVÝCH PRUHŮ</t>
  </si>
  <si>
    <t>65221</t>
  </si>
  <si>
    <t>ZÁVĚSY STŘEDNÍ OBLIČEJOVÉ ETÁŽE DRÁTĚNÉ PŘI ZLOMEN</t>
  </si>
  <si>
    <t>7F1</t>
  </si>
  <si>
    <t>Zdravotní výkony vykázané na pracovišti pro pacienty hospitalizované ve FNOL - orientační přehled</t>
  </si>
  <si>
    <t>00133</t>
  </si>
  <si>
    <t>A</t>
  </si>
  <si>
    <t xml:space="preserve">DLOUHODOBÁ MECHANICKÁ VENTILACE &gt; 96 HODIN (5-10 DNÍ) S EKONOMICKY NÁROČNÝM VÝKONEM S MCC           </t>
  </si>
  <si>
    <t>01371</t>
  </si>
  <si>
    <t xml:space="preserve">PORUCHY KRANIÁLNÍCH A PERIFERNÍCH NERVŮ BEZ CC                                                      </t>
  </si>
  <si>
    <t>01461</t>
  </si>
  <si>
    <t xml:space="preserve">JINÉ PORUCHY NERVOVÉHO SYSTÉMU BEZ CC                                                               </t>
  </si>
  <si>
    <t>02011</t>
  </si>
  <si>
    <t xml:space="preserve">ENUKLEACE A VÝKONY NA OČNICI BEZ CC                                                                 </t>
  </si>
  <si>
    <t>02012</t>
  </si>
  <si>
    <t xml:space="preserve">ENUKLEACE A VÝKONY NA OČNICI S CC                                                                   </t>
  </si>
  <si>
    <t>02321</t>
  </si>
  <si>
    <t xml:space="preserve">JINÉ PORUCHY OKA BEZ CC                                                                             </t>
  </si>
  <si>
    <t>02322</t>
  </si>
  <si>
    <t xml:space="preserve">JINÉ PORUCHY OKA S CC                                                                               </t>
  </si>
  <si>
    <t>03021</t>
  </si>
  <si>
    <t xml:space="preserve">JINÉ VELKÉ VÝKONY NA HLAVĚ A KRKU BEZ CC                                                            </t>
  </si>
  <si>
    <t>03022</t>
  </si>
  <si>
    <t xml:space="preserve">JINÉ VELKÉ VÝKONY NA HLAVĚ A KRKU S CC                                                              </t>
  </si>
  <si>
    <t>03023</t>
  </si>
  <si>
    <t xml:space="preserve">JINÉ VELKÉ VÝKONY NA HLAVĚ A KRKU S MCC                                                             </t>
  </si>
  <si>
    <t>03031</t>
  </si>
  <si>
    <t xml:space="preserve">VÝKONY NA OBLIČEJOVÝCH KOSTECH. KROMĚ VELKÝCH VÝKONŮ NA HLAVĚ A KRKU BEZ CC                         </t>
  </si>
  <si>
    <t>03032</t>
  </si>
  <si>
    <t xml:space="preserve">VÝKONY NA OBLIČEJOVÝCH KOSTECH. KROMĚ VELKÝCH VÝKONŮ NA HLAVĚ A KRKU S CC                           </t>
  </si>
  <si>
    <t>03033</t>
  </si>
  <si>
    <t xml:space="preserve">VÝKONY NA OBLIČEJOVÝCH KOSTECH. KROMĚ VELKÝCH VÝKONŮ NA HLAVĚ A KRKU S MCC                          </t>
  </si>
  <si>
    <t>03041</t>
  </si>
  <si>
    <t xml:space="preserve">VÝKONY NA ÚSTECH BEZ CC                                                                             </t>
  </si>
  <si>
    <t>03042</t>
  </si>
  <si>
    <t xml:space="preserve">VÝKONY NA ÚSTECH S CC                                                                               </t>
  </si>
  <si>
    <t>03043</t>
  </si>
  <si>
    <t xml:space="preserve">VÝKONY NA ÚSTECH S MCC                                                                              </t>
  </si>
  <si>
    <t>03051</t>
  </si>
  <si>
    <t xml:space="preserve">VÝKONY NA DUTINÁCH A MASTOIDU BEZ CC                                                                </t>
  </si>
  <si>
    <t>03061</t>
  </si>
  <si>
    <t xml:space="preserve">VÝKONY NA SLINNÉ ŽLÁZE BEZ CC                                                                       </t>
  </si>
  <si>
    <t>03091</t>
  </si>
  <si>
    <t xml:space="preserve">JINÉ VÝKONY PŘI PORUCHÁCH A ONEMOCNĚNÍCH UŠÍ. NOSU. ÚST A HRDLA BEZ CC                              </t>
  </si>
  <si>
    <t>03092</t>
  </si>
  <si>
    <t xml:space="preserve">JINÉ VÝKONY PŘI PORUCHÁCH A ONEMOCNĚNÍCH UŠÍ. NOSU. ÚST A HRDLA S CC                                </t>
  </si>
  <si>
    <t>03301</t>
  </si>
  <si>
    <t xml:space="preserve">MALIGNÍ ONEMOCNĚNÍ UCHA. NOSU. ÚST A HRDLA BEZ CC                                                   </t>
  </si>
  <si>
    <t>03302</t>
  </si>
  <si>
    <t xml:space="preserve">MALIGNÍ ONEMOCNĚNÍ UCHA. NOSU. ÚST A HRDLA S CC                                                     </t>
  </si>
  <si>
    <t>03341</t>
  </si>
  <si>
    <t xml:space="preserve">NEMOCI ZUBŮ A ÚST BEZ CC                                                                            </t>
  </si>
  <si>
    <t>03342</t>
  </si>
  <si>
    <t xml:space="preserve">NEMOCI ZUBŮ A ÚST S CC                                                                              </t>
  </si>
  <si>
    <t>03343</t>
  </si>
  <si>
    <t xml:space="preserve">NEMOCI ZUBŮ A ÚST S MCC                                                                             </t>
  </si>
  <si>
    <t>03351</t>
  </si>
  <si>
    <t xml:space="preserve">JINÉ PORUCHY UŠÍ. NOSU. ÚST A HRDLA BEZ CC                                                          </t>
  </si>
  <si>
    <t>03352</t>
  </si>
  <si>
    <t xml:space="preserve">JINÉ PORUCHY UŠÍ. NOSU. ÚST A HRDLA S CC                                                            </t>
  </si>
  <si>
    <t>05141</t>
  </si>
  <si>
    <t xml:space="preserve">JINÉ VASKULÁRNÍ VÝKONY BEZ CC                                                                       </t>
  </si>
  <si>
    <t>05143</t>
  </si>
  <si>
    <t xml:space="preserve">JINÉ VASKULÁRNÍ VÝKONY S MCC                                                                        </t>
  </si>
  <si>
    <t>05472</t>
  </si>
  <si>
    <t xml:space="preserve">JINÉ PORUCHY OBĚHOVÉHO SYSTÉMU S CC                                                                 </t>
  </si>
  <si>
    <t>08131</t>
  </si>
  <si>
    <t xml:space="preserve">MÍSTNÍ RESEKCE NA MUSKULOSKELETÁLNÍM SYSTÉMU BEZ CC                                                 </t>
  </si>
  <si>
    <t>08171</t>
  </si>
  <si>
    <t xml:space="preserve">JINÉ VÝKONY PŘI PORUCHÁCH A ONEMOCNĚNÍCH MUSKULOSKELETÁLNÍHO SYSTÉMU A POJIVOVÉ TKÁNĚ BEZ CC        </t>
  </si>
  <si>
    <t>08401</t>
  </si>
  <si>
    <t xml:space="preserve">MUSKULOSKELETÁLNÍ PŘÍZNAKY. SYMPTOMY. VÝRONY A MÉNĚ VÝZNAMNÉ ZÁNĚTLIVÉ CHOROBY BEZ CC               </t>
  </si>
  <si>
    <t>09011</t>
  </si>
  <si>
    <t xml:space="preserve">KOŽNÍ ŠTĚP A/NEBO DEBRIDEMENT BEZ CC                                                                </t>
  </si>
  <si>
    <t>09031</t>
  </si>
  <si>
    <t xml:space="preserve">JINÉ VÝKONY PŘI PORUCHÁCH A ONEMOCNĚNÍCH KŮŽE. PODKOŽNÍ TKÁNĚ A PRSU BEZ CC                         </t>
  </si>
  <si>
    <t>09032</t>
  </si>
  <si>
    <t xml:space="preserve">JINÉ VÝKONY PŘI PORUCHÁCH A ONEMOCNĚNÍCH KŮŽE. PODKOŽNÍ TKÁNĚ A PRSU S CC                           </t>
  </si>
  <si>
    <t>09331</t>
  </si>
  <si>
    <t xml:space="preserve">PORANĚNÍ KŮŽE. PODKOŽNÍ TKÁNĚ A PRSU BEZ CC                                                         </t>
  </si>
  <si>
    <t>09341</t>
  </si>
  <si>
    <t xml:space="preserve">JINÉ PORUCHY KŮŽE A PRSU BEZ CC                                                                     </t>
  </si>
  <si>
    <t>17041</t>
  </si>
  <si>
    <t xml:space="preserve">MYELOPROLIFERATIVNÍ PORUCHY A ŠPATNĚ DIFERENCOVANÉ NÁDORY S JINÝM VÝKONEM BEZ CC                    </t>
  </si>
  <si>
    <t>17341</t>
  </si>
  <si>
    <t xml:space="preserve">JINÉ MYELOPROLIFERATIVNÍ PORUCHY A DIAGNÓZA NEDIFERENCOVANÝCH NÁDORŮ BEZ CC                         </t>
  </si>
  <si>
    <t>21331</t>
  </si>
  <si>
    <t xml:space="preserve">KOMPLIKACE PŘI LÉČENÍ BEZ CC                                                                        </t>
  </si>
  <si>
    <t>21332</t>
  </si>
  <si>
    <t xml:space="preserve">KOMPLIKACE PŘI LÉČENÍ S CC                                                                          </t>
  </si>
  <si>
    <t>25022</t>
  </si>
  <si>
    <t xml:space="preserve">JINÉ VÝKONY PŘI MNOHOČETNÉM ZÁVAŽNÉM TRAUMATU S CC                                                  </t>
  </si>
  <si>
    <t>88871</t>
  </si>
  <si>
    <t xml:space="preserve">ROZSÁHLÉ VÝKONY. KTERÉ SE NETÝKAJÍ HLAVNÍ DIAGNÓZY BEZ CC                                           </t>
  </si>
  <si>
    <t>88891</t>
  </si>
  <si>
    <t xml:space="preserve">VÝKONY OMEZENÉHO ROZSAHU. KTERÉ SE NETÝKAJÍ HLAVNÍ DIAGNÓZY BEZ CC                                  </t>
  </si>
  <si>
    <t>88892</t>
  </si>
  <si>
    <t xml:space="preserve">VÝKONY OMEZENÉHO ROZSAHU. KTERÉ SE NETÝKAJÍ HLAVNÍ DIAGNÓZY S CC                                    </t>
  </si>
  <si>
    <t>88893</t>
  </si>
  <si>
    <t xml:space="preserve">VÝKONY OMEZENÉHO ROZSAHU. KTERÉ SE NETÝKAJÍ HLAVNÍ DIAGNÓZY S MCC                                   </t>
  </si>
  <si>
    <t>Porovnání jednotlivých IR DRG skupin</t>
  </si>
  <si>
    <t>32 - HEMATO-ONKOLOGICKÁ KLINIKA</t>
  </si>
  <si>
    <t>33 - ODDĚLENÍ KLINICKÉ BIOCHEMIE</t>
  </si>
  <si>
    <t>34 - KLINIKA RADIOLOGICKÁ</t>
  </si>
  <si>
    <t>35 - TRANSFÚZNÍ ODDĚLENÍ</t>
  </si>
  <si>
    <t>37 - ÚSTAV PATOLOGIE</t>
  </si>
  <si>
    <t>40 - ÚSTAV MIKROBIOLOGIE</t>
  </si>
  <si>
    <t>32</t>
  </si>
  <si>
    <t>818</t>
  </si>
  <si>
    <t>96157</t>
  </si>
  <si>
    <t>STANOVENÍ HEPARINOVÝCH JEDNOTEK ANTI XA</t>
  </si>
  <si>
    <t>96167</t>
  </si>
  <si>
    <t>KREVNÍ OBRAZ S PĚTI POPULAČNÍM DIFERENCIÁLNÍM POČT</t>
  </si>
  <si>
    <t>96191</t>
  </si>
  <si>
    <t>FAKTOR VIII - STANOVENÍ AKTIVITY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</si>
  <si>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</si>
  <si>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</si>
  <si>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</si>
  <si>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</si>
  <si>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</si>
  <si>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</si>
  <si>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</si>
  <si>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</si>
  <si>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96315</t>
  </si>
  <si>
    <t>ANALÝZA KREVNÍHO NÁTĚRU PANOPTICKY OBARVENÉHO. IND</t>
  </si>
  <si>
    <t>96813</t>
  </si>
  <si>
    <t>ANTITROMBIN III, CHROMOGENNÍ METODOU (SÉRIE)</t>
  </si>
  <si>
    <t>96325</t>
  </si>
  <si>
    <t>FIBRINOGEN (SÉRIE)</t>
  </si>
  <si>
    <t>96155</t>
  </si>
  <si>
    <t>VON WILLEBRANDŮV  FAKTOR KVANTITATIVNĚ</t>
  </si>
  <si>
    <t>96629</t>
  </si>
  <si>
    <t xml:space="preserve">VON WILLEBRANDOVŮV FAKTOR - RISTOCETIN KOFAKTOR - 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</si>
  <si>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</si>
  <si>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</si>
  <si>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</si>
  <si>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</si>
  <si>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</si>
  <si>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</si>
  <si>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</si>
  <si>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</si>
  <si>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</si>
  <si>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</si>
  <si>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81141</t>
  </si>
  <si>
    <t>VÁPNÍK IONIZOVANÝ STATIM</t>
  </si>
  <si>
    <t>81147</t>
  </si>
  <si>
    <t>FOSFATÁZA ALKALICKÁ STATIM</t>
  </si>
  <si>
    <t>81157</t>
  </si>
  <si>
    <t>CHLORIDY STATIM</t>
  </si>
  <si>
    <t>81171</t>
  </si>
  <si>
    <t>KYSELINA MLÉČNÁ (LAKTÁT) STATIM</t>
  </si>
  <si>
    <t>81237</t>
  </si>
  <si>
    <t>TROPONIN - T NEBO I ELISA</t>
  </si>
  <si>
    <t>81427</t>
  </si>
  <si>
    <t>FOSFOR ANORGANICKÝ</t>
  </si>
  <si>
    <t>81717</t>
  </si>
  <si>
    <t>STANOVENÍ KONCENTRACE PROTEINU S-100B (S-100BB, S-</t>
  </si>
  <si>
    <t>81731</t>
  </si>
  <si>
    <t>STANOVENÍ NATRIURETICKÝCH PEPTIDŮ V SÉRU A V PLAZM</t>
  </si>
  <si>
    <t>93171</t>
  </si>
  <si>
    <t>PARATHORMON</t>
  </si>
  <si>
    <t>81135</t>
  </si>
  <si>
    <t>SODÍK STATIM</t>
  </si>
  <si>
    <t>81563</t>
  </si>
  <si>
    <t>OSMOLALITA (SÉRUM, MOČ)</t>
  </si>
  <si>
    <t>81585</t>
  </si>
  <si>
    <t>ACIDOBAZICKÁ ROVNOVÁHA</t>
  </si>
  <si>
    <t>94119</t>
  </si>
  <si>
    <t>IZOLACE A UCHOVÁNÍ LIDSKÉ DNA (RNA)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</si>
  <si>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</si>
  <si>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</si>
  <si>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</si>
  <si>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</si>
  <si>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</si>
  <si>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</si>
  <si>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</si>
  <si>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</si>
  <si>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81169</t>
  </si>
  <si>
    <t>KREATININ STATIM</t>
  </si>
  <si>
    <t>81149</t>
  </si>
  <si>
    <t>FOSFOR ANORGANICKÝ STATIM</t>
  </si>
  <si>
    <t>81173</t>
  </si>
  <si>
    <t>LIPÁZA STATIM</t>
  </si>
  <si>
    <t>81329</t>
  </si>
  <si>
    <t>ALBUMIN (SÉRUM)</t>
  </si>
  <si>
    <t>81115</t>
  </si>
  <si>
    <t>ALBUMIN SÉRUM (STATIM)</t>
  </si>
  <si>
    <t>81345</t>
  </si>
  <si>
    <t>AMYLÁZA</t>
  </si>
  <si>
    <t>81155</t>
  </si>
  <si>
    <t>GLUKÓZA KVANTITATIVNÍ STANOVENÍ STATIM</t>
  </si>
  <si>
    <t>81139</t>
  </si>
  <si>
    <t>VÁPNÍK CELKOVÝ STATIM</t>
  </si>
  <si>
    <t>81625</t>
  </si>
  <si>
    <t>VÁPNÍK CELKOVÝ</t>
  </si>
  <si>
    <t>81465</t>
  </si>
  <si>
    <t>HOŘČÍK</t>
  </si>
  <si>
    <t>81533</t>
  </si>
  <si>
    <t>LIPÁZA</t>
  </si>
  <si>
    <t>81125</t>
  </si>
  <si>
    <t>BÍLKOVINY CELKOVÉ (SÉRUM) STATIM</t>
  </si>
  <si>
    <t>94189</t>
  </si>
  <si>
    <t>HYBRIDIZACE DNA SE ZNAČENOU SONDOU</t>
  </si>
  <si>
    <t>94199</t>
  </si>
  <si>
    <t>AMPLIFIKACE METODOU PCR</t>
  </si>
  <si>
    <t>94195</t>
  </si>
  <si>
    <t>SYNTÉZA cDNA REVERZNÍ TRANSKRIPCÍ</t>
  </si>
  <si>
    <t>813</t>
  </si>
  <si>
    <t>34</t>
  </si>
  <si>
    <t>809</t>
  </si>
  <si>
    <t>0022075</t>
  </si>
  <si>
    <t>IOMERON 400</t>
  </si>
  <si>
    <t>0042433</t>
  </si>
  <si>
    <t>VISIPAQUE 320 MG I/ML</t>
  </si>
  <si>
    <t>0077019</t>
  </si>
  <si>
    <t>ULTRAVIST 370</t>
  </si>
  <si>
    <t>0095607</t>
  </si>
  <si>
    <t>MICROPAQUE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</si>
  <si>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</si>
  <si>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</si>
  <si>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</si>
  <si>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</si>
  <si>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</si>
  <si>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</si>
  <si>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</si>
  <si>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</si>
  <si>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</si>
  <si>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</si>
  <si>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89129</t>
  </si>
  <si>
    <t>RTG ŽEBER A STERNA</t>
  </si>
  <si>
    <t>89313</t>
  </si>
  <si>
    <t xml:space="preserve">PERKUTÁNNÍ PUNKCE NEBO BIOPSIE ŘÍZENÁ RDG METODOU </t>
  </si>
  <si>
    <t>89323</t>
  </si>
  <si>
    <t>TERAPEUTICKÁ EMBOLIZACE V CÉVNÍM ŘEČIŠTI</t>
  </si>
  <si>
    <t>89419</t>
  </si>
  <si>
    <t>PUNKČNÍ ANGIOGRAFIE</t>
  </si>
  <si>
    <t>89131</t>
  </si>
  <si>
    <t>RTG HRUDNÍKU</t>
  </si>
  <si>
    <t>89615</t>
  </si>
  <si>
    <t>CT VYŠETŘENÍ S VĚTŠÍM POČTEM SKENŮ (NAD 30), BEZ P</t>
  </si>
  <si>
    <t>89715</t>
  </si>
  <si>
    <t>MR ZOBRAZENÍ KRKU, HRUDNÍKU, BŘICHA, PÁNVE (VČETNĚ</t>
  </si>
  <si>
    <t>89145</t>
  </si>
  <si>
    <t>RTG JÍCNU</t>
  </si>
  <si>
    <t>89115</t>
  </si>
  <si>
    <t>RTG LEBKY, PŘEHLEDNÉ SNÍMKY</t>
  </si>
  <si>
    <t>89611</t>
  </si>
  <si>
    <t>CT VYŠETŘENÍ HLAVY NEBO TĚLA NATIVNÍ A KONTRASTNÍ</t>
  </si>
  <si>
    <t>35</t>
  </si>
  <si>
    <t>222</t>
  </si>
  <si>
    <t>22119</t>
  </si>
  <si>
    <t>VYŠETŘENÍ KOMPATIBILITY TRANSFÚZNÍHO PŘÍPRAVKU OBS</t>
  </si>
  <si>
    <t>22129</t>
  </si>
  <si>
    <t xml:space="preserve">VYŠETŘENÍ JEDNOHO ERYTROCYTÁRNÍHO ANTIGENU (KROMĚ </t>
  </si>
  <si>
    <t>22214</t>
  </si>
  <si>
    <t>SCREENING ANTIERYTROCYTÁRNÍCH PROTILÁTEK - V SÉRII</t>
  </si>
  <si>
    <t>22355</t>
  </si>
  <si>
    <t>KONZULTACE ODBORNÉHO TRANSFÚZIOLOGA - IMUNOHEMATOL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</si>
  <si>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</si>
  <si>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</si>
  <si>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</si>
  <si>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</si>
  <si>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</si>
  <si>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</si>
  <si>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</si>
  <si>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22112</t>
  </si>
  <si>
    <t>VYŠETŘENÍ KREVNÍ SKUPINY ABO, RH (D) V SÉRII</t>
  </si>
  <si>
    <t>22117</t>
  </si>
  <si>
    <t>22347</t>
  </si>
  <si>
    <t>IDENTIFIKACE ANTIERYTROCYTÁRNÍCH PROTILÁTEK - SLOU</t>
  </si>
  <si>
    <t>22133</t>
  </si>
  <si>
    <t>PŘÍMÝ ANTIGLOBULINOVÝ TEST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</si>
  <si>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</si>
  <si>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</si>
  <si>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</si>
  <si>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</si>
  <si>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</si>
  <si>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</si>
  <si>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87217</t>
  </si>
  <si>
    <t>PROKRAJOVÁNÍ BLOKU (POLOSÉRIOVÉ ŘEZY) S 1-3 PREPAR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</si>
  <si>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</si>
  <si>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</si>
  <si>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</si>
  <si>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</si>
  <si>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</si>
  <si>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</si>
  <si>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87447</t>
  </si>
  <si>
    <t>CYTOLOGICKÉ PREPARÁTY ZHOTOVENÉ CYTOCENTRIFUGOU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</si>
  <si>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</si>
  <si>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</si>
  <si>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</si>
  <si>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</si>
  <si>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</si>
  <si>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</si>
  <si>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</si>
  <si>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</si>
  <si>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</si>
  <si>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</si>
  <si>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</si>
  <si>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</si>
  <si>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87225</t>
  </si>
  <si>
    <t>SPECIELNI BARVENÍ SLOŽITÉ (ZA KAŽDÝ PREPARÁT ZE ZM</t>
  </si>
  <si>
    <t>87129</t>
  </si>
  <si>
    <t>VÍCEČETNÉ MALÉ BIOPTICKÉ VZORKY: MAKROSKOPICKÉ POS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</si>
  <si>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</si>
  <si>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</si>
  <si>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</si>
  <si>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</si>
  <si>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87219</t>
  </si>
  <si>
    <t>ODVÁPNĚNÍ, ZMĚKČOVÁNÍ MATERIÁLU (ZA KAŽDÉ ZAPOČATÉ</t>
  </si>
  <si>
    <t>87611</t>
  </si>
  <si>
    <t>TECHNICKÁ KOMPONENTA MIKROSKOPICKÉHO VYŠETŘENÍ PIT</t>
  </si>
  <si>
    <t>40</t>
  </si>
  <si>
    <t>82001</t>
  </si>
  <si>
    <t>KONSULTACE K MIKROBIOLOGICKÉMU, PARAZITOLOGICKÉMU,</t>
  </si>
  <si>
    <t>82041</t>
  </si>
  <si>
    <t>PRŮKAZ DNA MIKROORGANISMU V KLINICKÉM MATERIÁLU HY</t>
  </si>
  <si>
    <t>82057</t>
  </si>
  <si>
    <t>IDENTIFIKACE KMENE ORIENTAČNÍ JEDNODUCHÝM TESTEM</t>
  </si>
  <si>
    <t>82077</t>
  </si>
  <si>
    <t>STANOVENÍ PROTILÁTEK PROTI ANTIGENŮM VIRŮ HEPATITI</t>
  </si>
  <si>
    <t>82097</t>
  </si>
  <si>
    <t>STANOVENÍ PROTILÁTEK PROTI EBV (ELISA)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</si>
  <si>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</si>
  <si>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</si>
  <si>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</si>
  <si>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</si>
  <si>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</si>
  <si>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</si>
  <si>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82065</t>
  </si>
  <si>
    <t>STANOVENÍ CITLIVOSTI NA ATB KVANTITATIVNÍ METODOU</t>
  </si>
  <si>
    <t>82003</t>
  </si>
  <si>
    <t>TELEFONICKÁ KONZULTACE K MIKROBIOLOGICKÉMU, PARAZI</t>
  </si>
  <si>
    <t>82079</t>
  </si>
  <si>
    <t>STANOVENÍ PROTILÁTEK PROTI ANTIGENŮM VIRŮ (MIMO VI</t>
  </si>
  <si>
    <t>82063</t>
  </si>
  <si>
    <t>STANOVENÍ CITLIVOSTI NA ATB KVALITATIVNÍ METODOU</t>
  </si>
  <si>
    <t>Zdravotní výkony (vybraných odborností) vyžádané pro pacienty hospitalizované na vlastním pracovišti - orientační přehled</t>
  </si>
  <si>
    <t xml:space="preserve">Ošetřovací den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</si>
</sst>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-* #,##0.00\ &quot;Kč&quot;_-;\-* #,##0.00\ &quot;Kč&quot;_-;_-* &quot;-&quot;??\ &quot;Kč&quot;_-;_-@_-"/>
    <numFmt numFmtId="165" formatCode="#\ ###\ ###\ ##0"/>
    <numFmt numFmtId="166" formatCode="#\ ###\ ##0.0"/>
    <numFmt numFmtId="167" formatCode="#,##0.0"/>
    <numFmt numFmtId="168" formatCode="0.0%"/>
    <numFmt numFmtId="169" formatCode="0.0"/>
    <numFmt numFmtId="170" formatCode="#,##0,"/>
    <numFmt numFmtId="171" formatCode="#\ ##0"/>
    <numFmt numFmtId="172" formatCode="0.000"/>
    <numFmt numFmtId="173" formatCode="#.##0"/>
    <numFmt numFmtId="174" formatCode="#,##0;\-#,##0;"/>
    <numFmt numFmtId="175" formatCode="General;\-General;"/>
    <numFmt numFmtId="176" formatCode="#,##0%"/>
    <numFmt numFmtId="177" formatCode="#,##0.000"/>
  </numFmts>
  <fonts count="66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8" fillId="0" borderId="0" applyNumberForma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</cellStyleXfs>
  <cellXfs count="863">
    <xf numFmtId="0" fontId="0" fillId="0" borderId="0" xfId="0"/>
    <xf numFmtId="0" fontId="30" fillId="2" borderId="20" xfId="81" applyFont="1" applyFill="1" applyBorder="1"/>
    <xf numFmtId="0" fontId="31" fillId="2" borderId="21" xfId="81" applyFont="1" applyFill="1" applyBorder="1"/>
    <xf numFmtId="3" fontId="31" fillId="2" borderId="22" xfId="81" applyNumberFormat="1" applyFont="1" applyFill="1" applyBorder="1"/>
    <xf numFmtId="0" fontId="31" fillId="4" borderId="21" xfId="81" applyFont="1" applyFill="1" applyBorder="1"/>
    <xf numFmtId="3" fontId="32" fillId="0" borderId="10" xfId="26" applyNumberFormat="1" applyFont="1" applyFill="1" applyBorder="1" applyAlignment="1">
      <alignment horizontal="center"/>
    </xf>
    <xf numFmtId="3" fontId="32" fillId="0" borderId="12" xfId="26" applyNumberFormat="1" applyFont="1" applyFill="1" applyBorder="1" applyAlignment="1">
      <alignment horizontal="center"/>
    </xf>
    <xf numFmtId="3" fontId="32" fillId="0" borderId="27" xfId="26" applyNumberFormat="1" applyFont="1" applyFill="1" applyBorder="1" applyAlignment="1">
      <alignment horizontal="center"/>
    </xf>
    <xf numFmtId="3" fontId="32" fillId="0" borderId="28" xfId="26" applyNumberFormat="1" applyFont="1" applyFill="1" applyBorder="1" applyAlignment="1">
      <alignment horizontal="center"/>
    </xf>
    <xf numFmtId="3" fontId="31" fillId="4" borderId="22" xfId="81" applyNumberFormat="1" applyFont="1" applyFill="1" applyBorder="1"/>
    <xf numFmtId="172" fontId="31" fillId="3" borderId="22" xfId="81" applyNumberFormat="1" applyFont="1" applyFill="1" applyBorder="1"/>
    <xf numFmtId="0" fontId="32" fillId="5" borderId="0" xfId="74" applyFont="1" applyFill="1"/>
    <xf numFmtId="0" fontId="35" fillId="5" borderId="0" xfId="74" applyFont="1" applyFill="1"/>
    <xf numFmtId="3" fontId="30" fillId="5" borderId="27" xfId="81" applyNumberFormat="1" applyFont="1" applyFill="1" applyBorder="1"/>
    <xf numFmtId="3" fontId="30" fillId="5" borderId="10" xfId="81" applyNumberFormat="1" applyFont="1" applyFill="1" applyBorder="1"/>
    <xf numFmtId="3" fontId="30" fillId="5" borderId="14" xfId="81" applyNumberFormat="1" applyFont="1" applyFill="1" applyBorder="1"/>
    <xf numFmtId="0" fontId="30" fillId="5" borderId="0" xfId="81" applyFont="1" applyFill="1"/>
    <xf numFmtId="10" fontId="30" fillId="5" borderId="0" xfId="81" applyNumberFormat="1" applyFont="1" applyFill="1"/>
    <xf numFmtId="0" fontId="40" fillId="2" borderId="36" xfId="0" applyFont="1" applyFill="1" applyBorder="1" applyAlignment="1">
      <alignment vertical="top"/>
    </xf>
    <xf numFmtId="0" fontId="40" fillId="2" borderId="37" xfId="0" applyFont="1" applyFill="1" applyBorder="1" applyAlignment="1">
      <alignment vertical="top"/>
    </xf>
    <xf numFmtId="0" fontId="37" fillId="2" borderId="37" xfId="0" applyFont="1" applyFill="1" applyBorder="1" applyAlignment="1">
      <alignment vertical="top"/>
    </xf>
    <xf numFmtId="0" fontId="41" fillId="2" borderId="37" xfId="0" applyFont="1" applyFill="1" applyBorder="1" applyAlignment="1">
      <alignment vertical="top"/>
    </xf>
    <xf numFmtId="0" fontId="39" fillId="2" borderId="37" xfId="0" applyFont="1" applyFill="1" applyBorder="1" applyAlignment="1">
      <alignment vertical="top"/>
    </xf>
    <xf numFmtId="0" fontId="37" fillId="2" borderId="38" xfId="0" applyFont="1" applyFill="1" applyBorder="1" applyAlignment="1">
      <alignment vertical="top"/>
    </xf>
    <xf numFmtId="0" fontId="40" fillId="2" borderId="10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/>
    </xf>
    <xf numFmtId="0" fontId="40" fillId="2" borderId="26" xfId="0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41" fillId="2" borderId="24" xfId="0" applyFont="1" applyFill="1" applyBorder="1" applyAlignment="1">
      <alignment horizontal="center" vertical="center" wrapText="1"/>
    </xf>
    <xf numFmtId="0" fontId="41" fillId="2" borderId="26" xfId="0" applyFont="1" applyFill="1" applyBorder="1" applyAlignment="1">
      <alignment horizontal="center" vertical="center" wrapText="1"/>
    </xf>
    <xf numFmtId="0" fontId="39" fillId="2" borderId="26" xfId="0" applyFont="1" applyFill="1" applyBorder="1" applyAlignment="1">
      <alignment horizontal="center" vertical="center" wrapText="1"/>
    </xf>
    <xf numFmtId="3" fontId="30" fillId="5" borderId="5" xfId="81" applyNumberFormat="1" applyFont="1" applyFill="1" applyBorder="1"/>
    <xf numFmtId="3" fontId="30" fillId="5" borderId="32" xfId="81" applyNumberFormat="1" applyFont="1" applyFill="1" applyBorder="1"/>
    <xf numFmtId="3" fontId="30" fillId="5" borderId="28" xfId="81" applyNumberFormat="1" applyFont="1" applyFill="1" applyBorder="1"/>
    <xf numFmtId="3" fontId="30" fillId="5" borderId="11" xfId="81" applyNumberFormat="1" applyFont="1" applyFill="1" applyBorder="1"/>
    <xf numFmtId="3" fontId="30" fillId="5" borderId="12" xfId="81" applyNumberFormat="1" applyFont="1" applyFill="1" applyBorder="1"/>
    <xf numFmtId="3" fontId="30" fillId="5" borderId="15" xfId="81" applyNumberFormat="1" applyFont="1" applyFill="1" applyBorder="1"/>
    <xf numFmtId="3" fontId="30" fillId="5" borderId="16" xfId="81" applyNumberFormat="1" applyFont="1" applyFill="1" applyBorder="1"/>
    <xf numFmtId="3" fontId="31" fillId="2" borderId="30" xfId="81" applyNumberFormat="1" applyFont="1" applyFill="1" applyBorder="1"/>
    <xf numFmtId="3" fontId="31" fillId="2" borderId="23" xfId="81" applyNumberFormat="1" applyFont="1" applyFill="1" applyBorder="1"/>
    <xf numFmtId="3" fontId="31" fillId="4" borderId="30" xfId="81" applyNumberFormat="1" applyFont="1" applyFill="1" applyBorder="1"/>
    <xf numFmtId="3" fontId="31" fillId="4" borderId="23" xfId="81" applyNumberFormat="1" applyFont="1" applyFill="1" applyBorder="1"/>
    <xf numFmtId="172" fontId="31" fillId="3" borderId="30" xfId="81" applyNumberFormat="1" applyFont="1" applyFill="1" applyBorder="1"/>
    <xf numFmtId="172" fontId="31" fillId="3" borderId="23" xfId="81" applyNumberFormat="1" applyFont="1" applyFill="1" applyBorder="1"/>
    <xf numFmtId="0" fontId="34" fillId="2" borderId="28" xfId="81" applyFont="1" applyFill="1" applyBorder="1" applyAlignment="1">
      <alignment horizontal="center"/>
    </xf>
    <xf numFmtId="0" fontId="42" fillId="0" borderId="2" xfId="0" applyFont="1" applyFill="1" applyBorder="1"/>
    <xf numFmtId="0" fontId="42" fillId="0" borderId="3" xfId="0" applyFont="1" applyFill="1" applyBorder="1"/>
    <xf numFmtId="3" fontId="31" fillId="0" borderId="30" xfId="78" applyNumberFormat="1" applyFont="1" applyFill="1" applyBorder="1" applyAlignment="1">
      <alignment horizontal="right"/>
    </xf>
    <xf numFmtId="9" fontId="31" fillId="0" borderId="30" xfId="78" applyNumberFormat="1" applyFont="1" applyFill="1" applyBorder="1" applyAlignment="1">
      <alignment horizontal="right"/>
    </xf>
    <xf numFmtId="3" fontId="31" fillId="0" borderId="23" xfId="78" applyNumberFormat="1" applyFont="1" applyFill="1" applyBorder="1" applyAlignment="1">
      <alignment horizontal="right"/>
    </xf>
    <xf numFmtId="0" fontId="35" fillId="0" borderId="47" xfId="0" applyFont="1" applyFill="1" applyBorder="1" applyAlignment="1"/>
    <xf numFmtId="0" fontId="43" fillId="0" borderId="0" xfId="0" applyFont="1" applyFill="1" applyBorder="1" applyAlignment="1"/>
    <xf numFmtId="3" fontId="36" fillId="0" borderId="8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7" fillId="0" borderId="6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3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6" fillId="0" borderId="35" xfId="0" applyNumberFormat="1" applyFont="1" applyFill="1" applyBorder="1" applyAlignment="1">
      <alignment horizontal="right" vertical="top"/>
    </xf>
    <xf numFmtId="3" fontId="36" fillId="0" borderId="26" xfId="0" applyNumberFormat="1" applyFont="1" applyFill="1" applyBorder="1" applyAlignment="1">
      <alignment horizontal="right" vertical="top"/>
    </xf>
    <xf numFmtId="3" fontId="37" fillId="0" borderId="26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7" xfId="82" applyFont="1" applyFill="1" applyBorder="1" applyAlignment="1"/>
    <xf numFmtId="0" fontId="32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5" xfId="79" applyNumberFormat="1" applyFont="1" applyFill="1" applyBorder="1"/>
    <xf numFmtId="9" fontId="3" fillId="0" borderId="45" xfId="79" applyNumberFormat="1" applyFont="1" applyFill="1" applyBorder="1"/>
    <xf numFmtId="9" fontId="3" fillId="0" borderId="46" xfId="79" applyNumberFormat="1" applyFont="1" applyFill="1" applyBorder="1"/>
    <xf numFmtId="0" fontId="3" fillId="0" borderId="40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1" xfId="79" applyFont="1" applyFill="1" applyBorder="1"/>
    <xf numFmtId="0" fontId="3" fillId="0" borderId="42" xfId="79" applyFont="1" applyFill="1" applyBorder="1"/>
    <xf numFmtId="165" fontId="3" fillId="0" borderId="74" xfId="53" applyNumberFormat="1" applyFont="1" applyFill="1" applyBorder="1"/>
    <xf numFmtId="9" fontId="3" fillId="0" borderId="74" xfId="53" applyNumberFormat="1" applyFont="1" applyFill="1" applyBorder="1"/>
    <xf numFmtId="3" fontId="32" fillId="0" borderId="0" xfId="26" applyNumberFormat="1" applyFont="1" applyFill="1" applyBorder="1"/>
    <xf numFmtId="0" fontId="32" fillId="0" borderId="0" xfId="26" applyFont="1" applyFill="1"/>
    <xf numFmtId="0" fontId="32" fillId="0" borderId="53" xfId="26" applyFont="1" applyFill="1" applyBorder="1" applyAlignment="1"/>
    <xf numFmtId="3" fontId="33" fillId="0" borderId="0" xfId="26" applyNumberFormat="1" applyFont="1" applyFill="1" applyBorder="1" applyAlignment="1">
      <alignment horizontal="center" vertical="center"/>
    </xf>
    <xf numFmtId="171" fontId="32" fillId="0" borderId="27" xfId="26" applyNumberFormat="1" applyFont="1" applyFill="1" applyBorder="1"/>
    <xf numFmtId="9" fontId="32" fillId="0" borderId="28" xfId="26" applyNumberFormat="1" applyFont="1" applyFill="1" applyBorder="1"/>
    <xf numFmtId="171" fontId="32" fillId="0" borderId="50" xfId="26" applyNumberFormat="1" applyFont="1" applyFill="1" applyBorder="1"/>
    <xf numFmtId="171" fontId="32" fillId="0" borderId="10" xfId="26" applyNumberFormat="1" applyFont="1" applyFill="1" applyBorder="1"/>
    <xf numFmtId="9" fontId="32" fillId="0" borderId="12" xfId="26" applyNumberFormat="1" applyFont="1" applyFill="1" applyBorder="1"/>
    <xf numFmtId="171" fontId="32" fillId="0" borderId="39" xfId="26" applyNumberFormat="1" applyFont="1" applyFill="1" applyBorder="1"/>
    <xf numFmtId="171" fontId="32" fillId="0" borderId="24" xfId="26" applyNumberFormat="1" applyFont="1" applyFill="1" applyBorder="1"/>
    <xf numFmtId="9" fontId="32" fillId="0" borderId="25" xfId="26" applyNumberFormat="1" applyFont="1" applyFill="1" applyBorder="1"/>
    <xf numFmtId="171" fontId="32" fillId="0" borderId="52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7" fontId="5" fillId="0" borderId="0" xfId="26" applyNumberFormat="1" applyFont="1" applyFill="1"/>
    <xf numFmtId="169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5" fillId="0" borderId="33" xfId="0" applyFont="1" applyFill="1" applyBorder="1" applyAlignment="1"/>
    <xf numFmtId="0" fontId="35" fillId="0" borderId="34" xfId="0" applyFont="1" applyFill="1" applyBorder="1" applyAlignment="1"/>
    <xf numFmtId="0" fontId="35" fillId="0" borderId="66" xfId="0" applyFont="1" applyFill="1" applyBorder="1" applyAlignment="1"/>
    <xf numFmtId="0" fontId="31" fillId="2" borderId="29" xfId="78" applyFont="1" applyFill="1" applyBorder="1" applyAlignment="1">
      <alignment horizontal="right"/>
    </xf>
    <xf numFmtId="3" fontId="31" fillId="2" borderId="65" xfId="78" applyNumberFormat="1" applyFont="1" applyFill="1" applyBorder="1"/>
    <xf numFmtId="0" fontId="3" fillId="2" borderId="22" xfId="79" applyFont="1" applyFill="1" applyBorder="1" applyAlignment="1">
      <alignment horizontal="left"/>
    </xf>
    <xf numFmtId="0" fontId="3" fillId="2" borderId="30" xfId="79" applyFont="1" applyFill="1" applyBorder="1" applyAlignment="1">
      <alignment horizontal="left"/>
    </xf>
    <xf numFmtId="0" fontId="3" fillId="2" borderId="26" xfId="80" applyFont="1" applyFill="1" applyBorder="1"/>
    <xf numFmtId="0" fontId="3" fillId="2" borderId="25" xfId="80" applyFont="1" applyFill="1" applyBorder="1"/>
    <xf numFmtId="0" fontId="3" fillId="2" borderId="44" xfId="79" applyFont="1" applyFill="1" applyBorder="1"/>
    <xf numFmtId="0" fontId="3" fillId="2" borderId="43" xfId="79" applyFont="1" applyFill="1" applyBorder="1"/>
    <xf numFmtId="0" fontId="3" fillId="2" borderId="72" xfId="53" applyFont="1" applyFill="1" applyBorder="1" applyAlignment="1">
      <alignment horizontal="right"/>
    </xf>
    <xf numFmtId="3" fontId="32" fillId="7" borderId="11" xfId="26" applyNumberFormat="1" applyFont="1" applyFill="1" applyBorder="1"/>
    <xf numFmtId="3" fontId="32" fillId="7" borderId="6" xfId="26" applyNumberFormat="1" applyFont="1" applyFill="1" applyBorder="1"/>
    <xf numFmtId="3" fontId="34" fillId="2" borderId="22" xfId="26" applyNumberFormat="1" applyFont="1" applyFill="1" applyBorder="1"/>
    <xf numFmtId="3" fontId="34" fillId="2" borderId="30" xfId="26" applyNumberFormat="1" applyFont="1" applyFill="1" applyBorder="1"/>
    <xf numFmtId="3" fontId="34" fillId="4" borderId="22" xfId="26" applyNumberFormat="1" applyFont="1" applyFill="1" applyBorder="1"/>
    <xf numFmtId="3" fontId="34" fillId="7" borderId="4" xfId="26" applyNumberFormat="1" applyFont="1" applyFill="1" applyBorder="1"/>
    <xf numFmtId="3" fontId="34" fillId="7" borderId="9" xfId="26" applyNumberFormat="1" applyFont="1" applyFill="1" applyBorder="1"/>
    <xf numFmtId="3" fontId="34" fillId="2" borderId="29" xfId="26" applyNumberFormat="1" applyFont="1" applyFill="1" applyBorder="1"/>
    <xf numFmtId="3" fontId="32" fillId="7" borderId="5" xfId="26" applyNumberFormat="1" applyFont="1" applyFill="1" applyBorder="1"/>
    <xf numFmtId="3" fontId="32" fillId="7" borderId="10" xfId="26" applyNumberFormat="1" applyFont="1" applyFill="1" applyBorder="1"/>
    <xf numFmtId="3" fontId="32" fillId="5" borderId="0" xfId="26" applyNumberFormat="1" applyFont="1" applyFill="1" applyBorder="1"/>
    <xf numFmtId="3" fontId="48" fillId="5" borderId="0" xfId="26" applyNumberFormat="1" applyFont="1" applyFill="1" applyBorder="1"/>
    <xf numFmtId="168" fontId="32" fillId="5" borderId="0" xfId="26" applyNumberFormat="1" applyFont="1" applyFill="1" applyBorder="1"/>
    <xf numFmtId="0" fontId="34" fillId="2" borderId="1" xfId="26" applyNumberFormat="1" applyFont="1" applyFill="1" applyBorder="1" applyAlignment="1">
      <alignment horizontal="center"/>
    </xf>
    <xf numFmtId="0" fontId="34" fillId="2" borderId="2" xfId="26" applyNumberFormat="1" applyFont="1" applyFill="1" applyBorder="1" applyAlignment="1">
      <alignment horizontal="center"/>
    </xf>
    <xf numFmtId="168" fontId="34" fillId="2" borderId="3" xfId="26" applyNumberFormat="1" applyFont="1" applyFill="1" applyBorder="1" applyAlignment="1">
      <alignment horizontal="center"/>
    </xf>
    <xf numFmtId="3" fontId="34" fillId="2" borderId="22" xfId="26" applyNumberFormat="1" applyFont="1" applyFill="1" applyBorder="1" applyAlignment="1">
      <alignment horizontal="center"/>
    </xf>
    <xf numFmtId="168" fontId="34" fillId="2" borderId="23" xfId="26" applyNumberFormat="1" applyFont="1" applyFill="1" applyBorder="1" applyAlignment="1">
      <alignment horizontal="center"/>
    </xf>
    <xf numFmtId="168" fontId="34" fillId="7" borderId="7" xfId="86" applyNumberFormat="1" applyFont="1" applyFill="1" applyBorder="1" applyAlignment="1">
      <alignment horizontal="right"/>
    </xf>
    <xf numFmtId="3" fontId="32" fillId="7" borderId="8" xfId="26" applyNumberFormat="1" applyFont="1" applyFill="1" applyBorder="1"/>
    <xf numFmtId="168" fontId="34" fillId="7" borderId="7" xfId="86" applyNumberFormat="1" applyFont="1" applyFill="1" applyBorder="1"/>
    <xf numFmtId="168" fontId="34" fillId="7" borderId="12" xfId="86" applyNumberFormat="1" applyFont="1" applyFill="1" applyBorder="1" applyAlignment="1">
      <alignment horizontal="right"/>
    </xf>
    <xf numFmtId="3" fontId="32" fillId="7" borderId="13" xfId="26" applyNumberFormat="1" applyFont="1" applyFill="1" applyBorder="1"/>
    <xf numFmtId="168" fontId="34" fillId="7" borderId="12" xfId="86" applyNumberFormat="1" applyFont="1" applyFill="1" applyBorder="1"/>
    <xf numFmtId="168" fontId="34" fillId="2" borderId="23" xfId="86" applyNumberFormat="1" applyFont="1" applyFill="1" applyBorder="1" applyAlignment="1">
      <alignment horizontal="right"/>
    </xf>
    <xf numFmtId="3" fontId="34" fillId="2" borderId="31" xfId="26" applyNumberFormat="1" applyFont="1" applyFill="1" applyBorder="1"/>
    <xf numFmtId="168" fontId="34" fillId="2" borderId="23" xfId="86" applyNumberFormat="1" applyFont="1" applyFill="1" applyBorder="1"/>
    <xf numFmtId="3" fontId="34" fillId="2" borderId="23" xfId="26" applyNumberFormat="1" applyFont="1" applyFill="1" applyBorder="1" applyAlignment="1">
      <alignment horizontal="center"/>
    </xf>
    <xf numFmtId="3" fontId="34" fillId="7" borderId="0" xfId="26" applyNumberFormat="1" applyFont="1" applyFill="1" applyBorder="1" applyAlignment="1">
      <alignment horizontal="left"/>
    </xf>
    <xf numFmtId="0" fontId="34" fillId="3" borderId="1" xfId="26" applyNumberFormat="1" applyFont="1" applyFill="1" applyBorder="1" applyAlignment="1">
      <alignment horizontal="center"/>
    </xf>
    <xf numFmtId="0" fontId="34" fillId="3" borderId="2" xfId="26" applyNumberFormat="1" applyFont="1" applyFill="1" applyBorder="1" applyAlignment="1">
      <alignment horizontal="center"/>
    </xf>
    <xf numFmtId="168" fontId="34" fillId="3" borderId="3" xfId="26" applyNumberFormat="1" applyFont="1" applyFill="1" applyBorder="1" applyAlignment="1">
      <alignment horizontal="center"/>
    </xf>
    <xf numFmtId="3" fontId="34" fillId="3" borderId="22" xfId="26" applyNumberFormat="1" applyFont="1" applyFill="1" applyBorder="1" applyAlignment="1">
      <alignment horizontal="center"/>
    </xf>
    <xf numFmtId="168" fontId="34" fillId="3" borderId="23" xfId="26" applyNumberFormat="1" applyFont="1" applyFill="1" applyBorder="1" applyAlignment="1">
      <alignment horizontal="center"/>
    </xf>
    <xf numFmtId="3" fontId="32" fillId="7" borderId="27" xfId="26" applyNumberFormat="1" applyFont="1" applyFill="1" applyBorder="1" applyAlignment="1">
      <alignment horizontal="center"/>
    </xf>
    <xf numFmtId="3" fontId="32" fillId="7" borderId="28" xfId="26" applyNumberFormat="1" applyFont="1" applyFill="1" applyBorder="1" applyAlignment="1">
      <alignment horizontal="center"/>
    </xf>
    <xf numFmtId="3" fontId="32" fillId="7" borderId="10" xfId="26" applyNumberFormat="1" applyFont="1" applyFill="1" applyBorder="1" applyAlignment="1">
      <alignment horizontal="center"/>
    </xf>
    <xf numFmtId="3" fontId="32" fillId="7" borderId="12" xfId="26" applyNumberFormat="1" applyFont="1" applyFill="1" applyBorder="1" applyAlignment="1">
      <alignment horizontal="center"/>
    </xf>
    <xf numFmtId="3" fontId="34" fillId="3" borderId="29" xfId="26" applyNumberFormat="1" applyFont="1" applyFill="1" applyBorder="1"/>
    <xf numFmtId="3" fontId="34" fillId="3" borderId="22" xfId="26" applyNumberFormat="1" applyFont="1" applyFill="1" applyBorder="1"/>
    <xf numFmtId="3" fontId="34" fillId="3" borderId="30" xfId="26" applyNumberFormat="1" applyFont="1" applyFill="1" applyBorder="1"/>
    <xf numFmtId="168" fontId="34" fillId="3" borderId="23" xfId="86" applyNumberFormat="1" applyFont="1" applyFill="1" applyBorder="1" applyAlignment="1">
      <alignment horizontal="right"/>
    </xf>
    <xf numFmtId="168" fontId="34" fillId="3" borderId="23" xfId="86" applyNumberFormat="1" applyFont="1" applyFill="1" applyBorder="1"/>
    <xf numFmtId="3" fontId="34" fillId="3" borderId="23" xfId="26" applyNumberFormat="1" applyFont="1" applyFill="1" applyBorder="1" applyAlignment="1">
      <alignment horizontal="center"/>
    </xf>
    <xf numFmtId="3" fontId="34" fillId="7" borderId="0" xfId="26" applyNumberFormat="1" applyFont="1" applyFill="1" applyBorder="1"/>
    <xf numFmtId="3" fontId="32" fillId="7" borderId="0" xfId="26" applyNumberFormat="1" applyFont="1" applyFill="1" applyBorder="1"/>
    <xf numFmtId="168" fontId="32" fillId="7" borderId="0" xfId="26" applyNumberFormat="1" applyFont="1" applyFill="1" applyBorder="1"/>
    <xf numFmtId="0" fontId="34" fillId="4" borderId="1" xfId="26" applyNumberFormat="1" applyFont="1" applyFill="1" applyBorder="1" applyAlignment="1">
      <alignment horizontal="center"/>
    </xf>
    <xf numFmtId="0" fontId="34" fillId="4" borderId="2" xfId="26" applyNumberFormat="1" applyFont="1" applyFill="1" applyBorder="1" applyAlignment="1">
      <alignment horizontal="center"/>
    </xf>
    <xf numFmtId="168" fontId="34" fillId="4" borderId="3" xfId="26" applyNumberFormat="1" applyFont="1" applyFill="1" applyBorder="1" applyAlignment="1">
      <alignment horizontal="center"/>
    </xf>
    <xf numFmtId="3" fontId="34" fillId="4" borderId="22" xfId="26" applyNumberFormat="1" applyFont="1" applyFill="1" applyBorder="1" applyAlignment="1">
      <alignment horizontal="center"/>
    </xf>
    <xf numFmtId="168" fontId="34" fillId="4" borderId="23" xfId="26" applyNumberFormat="1" applyFont="1" applyFill="1" applyBorder="1" applyAlignment="1">
      <alignment horizontal="center"/>
    </xf>
    <xf numFmtId="3" fontId="34" fillId="4" borderId="29" xfId="26" applyNumberFormat="1" applyFont="1" applyFill="1" applyBorder="1"/>
    <xf numFmtId="3" fontId="34" fillId="4" borderId="30" xfId="26" applyNumberFormat="1" applyFont="1" applyFill="1" applyBorder="1"/>
    <xf numFmtId="168" fontId="34" fillId="4" borderId="23" xfId="86" applyNumberFormat="1" applyFont="1" applyFill="1" applyBorder="1" applyAlignment="1">
      <alignment horizontal="right"/>
    </xf>
    <xf numFmtId="3" fontId="34" fillId="4" borderId="31" xfId="26" applyNumberFormat="1" applyFont="1" applyFill="1" applyBorder="1"/>
    <xf numFmtId="168" fontId="34" fillId="4" borderId="23" xfId="86" applyNumberFormat="1" applyFont="1" applyFill="1" applyBorder="1"/>
    <xf numFmtId="3" fontId="34" fillId="4" borderId="23" xfId="26" applyNumberFormat="1" applyFont="1" applyFill="1" applyBorder="1" applyAlignment="1">
      <alignment horizontal="center"/>
    </xf>
    <xf numFmtId="9" fontId="3" fillId="2" borderId="33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1" fontId="34" fillId="2" borderId="49" xfId="26" quotePrefix="1" applyNumberFormat="1" applyFont="1" applyFill="1" applyBorder="1" applyAlignment="1">
      <alignment horizontal="center"/>
    </xf>
    <xf numFmtId="171" fontId="34" fillId="2" borderId="9" xfId="26" quotePrefix="1" applyNumberFormat="1" applyFont="1" applyFill="1" applyBorder="1" applyAlignment="1">
      <alignment horizontal="center"/>
    </xf>
    <xf numFmtId="171" fontId="34" fillId="2" borderId="51" xfId="26" quotePrefix="1" applyNumberFormat="1" applyFont="1" applyFill="1" applyBorder="1" applyAlignment="1">
      <alignment horizontal="center"/>
    </xf>
    <xf numFmtId="0" fontId="32" fillId="2" borderId="33" xfId="26" applyFont="1" applyFill="1" applyBorder="1"/>
    <xf numFmtId="0" fontId="3" fillId="2" borderId="66" xfId="33" applyFont="1" applyFill="1" applyBorder="1" applyAlignment="1">
      <alignment horizontal="center" vertical="center"/>
    </xf>
    <xf numFmtId="9" fontId="3" fillId="0" borderId="73" xfId="53" applyNumberFormat="1" applyFont="1" applyFill="1" applyBorder="1"/>
    <xf numFmtId="0" fontId="35" fillId="0" borderId="28" xfId="0" applyFont="1" applyBorder="1" applyAlignment="1"/>
    <xf numFmtId="0" fontId="35" fillId="5" borderId="7" xfId="0" applyFont="1" applyFill="1" applyBorder="1"/>
    <xf numFmtId="0" fontId="35" fillId="5" borderId="12" xfId="0" applyFont="1" applyFill="1" applyBorder="1"/>
    <xf numFmtId="0" fontId="35" fillId="5" borderId="25" xfId="0" applyFont="1" applyFill="1" applyBorder="1"/>
    <xf numFmtId="0" fontId="35" fillId="5" borderId="47" xfId="0" applyFont="1" applyFill="1" applyBorder="1"/>
    <xf numFmtId="0" fontId="35" fillId="5" borderId="53" xfId="0" applyFont="1" applyFill="1" applyBorder="1"/>
    <xf numFmtId="9" fontId="37" fillId="0" borderId="7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9" fillId="0" borderId="12" xfId="0" applyNumberFormat="1" applyFont="1" applyFill="1" applyBorder="1" applyAlignment="1">
      <alignment horizontal="right" vertical="top"/>
    </xf>
    <xf numFmtId="9" fontId="37" fillId="0" borderId="25" xfId="0" applyNumberFormat="1" applyFont="1" applyFill="1" applyBorder="1" applyAlignment="1">
      <alignment horizontal="right" vertical="top"/>
    </xf>
    <xf numFmtId="0" fontId="32" fillId="0" borderId="0" xfId="76" applyFont="1" applyFill="1"/>
    <xf numFmtId="0" fontId="32" fillId="0" borderId="0" xfId="26" applyFont="1" applyFill="1" applyBorder="1" applyAlignment="1"/>
    <xf numFmtId="0" fontId="32" fillId="0" borderId="2" xfId="76" applyFont="1" applyFill="1" applyBorder="1" applyAlignment="1"/>
    <xf numFmtId="0" fontId="34" fillId="2" borderId="72" xfId="53" applyFont="1" applyFill="1" applyBorder="1" applyAlignment="1">
      <alignment horizontal="right"/>
    </xf>
    <xf numFmtId="165" fontId="34" fillId="0" borderId="77" xfId="53" applyNumberFormat="1" applyFont="1" applyFill="1" applyBorder="1"/>
    <xf numFmtId="165" fontId="34" fillId="0" borderId="78" xfId="53" applyNumberFormat="1" applyFont="1" applyFill="1" applyBorder="1"/>
    <xf numFmtId="9" fontId="34" fillId="0" borderId="79" xfId="83" applyNumberFormat="1" applyFont="1" applyFill="1" applyBorder="1"/>
    <xf numFmtId="170" fontId="34" fillId="0" borderId="77" xfId="53" applyNumberFormat="1" applyFont="1" applyFill="1" applyBorder="1"/>
    <xf numFmtId="170" fontId="34" fillId="0" borderId="78" xfId="53" applyNumberFormat="1" applyFont="1" applyFill="1" applyBorder="1"/>
    <xf numFmtId="3" fontId="34" fillId="0" borderId="79" xfId="83" applyNumberFormat="1" applyFont="1" applyFill="1" applyBorder="1"/>
    <xf numFmtId="3" fontId="32" fillId="0" borderId="0" xfId="76" applyNumberFormat="1" applyFont="1" applyFill="1"/>
    <xf numFmtId="9" fontId="32" fillId="0" borderId="0" xfId="76" applyNumberFormat="1" applyFont="1" applyFill="1"/>
    <xf numFmtId="170" fontId="32" fillId="0" borderId="0" xfId="76" applyNumberFormat="1" applyFont="1" applyFill="1"/>
    <xf numFmtId="0" fontId="32" fillId="0" borderId="53" xfId="26" applyFont="1" applyFill="1" applyBorder="1" applyAlignment="1">
      <alignment horizontal="right"/>
    </xf>
    <xf numFmtId="171" fontId="32" fillId="0" borderId="49" xfId="26" quotePrefix="1" applyNumberFormat="1" applyFont="1" applyFill="1" applyBorder="1" applyAlignment="1">
      <alignment horizontal="right"/>
    </xf>
    <xf numFmtId="171" fontId="32" fillId="0" borderId="9" xfId="26" quotePrefix="1" applyNumberFormat="1" applyFont="1" applyFill="1" applyBorder="1" applyAlignment="1">
      <alignment horizontal="right"/>
    </xf>
    <xf numFmtId="171" fontId="32" fillId="0" borderId="51" xfId="26" quotePrefix="1" applyNumberFormat="1" applyFont="1" applyFill="1" applyBorder="1" applyAlignment="1">
      <alignment horizontal="right"/>
    </xf>
    <xf numFmtId="0" fontId="32" fillId="0" borderId="0" xfId="26" applyFont="1" applyFill="1" applyAlignment="1">
      <alignment horizontal="right"/>
    </xf>
    <xf numFmtId="0" fontId="3" fillId="2" borderId="30" xfId="79" applyFont="1" applyFill="1" applyBorder="1"/>
    <xf numFmtId="0" fontId="3" fillId="2" borderId="30" xfId="53" applyFont="1" applyFill="1" applyBorder="1" applyAlignment="1">
      <alignment horizontal="left"/>
    </xf>
    <xf numFmtId="3" fontId="3" fillId="2" borderId="23" xfId="53" applyNumberFormat="1" applyFont="1" applyFill="1" applyBorder="1" applyAlignment="1">
      <alignment horizontal="left"/>
    </xf>
    <xf numFmtId="3" fontId="34" fillId="0" borderId="32" xfId="53" applyNumberFormat="1" applyFont="1" applyFill="1" applyBorder="1"/>
    <xf numFmtId="3" fontId="34" fillId="0" borderId="28" xfId="53" applyNumberFormat="1" applyFont="1" applyFill="1" applyBorder="1"/>
    <xf numFmtId="0" fontId="31" fillId="0" borderId="3" xfId="78" applyFont="1" applyFill="1" applyBorder="1" applyAlignment="1">
      <alignment horizontal="left"/>
    </xf>
    <xf numFmtId="0" fontId="34" fillId="2" borderId="53" xfId="0" applyFont="1" applyFill="1" applyBorder="1" applyAlignment="1">
      <alignment horizontal="center"/>
    </xf>
    <xf numFmtId="3" fontId="3" fillId="0" borderId="73" xfId="53" applyNumberFormat="1" applyFont="1" applyFill="1" applyBorder="1"/>
    <xf numFmtId="3" fontId="3" fillId="0" borderId="74" xfId="53" applyNumberFormat="1" applyFont="1" applyFill="1" applyBorder="1"/>
    <xf numFmtId="3" fontId="3" fillId="0" borderId="75" xfId="53" applyNumberFormat="1" applyFont="1" applyFill="1" applyBorder="1"/>
    <xf numFmtId="0" fontId="34" fillId="2" borderId="53" xfId="0" applyNumberFormat="1" applyFont="1" applyFill="1" applyBorder="1" applyAlignment="1">
      <alignment horizontal="center"/>
    </xf>
    <xf numFmtId="3" fontId="3" fillId="0" borderId="76" xfId="53" applyNumberFormat="1" applyFont="1" applyFill="1" applyBorder="1"/>
    <xf numFmtId="3" fontId="3" fillId="0" borderId="81" xfId="53" applyNumberFormat="1" applyFont="1" applyFill="1" applyBorder="1"/>
    <xf numFmtId="169" fontId="5" fillId="0" borderId="0" xfId="26" applyNumberFormat="1" applyFont="1" applyFill="1"/>
    <xf numFmtId="167" fontId="3" fillId="2" borderId="33" xfId="24" applyNumberFormat="1" applyFont="1" applyFill="1" applyBorder="1" applyAlignment="1">
      <alignment horizontal="center" vertical="center" wrapText="1"/>
    </xf>
    <xf numFmtId="170" fontId="35" fillId="0" borderId="0" xfId="0" applyNumberFormat="1" applyFont="1" applyFill="1"/>
    <xf numFmtId="0" fontId="34" fillId="2" borderId="49" xfId="74" applyFont="1" applyFill="1" applyBorder="1" applyAlignment="1">
      <alignment horizontal="center"/>
    </xf>
    <xf numFmtId="0" fontId="30" fillId="5" borderId="47" xfId="81" applyFont="1" applyFill="1" applyBorder="1"/>
    <xf numFmtId="0" fontId="34" fillId="2" borderId="26" xfId="81" applyFont="1" applyFill="1" applyBorder="1" applyAlignment="1">
      <alignment horizontal="center"/>
    </xf>
    <xf numFmtId="0" fontId="34" fillId="2" borderId="25" xfId="81" applyFont="1" applyFill="1" applyBorder="1" applyAlignment="1">
      <alignment horizontal="center"/>
    </xf>
    <xf numFmtId="0" fontId="35" fillId="0" borderId="0" xfId="0" applyFont="1" applyFill="1" applyBorder="1" applyAlignment="1"/>
    <xf numFmtId="0" fontId="49" fillId="2" borderId="20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5" fillId="0" borderId="32" xfId="0" applyNumberFormat="1" applyFont="1" applyFill="1" applyBorder="1"/>
    <xf numFmtId="3" fontId="35" fillId="0" borderId="27" xfId="0" applyNumberFormat="1" applyFont="1" applyFill="1" applyBorder="1"/>
    <xf numFmtId="3" fontId="35" fillId="0" borderId="10" xfId="0" applyNumberFormat="1" applyFont="1" applyFill="1" applyBorder="1"/>
    <xf numFmtId="3" fontId="35" fillId="0" borderId="11" xfId="0" applyNumberFormat="1" applyFont="1" applyFill="1" applyBorder="1"/>
    <xf numFmtId="3" fontId="35" fillId="0" borderId="14" xfId="0" applyNumberFormat="1" applyFont="1" applyFill="1" applyBorder="1"/>
    <xf numFmtId="3" fontId="35" fillId="0" borderId="15" xfId="0" applyNumberFormat="1" applyFont="1" applyFill="1" applyBorder="1"/>
    <xf numFmtId="9" fontId="35" fillId="0" borderId="28" xfId="0" applyNumberFormat="1" applyFont="1" applyFill="1" applyBorder="1"/>
    <xf numFmtId="9" fontId="35" fillId="0" borderId="12" xfId="0" applyNumberFormat="1" applyFont="1" applyFill="1" applyBorder="1"/>
    <xf numFmtId="9" fontId="35" fillId="0" borderId="16" xfId="0" applyNumberFormat="1" applyFont="1" applyFill="1" applyBorder="1"/>
    <xf numFmtId="9" fontId="31" fillId="2" borderId="23" xfId="81" applyNumberFormat="1" applyFont="1" applyFill="1" applyBorder="1"/>
    <xf numFmtId="9" fontId="31" fillId="4" borderId="23" xfId="81" applyNumberFormat="1" applyFont="1" applyFill="1" applyBorder="1"/>
    <xf numFmtId="9" fontId="31" fillId="3" borderId="23" xfId="81" applyNumberFormat="1" applyFont="1" applyFill="1" applyBorder="1"/>
    <xf numFmtId="0" fontId="34" fillId="2" borderId="24" xfId="81" applyFont="1" applyFill="1" applyBorder="1" applyAlignment="1">
      <alignment horizontal="center"/>
    </xf>
    <xf numFmtId="49" fontId="40" fillId="2" borderId="11" xfId="0" applyNumberFormat="1" applyFont="1" applyFill="1" applyBorder="1" applyAlignment="1">
      <alignment horizontal="center" vertical="center"/>
    </xf>
    <xf numFmtId="3" fontId="51" fillId="0" borderId="0" xfId="76" applyNumberFormat="1" applyFont="1" applyFill="1" applyBorder="1"/>
    <xf numFmtId="3" fontId="34" fillId="7" borderId="18" xfId="26" applyNumberFormat="1" applyFont="1" applyFill="1" applyBorder="1"/>
    <xf numFmtId="3" fontId="32" fillId="7" borderId="83" xfId="26" applyNumberFormat="1" applyFont="1" applyFill="1" applyBorder="1"/>
    <xf numFmtId="3" fontId="32" fillId="7" borderId="63" xfId="26" applyNumberFormat="1" applyFont="1" applyFill="1" applyBorder="1"/>
    <xf numFmtId="168" fontId="34" fillId="7" borderId="71" xfId="86" applyNumberFormat="1" applyFont="1" applyFill="1" applyBorder="1" applyAlignment="1">
      <alignment horizontal="right"/>
    </xf>
    <xf numFmtId="3" fontId="32" fillId="7" borderId="84" xfId="26" applyNumberFormat="1" applyFont="1" applyFill="1" applyBorder="1"/>
    <xf numFmtId="168" fontId="34" fillId="7" borderId="71" xfId="86" applyNumberFormat="1" applyFont="1" applyFill="1" applyBorder="1"/>
    <xf numFmtId="3" fontId="32" fillId="0" borderId="83" xfId="26" applyNumberFormat="1" applyFont="1" applyFill="1" applyBorder="1" applyAlignment="1">
      <alignment horizontal="center"/>
    </xf>
    <xf numFmtId="3" fontId="32" fillId="0" borderId="71" xfId="26" applyNumberFormat="1" applyFont="1" applyFill="1" applyBorder="1" applyAlignment="1">
      <alignment horizontal="center"/>
    </xf>
    <xf numFmtId="3" fontId="32" fillId="7" borderId="83" xfId="26" applyNumberFormat="1" applyFont="1" applyFill="1" applyBorder="1" applyAlignment="1">
      <alignment horizontal="center"/>
    </xf>
    <xf numFmtId="3" fontId="32" fillId="7" borderId="71" xfId="26" applyNumberFormat="1" applyFont="1" applyFill="1" applyBorder="1" applyAlignment="1">
      <alignment horizontal="center"/>
    </xf>
    <xf numFmtId="0" fontId="35" fillId="0" borderId="0" xfId="0" applyFont="1" applyFill="1"/>
    <xf numFmtId="0" fontId="35" fillId="0" borderId="53" xfId="0" applyFont="1" applyFill="1" applyBorder="1" applyAlignment="1"/>
    <xf numFmtId="0" fontId="35" fillId="0" borderId="0" xfId="0" applyFont="1" applyFill="1" applyAlignment="1"/>
    <xf numFmtId="0" fontId="49" fillId="4" borderId="36" xfId="1" applyFont="1" applyFill="1" applyBorder="1"/>
    <xf numFmtId="0" fontId="49" fillId="4" borderId="20" xfId="1" applyFont="1" applyFill="1" applyBorder="1"/>
    <xf numFmtId="0" fontId="49" fillId="3" borderId="21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5" fillId="2" borderId="32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28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165" fontId="34" fillId="2" borderId="27" xfId="53" applyNumberFormat="1" applyFont="1" applyFill="1" applyBorder="1" applyAlignment="1">
      <alignment horizontal="right"/>
    </xf>
    <xf numFmtId="0" fontId="3" fillId="2" borderId="32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9" fontId="3" fillId="2" borderId="33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4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5" fillId="0" borderId="0" xfId="0" applyFont="1"/>
    <xf numFmtId="0" fontId="35" fillId="0" borderId="0" xfId="0" applyFont="1" applyBorder="1" applyAlignment="1"/>
    <xf numFmtId="3" fontId="35" fillId="0" borderId="0" xfId="0" applyNumberFormat="1" applyFont="1"/>
    <xf numFmtId="9" fontId="35" fillId="0" borderId="0" xfId="0" applyNumberFormat="1" applyFont="1"/>
    <xf numFmtId="0" fontId="35" fillId="0" borderId="0" xfId="0" applyFont="1" applyBorder="1"/>
    <xf numFmtId="3" fontId="42" fillId="2" borderId="56" xfId="0" applyNumberFormat="1" applyFont="1" applyFill="1" applyBorder="1"/>
    <xf numFmtId="3" fontId="42" fillId="2" borderId="58" xfId="0" applyNumberFormat="1" applyFont="1" applyFill="1" applyBorder="1"/>
    <xf numFmtId="9" fontId="42" fillId="2" borderId="65" xfId="0" applyNumberFormat="1" applyFont="1" applyFill="1" applyBorder="1"/>
    <xf numFmtId="0" fontId="53" fillId="2" borderId="21" xfId="1" applyFont="1" applyFill="1" applyBorder="1" applyAlignment="1"/>
    <xf numFmtId="0" fontId="35" fillId="2" borderId="31" xfId="0" applyFont="1" applyFill="1" applyBorder="1" applyAlignment="1"/>
    <xf numFmtId="3" fontId="35" fillId="2" borderId="30" xfId="0" applyNumberFormat="1" applyFont="1" applyFill="1" applyBorder="1" applyAlignment="1"/>
    <xf numFmtId="9" fontId="35" fillId="2" borderId="23" xfId="0" applyNumberFormat="1" applyFont="1" applyFill="1" applyBorder="1" applyAlignment="1"/>
    <xf numFmtId="0" fontId="42" fillId="2" borderId="61" xfId="0" applyFont="1" applyFill="1" applyBorder="1" applyAlignment="1"/>
    <xf numFmtId="0" fontId="35" fillId="0" borderId="8" xfId="0" applyFont="1" applyBorder="1" applyAlignment="1"/>
    <xf numFmtId="3" fontId="35" fillId="0" borderId="6" xfId="0" applyNumberFormat="1" applyFont="1" applyBorder="1" applyAlignment="1"/>
    <xf numFmtId="9" fontId="35" fillId="0" borderId="12" xfId="0" applyNumberFormat="1" applyFont="1" applyBorder="1" applyAlignment="1"/>
    <xf numFmtId="0" fontId="32" fillId="2" borderId="37" xfId="1" applyFont="1" applyFill="1" applyBorder="1" applyAlignment="1">
      <alignment horizontal="left" indent="2"/>
    </xf>
    <xf numFmtId="0" fontId="35" fillId="0" borderId="13" xfId="0" applyFont="1" applyBorder="1" applyAlignment="1"/>
    <xf numFmtId="3" fontId="35" fillId="0" borderId="11" xfId="0" applyNumberFormat="1" applyFont="1" applyBorder="1" applyAlignment="1"/>
    <xf numFmtId="0" fontId="49" fillId="2" borderId="37" xfId="1" applyFont="1" applyFill="1" applyBorder="1" applyAlignment="1">
      <alignment horizontal="left" indent="4"/>
    </xf>
    <xf numFmtId="9" fontId="35" fillId="0" borderId="11" xfId="0" applyNumberFormat="1" applyFont="1" applyBorder="1" applyAlignment="1"/>
    <xf numFmtId="0" fontId="35" fillId="2" borderId="37" xfId="0" applyFont="1" applyFill="1" applyBorder="1" applyAlignment="1">
      <alignment horizontal="left" indent="2"/>
    </xf>
    <xf numFmtId="0" fontId="34" fillId="2" borderId="37" xfId="1" applyFont="1" applyFill="1" applyBorder="1" applyAlignment="1"/>
    <xf numFmtId="0" fontId="49" fillId="2" borderId="37" xfId="1" applyFont="1" applyFill="1" applyBorder="1" applyAlignment="1">
      <alignment horizontal="left" indent="2"/>
    </xf>
    <xf numFmtId="0" fontId="53" fillId="2" borderId="37" xfId="1" applyFont="1" applyFill="1" applyBorder="1" applyAlignment="1"/>
    <xf numFmtId="0" fontId="35" fillId="0" borderId="35" xfId="0" applyFont="1" applyBorder="1" applyAlignment="1"/>
    <xf numFmtId="3" fontId="35" fillId="0" borderId="26" xfId="0" applyNumberFormat="1" applyFont="1" applyBorder="1" applyAlignment="1"/>
    <xf numFmtId="9" fontId="35" fillId="0" borderId="25" xfId="0" applyNumberFormat="1" applyFont="1" applyBorder="1" applyAlignment="1"/>
    <xf numFmtId="0" fontId="42" fillId="0" borderId="47" xfId="0" applyFont="1" applyFill="1" applyBorder="1" applyAlignment="1">
      <alignment horizontal="left" indent="2"/>
    </xf>
    <xf numFmtId="0" fontId="35" fillId="0" borderId="47" xfId="0" applyFont="1" applyBorder="1" applyAlignment="1"/>
    <xf numFmtId="3" fontId="35" fillId="0" borderId="47" xfId="0" applyNumberFormat="1" applyFont="1" applyBorder="1" applyAlignment="1"/>
    <xf numFmtId="9" fontId="35" fillId="0" borderId="47" xfId="0" applyNumberFormat="1" applyFont="1" applyBorder="1" applyAlignment="1"/>
    <xf numFmtId="0" fontId="53" fillId="4" borderId="21" xfId="1" applyFont="1" applyFill="1" applyBorder="1" applyAlignment="1">
      <alignment horizontal="left"/>
    </xf>
    <xf numFmtId="0" fontId="35" fillId="4" borderId="31" xfId="0" applyFont="1" applyFill="1" applyBorder="1" applyAlignment="1"/>
    <xf numFmtId="3" fontId="35" fillId="4" borderId="30" xfId="0" applyNumberFormat="1" applyFont="1" applyFill="1" applyBorder="1" applyAlignment="1"/>
    <xf numFmtId="9" fontId="35" fillId="4" borderId="23" xfId="0" applyNumberFormat="1" applyFont="1" applyFill="1" applyBorder="1" applyAlignment="1"/>
    <xf numFmtId="0" fontId="53" fillId="4" borderId="61" xfId="1" applyFont="1" applyFill="1" applyBorder="1" applyAlignment="1">
      <alignment horizontal="left"/>
    </xf>
    <xf numFmtId="0" fontId="49" fillId="4" borderId="37" xfId="1" applyFont="1" applyFill="1" applyBorder="1" applyAlignment="1">
      <alignment horizontal="left" indent="2"/>
    </xf>
    <xf numFmtId="0" fontId="53" fillId="4" borderId="37" xfId="1" applyFont="1" applyFill="1" applyBorder="1" applyAlignment="1">
      <alignment horizontal="left"/>
    </xf>
    <xf numFmtId="0" fontId="49" fillId="4" borderId="37" xfId="1" applyFont="1" applyFill="1" applyBorder="1" applyAlignment="1">
      <alignment horizontal="left" indent="4"/>
    </xf>
    <xf numFmtId="9" fontId="35" fillId="0" borderId="11" xfId="0" applyNumberFormat="1" applyFont="1" applyBorder="1" applyAlignment="1">
      <alignment horizontal="right"/>
    </xf>
    <xf numFmtId="0" fontId="49" fillId="4" borderId="37" xfId="1" applyFont="1" applyFill="1" applyBorder="1" applyAlignment="1">
      <alignment horizontal="left" wrapText="1" indent="2"/>
    </xf>
    <xf numFmtId="0" fontId="35" fillId="4" borderId="38" xfId="0" applyFont="1" applyFill="1" applyBorder="1" applyAlignment="1">
      <alignment horizontal="left" indent="2"/>
    </xf>
    <xf numFmtId="0" fontId="42" fillId="0" borderId="0" xfId="0" applyFont="1" applyFill="1" applyBorder="1" applyAlignment="1"/>
    <xf numFmtId="0" fontId="35" fillId="0" borderId="0" xfId="0" applyFont="1" applyAlignment="1"/>
    <xf numFmtId="3" fontId="35" fillId="0" borderId="0" xfId="0" applyNumberFormat="1" applyFont="1" applyAlignment="1"/>
    <xf numFmtId="9" fontId="35" fillId="0" borderId="53" xfId="0" applyNumberFormat="1" applyFont="1" applyBorder="1" applyAlignment="1"/>
    <xf numFmtId="0" fontId="42" fillId="3" borderId="21" xfId="0" applyFont="1" applyFill="1" applyBorder="1" applyAlignment="1"/>
    <xf numFmtId="0" fontId="35" fillId="3" borderId="31" xfId="0" applyFont="1" applyFill="1" applyBorder="1" applyAlignment="1"/>
    <xf numFmtId="3" fontId="35" fillId="3" borderId="30" xfId="0" applyNumberFormat="1" applyFont="1" applyFill="1" applyBorder="1" applyAlignment="1"/>
    <xf numFmtId="9" fontId="35" fillId="3" borderId="23" xfId="0" applyNumberFormat="1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2" fontId="43" fillId="0" borderId="0" xfId="0" applyNumberFormat="1" applyFont="1" applyFill="1"/>
    <xf numFmtId="173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7" xfId="81" applyFont="1" applyFill="1" applyBorder="1" applyAlignment="1"/>
    <xf numFmtId="0" fontId="7" fillId="0" borderId="0" xfId="78" applyFont="1" applyFill="1" applyBorder="1" applyAlignment="1"/>
    <xf numFmtId="3" fontId="35" fillId="0" borderId="0" xfId="0" applyNumberFormat="1" applyFont="1" applyFill="1"/>
    <xf numFmtId="0" fontId="35" fillId="0" borderId="0" xfId="0" applyFont="1" applyFill="1" applyAlignment="1">
      <alignment horizontal="left"/>
    </xf>
    <xf numFmtId="165" fontId="35" fillId="0" borderId="0" xfId="0" applyNumberFormat="1" applyFont="1" applyFill="1"/>
    <xf numFmtId="9" fontId="35" fillId="0" borderId="0" xfId="0" applyNumberFormat="1" applyFont="1" applyFill="1"/>
    <xf numFmtId="165" fontId="30" fillId="0" borderId="0" xfId="78" applyNumberFormat="1" applyFont="1" applyFill="1" applyBorder="1" applyAlignment="1"/>
    <xf numFmtId="3" fontId="30" fillId="0" borderId="0" xfId="78" applyNumberFormat="1" applyFont="1" applyFill="1" applyBorder="1" applyAlignment="1"/>
    <xf numFmtId="165" fontId="35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5" fillId="0" borderId="0" xfId="0" applyFont="1" applyFill="1" applyAlignment="1">
      <alignment horizontal="right"/>
    </xf>
    <xf numFmtId="166" fontId="35" fillId="0" borderId="0" xfId="0" applyNumberFormat="1" applyFont="1" applyFill="1"/>
    <xf numFmtId="0" fontId="42" fillId="2" borderId="29" xfId="0" applyFont="1" applyFill="1" applyBorder="1" applyAlignment="1">
      <alignment horizontal="right"/>
    </xf>
    <xf numFmtId="170" fontId="42" fillId="0" borderId="22" xfId="0" applyNumberFormat="1" applyFont="1" applyFill="1" applyBorder="1" applyAlignment="1"/>
    <xf numFmtId="170" fontId="42" fillId="0" borderId="30" xfId="0" applyNumberFormat="1" applyFont="1" applyFill="1" applyBorder="1" applyAlignment="1"/>
    <xf numFmtId="9" fontId="42" fillId="0" borderId="23" xfId="0" applyNumberFormat="1" applyFont="1" applyFill="1" applyBorder="1" applyAlignment="1"/>
    <xf numFmtId="170" fontId="42" fillId="0" borderId="31" xfId="0" applyNumberFormat="1" applyFont="1" applyFill="1" applyBorder="1" applyAlignment="1"/>
    <xf numFmtId="9" fontId="42" fillId="0" borderId="55" xfId="0" applyNumberFormat="1" applyFont="1" applyFill="1" applyBorder="1" applyAlignment="1"/>
    <xf numFmtId="170" fontId="35" fillId="0" borderId="0" xfId="0" applyNumberFormat="1" applyFont="1" applyFill="1" applyBorder="1" applyAlignment="1"/>
    <xf numFmtId="9" fontId="35" fillId="0" borderId="0" xfId="0" applyNumberFormat="1" applyFont="1" applyFill="1" applyBorder="1" applyAlignment="1"/>
    <xf numFmtId="3" fontId="35" fillId="0" borderId="53" xfId="0" applyNumberFormat="1" applyFont="1" applyFill="1" applyBorder="1" applyAlignment="1"/>
    <xf numFmtId="9" fontId="35" fillId="0" borderId="53" xfId="0" applyNumberFormat="1" applyFont="1" applyFill="1" applyBorder="1" applyAlignment="1"/>
    <xf numFmtId="3" fontId="35" fillId="0" borderId="0" xfId="0" applyNumberFormat="1" applyFont="1" applyFill="1" applyBorder="1" applyAlignment="1"/>
    <xf numFmtId="3" fontId="4" fillId="0" borderId="0" xfId="76" applyNumberFormat="1" applyFont="1" applyFill="1"/>
    <xf numFmtId="0" fontId="7" fillId="0" borderId="53" xfId="26" applyFont="1" applyFill="1" applyBorder="1" applyAlignment="1"/>
    <xf numFmtId="3" fontId="34" fillId="0" borderId="2" xfId="26" applyNumberFormat="1" applyFont="1" applyFill="1" applyBorder="1" applyAlignment="1">
      <alignment horizontal="right" vertical="top"/>
    </xf>
    <xf numFmtId="0" fontId="35" fillId="0" borderId="2" xfId="0" applyFont="1" applyFill="1" applyBorder="1" applyAlignment="1">
      <alignment horizontal="right" vertical="top"/>
    </xf>
    <xf numFmtId="168" fontId="32" fillId="5" borderId="0" xfId="26" applyNumberFormat="1" applyFont="1" applyFill="1" applyBorder="1" applyAlignment="1">
      <alignment horizontal="center"/>
    </xf>
    <xf numFmtId="0" fontId="35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2" fillId="0" borderId="0" xfId="26" applyNumberFormat="1" applyFont="1" applyFill="1" applyBorder="1" applyAlignment="1">
      <alignment horizontal="right"/>
    </xf>
    <xf numFmtId="0" fontId="33" fillId="0" borderId="0" xfId="26" applyFont="1" applyFill="1" applyBorder="1" applyAlignment="1">
      <alignment horizontal="right"/>
    </xf>
    <xf numFmtId="9" fontId="33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7" xfId="26" applyFont="1" applyFill="1" applyBorder="1" applyAlignment="1">
      <alignment vertical="center"/>
    </xf>
    <xf numFmtId="169" fontId="3" fillId="0" borderId="47" xfId="26" applyNumberFormat="1" applyFont="1" applyFill="1" applyBorder="1" applyAlignment="1">
      <alignment vertical="center"/>
    </xf>
    <xf numFmtId="167" fontId="3" fillId="0" borderId="47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85" xfId="0" applyNumberFormat="1" applyFont="1" applyFill="1" applyBorder="1"/>
    <xf numFmtId="3" fontId="59" fillId="9" borderId="86" xfId="0" applyNumberFormat="1" applyFont="1" applyFill="1" applyBorder="1"/>
    <xf numFmtId="3" fontId="59" fillId="9" borderId="85" xfId="0" applyNumberFormat="1" applyFont="1" applyFill="1" applyBorder="1"/>
    <xf numFmtId="0" fontId="60" fillId="0" borderId="0" xfId="1" applyFont="1" applyFill="1"/>
    <xf numFmtId="3" fontId="55" fillId="0" borderId="0" xfId="26" applyNumberFormat="1" applyFont="1" applyFill="1" applyBorder="1" applyAlignment="1"/>
    <xf numFmtId="3" fontId="42" fillId="2" borderId="89" xfId="0" applyNumberFormat="1" applyFont="1" applyFill="1" applyBorder="1" applyAlignment="1">
      <alignment horizontal="center" vertical="center"/>
    </xf>
    <xf numFmtId="0" fontId="42" fillId="2" borderId="90" xfId="0" applyFont="1" applyFill="1" applyBorder="1" applyAlignment="1">
      <alignment horizontal="center" vertical="center"/>
    </xf>
    <xf numFmtId="0" fontId="42" fillId="2" borderId="91" xfId="0" applyFont="1" applyFill="1" applyBorder="1" applyAlignment="1">
      <alignment horizontal="center" vertical="center"/>
    </xf>
    <xf numFmtId="3" fontId="61" fillId="2" borderId="92" xfId="0" applyNumberFormat="1" applyFont="1" applyFill="1" applyBorder="1" applyAlignment="1">
      <alignment horizontal="center" vertical="center" wrapText="1"/>
    </xf>
    <xf numFmtId="0" fontId="61" fillId="2" borderId="93" xfId="0" applyFont="1" applyFill="1" applyBorder="1" applyAlignment="1">
      <alignment horizontal="center" vertical="center" wrapText="1"/>
    </xf>
    <xf numFmtId="0" fontId="61" fillId="2" borderId="94" xfId="0" applyFont="1" applyFill="1" applyBorder="1" applyAlignment="1">
      <alignment horizontal="center" vertical="center" wrapText="1"/>
    </xf>
    <xf numFmtId="0" fontId="42" fillId="2" borderId="95" xfId="0" applyFont="1" applyFill="1" applyBorder="1" applyAlignment="1"/>
    <xf numFmtId="0" fontId="42" fillId="2" borderId="97" xfId="0" applyFont="1" applyFill="1" applyBorder="1" applyAlignment="1">
      <alignment horizontal="left" indent="1"/>
    </xf>
    <xf numFmtId="0" fontId="42" fillId="2" borderId="103" xfId="0" applyFont="1" applyFill="1" applyBorder="1" applyAlignment="1">
      <alignment horizontal="left" indent="1"/>
    </xf>
    <xf numFmtId="0" fontId="42" fillId="4" borderId="95" xfId="0" applyFont="1" applyFill="1" applyBorder="1" applyAlignment="1"/>
    <xf numFmtId="0" fontId="42" fillId="4" borderId="97" xfId="0" applyFont="1" applyFill="1" applyBorder="1" applyAlignment="1">
      <alignment horizontal="left" indent="1"/>
    </xf>
    <xf numFmtId="0" fontId="42" fillId="4" borderId="108" xfId="0" applyFont="1" applyFill="1" applyBorder="1" applyAlignment="1">
      <alignment horizontal="left" indent="1"/>
    </xf>
    <xf numFmtId="0" fontId="35" fillId="2" borderId="97" xfId="0" quotePrefix="1" applyFont="1" applyFill="1" applyBorder="1" applyAlignment="1">
      <alignment horizontal="left" indent="2"/>
    </xf>
    <xf numFmtId="0" fontId="35" fillId="2" borderId="103" xfId="0" quotePrefix="1" applyFont="1" applyFill="1" applyBorder="1" applyAlignment="1">
      <alignment horizontal="left" indent="2"/>
    </xf>
    <xf numFmtId="0" fontId="42" fillId="2" borderId="95" xfId="0" applyFont="1" applyFill="1" applyBorder="1" applyAlignment="1">
      <alignment horizontal="left" indent="1"/>
    </xf>
    <xf numFmtId="0" fontId="42" fillId="2" borderId="108" xfId="0" applyFont="1" applyFill="1" applyBorder="1" applyAlignment="1">
      <alignment horizontal="left" indent="1"/>
    </xf>
    <xf numFmtId="0" fontId="42" fillId="4" borderId="103" xfId="0" applyFont="1" applyFill="1" applyBorder="1" applyAlignment="1">
      <alignment horizontal="left" indent="1"/>
    </xf>
    <xf numFmtId="0" fontId="35" fillId="0" borderId="113" xfId="0" applyFont="1" applyBorder="1"/>
    <xf numFmtId="3" fontId="35" fillId="0" borderId="113" xfId="0" applyNumberFormat="1" applyFont="1" applyBorder="1"/>
    <xf numFmtId="0" fontId="42" fillId="4" borderId="87" xfId="0" applyFont="1" applyFill="1" applyBorder="1" applyAlignment="1">
      <alignment horizontal="center" vertical="center"/>
    </xf>
    <xf numFmtId="0" fontId="42" fillId="4" borderId="66" xfId="0" applyFont="1" applyFill="1" applyBorder="1" applyAlignment="1">
      <alignment horizontal="center" vertical="center"/>
    </xf>
    <xf numFmtId="0" fontId="0" fillId="0" borderId="0" xfId="0" applyNumberFormat="1"/>
    <xf numFmtId="3" fontId="42" fillId="2" borderId="112" xfId="0" applyNumberFormat="1" applyFont="1" applyFill="1" applyBorder="1" applyAlignment="1">
      <alignment horizontal="center" vertical="center"/>
    </xf>
    <xf numFmtId="3" fontId="61" fillId="2" borderId="110" xfId="0" applyNumberFormat="1" applyFont="1" applyFill="1" applyBorder="1" applyAlignment="1">
      <alignment horizontal="center" vertical="center" wrapText="1"/>
    </xf>
    <xf numFmtId="174" fontId="42" fillId="4" borderId="96" xfId="0" applyNumberFormat="1" applyFont="1" applyFill="1" applyBorder="1" applyAlignment="1"/>
    <xf numFmtId="174" fontId="42" fillId="4" borderId="89" xfId="0" applyNumberFormat="1" applyFont="1" applyFill="1" applyBorder="1" applyAlignment="1"/>
    <xf numFmtId="174" fontId="42" fillId="4" borderId="90" xfId="0" applyNumberFormat="1" applyFont="1" applyFill="1" applyBorder="1" applyAlignment="1"/>
    <xf numFmtId="174" fontId="42" fillId="4" borderId="91" xfId="0" applyNumberFormat="1" applyFont="1" applyFill="1" applyBorder="1" applyAlignment="1"/>
    <xf numFmtId="174" fontId="42" fillId="0" borderId="98" xfId="0" applyNumberFormat="1" applyFont="1" applyBorder="1"/>
    <xf numFmtId="174" fontId="35" fillId="0" borderId="102" xfId="0" applyNumberFormat="1" applyFont="1" applyBorder="1"/>
    <xf numFmtId="174" fontId="35" fillId="0" borderId="100" xfId="0" applyNumberFormat="1" applyFont="1" applyBorder="1"/>
    <xf numFmtId="174" fontId="35" fillId="0" borderId="101" xfId="0" applyNumberFormat="1" applyFont="1" applyBorder="1"/>
    <xf numFmtId="174" fontId="42" fillId="0" borderId="109" xfId="0" applyNumberFormat="1" applyFont="1" applyBorder="1"/>
    <xf numFmtId="174" fontId="35" fillId="0" borderId="110" xfId="0" applyNumberFormat="1" applyFont="1" applyBorder="1"/>
    <xf numFmtId="174" fontId="35" fillId="0" borderId="93" xfId="0" applyNumberFormat="1" applyFont="1" applyBorder="1"/>
    <xf numFmtId="174" fontId="35" fillId="0" borderId="94" xfId="0" applyNumberFormat="1" applyFont="1" applyBorder="1"/>
    <xf numFmtId="174" fontId="42" fillId="2" borderId="111" xfId="0" applyNumberFormat="1" applyFont="1" applyFill="1" applyBorder="1" applyAlignment="1"/>
    <xf numFmtId="174" fontId="42" fillId="2" borderId="89" xfId="0" applyNumberFormat="1" applyFont="1" applyFill="1" applyBorder="1" applyAlignment="1"/>
    <xf numFmtId="174" fontId="42" fillId="2" borderId="90" xfId="0" applyNumberFormat="1" applyFont="1" applyFill="1" applyBorder="1" applyAlignment="1"/>
    <xf numFmtId="174" fontId="42" fillId="2" borderId="91" xfId="0" applyNumberFormat="1" applyFont="1" applyFill="1" applyBorder="1" applyAlignment="1"/>
    <xf numFmtId="174" fontId="42" fillId="0" borderId="104" xfId="0" applyNumberFormat="1" applyFont="1" applyBorder="1"/>
    <xf numFmtId="174" fontId="35" fillId="0" borderId="105" xfId="0" applyNumberFormat="1" applyFont="1" applyBorder="1"/>
    <xf numFmtId="174" fontId="35" fillId="0" borderId="106" xfId="0" applyNumberFormat="1" applyFont="1" applyBorder="1"/>
    <xf numFmtId="174" fontId="35" fillId="0" borderId="107" xfId="0" applyNumberFormat="1" applyFont="1" applyBorder="1"/>
    <xf numFmtId="174" fontId="42" fillId="0" borderId="96" xfId="0" applyNumberFormat="1" applyFont="1" applyBorder="1"/>
    <xf numFmtId="174" fontId="35" fillId="0" borderId="112" xfId="0" applyNumberFormat="1" applyFont="1" applyBorder="1"/>
    <xf numFmtId="174" fontId="35" fillId="0" borderId="90" xfId="0" applyNumberFormat="1" applyFont="1" applyBorder="1"/>
    <xf numFmtId="174" fontId="35" fillId="0" borderId="91" xfId="0" applyNumberFormat="1" applyFont="1" applyBorder="1"/>
    <xf numFmtId="174" fontId="35" fillId="0" borderId="99" xfId="0" applyNumberFormat="1" applyFont="1" applyBorder="1"/>
    <xf numFmtId="174" fontId="35" fillId="0" borderId="92" xfId="0" applyNumberFormat="1" applyFont="1" applyBorder="1"/>
    <xf numFmtId="175" fontId="42" fillId="2" borderId="96" xfId="0" applyNumberFormat="1" applyFont="1" applyFill="1" applyBorder="1" applyAlignment="1"/>
    <xf numFmtId="175" fontId="35" fillId="2" borderId="89" xfId="0" applyNumberFormat="1" applyFont="1" applyFill="1" applyBorder="1" applyAlignment="1"/>
    <xf numFmtId="175" fontId="35" fillId="2" borderId="90" xfId="0" applyNumberFormat="1" applyFont="1" applyFill="1" applyBorder="1" applyAlignment="1"/>
    <xf numFmtId="175" fontId="35" fillId="2" borderId="91" xfId="0" applyNumberFormat="1" applyFont="1" applyFill="1" applyBorder="1" applyAlignment="1"/>
    <xf numFmtId="175" fontId="42" fillId="0" borderId="98" xfId="0" applyNumberFormat="1" applyFont="1" applyBorder="1"/>
    <xf numFmtId="175" fontId="35" fillId="0" borderId="99" xfId="0" applyNumberFormat="1" applyFont="1" applyBorder="1"/>
    <xf numFmtId="175" fontId="35" fillId="0" borderId="100" xfId="0" applyNumberFormat="1" applyFont="1" applyBorder="1"/>
    <xf numFmtId="175" fontId="35" fillId="0" borderId="101" xfId="0" applyNumberFormat="1" applyFont="1" applyBorder="1"/>
    <xf numFmtId="175" fontId="35" fillId="0" borderId="102" xfId="0" applyNumberFormat="1" applyFont="1" applyBorder="1"/>
    <xf numFmtId="175" fontId="42" fillId="0" borderId="104" xfId="0" applyNumberFormat="1" applyFont="1" applyBorder="1"/>
    <xf numFmtId="175" fontId="35" fillId="0" borderId="105" xfId="0" applyNumberFormat="1" applyFont="1" applyBorder="1"/>
    <xf numFmtId="175" fontId="35" fillId="0" borderId="106" xfId="0" applyNumberFormat="1" applyFont="1" applyBorder="1"/>
    <xf numFmtId="175" fontId="35" fillId="0" borderId="107" xfId="0" applyNumberFormat="1" applyFont="1" applyBorder="1"/>
    <xf numFmtId="0" fontId="28" fillId="2" borderId="20" xfId="1" applyFill="1" applyBorder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42" fillId="3" borderId="29" xfId="0" applyFont="1" applyFill="1" applyBorder="1" applyAlignment="1"/>
    <xf numFmtId="0" fontId="35" fillId="0" borderId="48" xfId="0" applyFont="1" applyBorder="1" applyAlignment="1"/>
    <xf numFmtId="0" fontId="42" fillId="2" borderId="29" xfId="0" applyFont="1" applyFill="1" applyBorder="1" applyAlignment="1"/>
    <xf numFmtId="0" fontId="42" fillId="4" borderId="29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3" fillId="5" borderId="19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4" fillId="2" borderId="51" xfId="81" applyFont="1" applyFill="1" applyBorder="1" applyAlignment="1">
      <alignment horizontal="center"/>
    </xf>
    <xf numFmtId="0" fontId="34" fillId="2" borderId="52" xfId="81" applyFont="1" applyFill="1" applyBorder="1" applyAlignment="1">
      <alignment horizontal="center"/>
    </xf>
    <xf numFmtId="0" fontId="34" fillId="2" borderId="49" xfId="81" applyFont="1" applyFill="1" applyBorder="1" applyAlignment="1">
      <alignment horizontal="center"/>
    </xf>
    <xf numFmtId="0" fontId="34" fillId="2" borderId="82" xfId="81" applyFont="1" applyFill="1" applyBorder="1" applyAlignment="1">
      <alignment horizontal="center"/>
    </xf>
    <xf numFmtId="0" fontId="34" fillId="2" borderId="50" xfId="81" applyFont="1" applyFill="1" applyBorder="1" applyAlignment="1">
      <alignment horizontal="center"/>
    </xf>
    <xf numFmtId="0" fontId="2" fillId="0" borderId="2" xfId="0" applyFont="1" applyFill="1" applyBorder="1" applyAlignment="1"/>
    <xf numFmtId="0" fontId="41" fillId="2" borderId="27" xfId="0" applyFont="1" applyFill="1" applyBorder="1" applyAlignment="1">
      <alignment horizontal="center" vertical="center"/>
    </xf>
    <xf numFmtId="0" fontId="35" fillId="2" borderId="32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5" fillId="2" borderId="10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41" fillId="2" borderId="32" xfId="0" applyFont="1" applyFill="1" applyBorder="1" applyAlignment="1">
      <alignment horizontal="center" vertical="center"/>
    </xf>
    <xf numFmtId="0" fontId="35" fillId="2" borderId="28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0" fontId="35" fillId="2" borderId="26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165" fontId="34" fillId="0" borderId="0" xfId="53" applyNumberFormat="1" applyFont="1" applyFill="1" applyBorder="1" applyAlignment="1">
      <alignment horizontal="center"/>
    </xf>
    <xf numFmtId="165" fontId="32" fillId="0" borderId="0" xfId="79" applyNumberFormat="1" applyFont="1" applyFill="1" applyBorder="1" applyAlignment="1">
      <alignment horizontal="center"/>
    </xf>
    <xf numFmtId="165" fontId="34" fillId="2" borderId="27" xfId="53" applyNumberFormat="1" applyFont="1" applyFill="1" applyBorder="1" applyAlignment="1">
      <alignment horizontal="right"/>
    </xf>
    <xf numFmtId="165" fontId="32" fillId="2" borderId="32" xfId="79" applyNumberFormat="1" applyFont="1" applyFill="1" applyBorder="1" applyAlignment="1">
      <alignment horizontal="right"/>
    </xf>
    <xf numFmtId="165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1" fillId="2" borderId="67" xfId="78" applyNumberFormat="1" applyFont="1" applyFill="1" applyBorder="1" applyAlignment="1">
      <alignment horizontal="left"/>
    </xf>
    <xf numFmtId="0" fontId="35" fillId="2" borderId="57" xfId="0" applyFont="1" applyFill="1" applyBorder="1" applyAlignment="1"/>
    <xf numFmtId="3" fontId="31" fillId="2" borderId="59" xfId="78" applyNumberFormat="1" applyFont="1" applyFill="1" applyBorder="1" applyAlignment="1"/>
    <xf numFmtId="0" fontId="42" fillId="2" borderId="67" xfId="0" applyFont="1" applyFill="1" applyBorder="1" applyAlignment="1">
      <alignment horizontal="left"/>
    </xf>
    <xf numFmtId="0" fontId="35" fillId="2" borderId="53" xfId="0" applyFont="1" applyFill="1" applyBorder="1" applyAlignment="1">
      <alignment horizontal="left"/>
    </xf>
    <xf numFmtId="0" fontId="35" fillId="2" borderId="57" xfId="0" applyFont="1" applyFill="1" applyBorder="1" applyAlignment="1">
      <alignment horizontal="left"/>
    </xf>
    <xf numFmtId="0" fontId="42" fillId="2" borderId="59" xfId="0" applyFont="1" applyFill="1" applyBorder="1" applyAlignment="1">
      <alignment horizontal="left"/>
    </xf>
    <xf numFmtId="3" fontId="42" fillId="2" borderId="59" xfId="0" applyNumberFormat="1" applyFont="1" applyFill="1" applyBorder="1" applyAlignment="1">
      <alignment horizontal="left"/>
    </xf>
    <xf numFmtId="3" fontId="35" fillId="2" borderId="54" xfId="0" applyNumberFormat="1" applyFont="1" applyFill="1" applyBorder="1" applyAlignment="1">
      <alignment horizontal="left"/>
    </xf>
    <xf numFmtId="0" fontId="3" fillId="2" borderId="32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60" xfId="80" applyFont="1" applyFill="1" applyBorder="1" applyAlignment="1">
      <alignment horizontal="left"/>
    </xf>
    <xf numFmtId="0" fontId="3" fillId="2" borderId="43" xfId="79" applyFont="1" applyFill="1" applyBorder="1" applyAlignment="1"/>
    <xf numFmtId="0" fontId="5" fillId="2" borderId="43" xfId="79" applyFont="1" applyFill="1" applyBorder="1" applyAlignment="1"/>
    <xf numFmtId="0" fontId="5" fillId="2" borderId="70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8" xfId="53" applyFont="1" applyFill="1" applyBorder="1" applyAlignment="1">
      <alignment horizontal="right"/>
    </xf>
    <xf numFmtId="0" fontId="5" fillId="2" borderId="69" xfId="79" applyFont="1" applyFill="1" applyBorder="1" applyAlignment="1"/>
    <xf numFmtId="0" fontId="3" fillId="2" borderId="44" xfId="79" applyFont="1" applyFill="1" applyBorder="1" applyAlignment="1">
      <alignment horizontal="left"/>
    </xf>
    <xf numFmtId="0" fontId="5" fillId="2" borderId="43" xfId="79" applyFont="1" applyFill="1" applyBorder="1" applyAlignment="1">
      <alignment horizontal="left"/>
    </xf>
    <xf numFmtId="0" fontId="3" fillId="2" borderId="43" xfId="79" applyFont="1" applyFill="1" applyBorder="1" applyAlignment="1">
      <alignment horizontal="left"/>
    </xf>
    <xf numFmtId="0" fontId="5" fillId="2" borderId="70" xfId="79" applyFont="1" applyFill="1" applyBorder="1" applyAlignment="1">
      <alignment horizontal="left"/>
    </xf>
    <xf numFmtId="174" fontId="35" fillId="0" borderId="115" xfId="0" applyNumberFormat="1" applyFont="1" applyBorder="1" applyAlignment="1"/>
    <xf numFmtId="174" fontId="35" fillId="0" borderId="110" xfId="0" applyNumberFormat="1" applyFont="1" applyBorder="1" applyAlignment="1"/>
    <xf numFmtId="174" fontId="35" fillId="0" borderId="93" xfId="0" applyNumberFormat="1" applyFont="1" applyBorder="1" applyAlignment="1"/>
    <xf numFmtId="0" fontId="2" fillId="0" borderId="2" xfId="26" applyFont="1" applyFill="1" applyBorder="1" applyAlignment="1"/>
    <xf numFmtId="0" fontId="0" fillId="0" borderId="2" xfId="0" applyBorder="1" applyAlignment="1"/>
    <xf numFmtId="167" fontId="42" fillId="2" borderId="88" xfId="0" applyNumberFormat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174" fontId="35" fillId="0" borderId="114" xfId="0" applyNumberFormat="1" applyFont="1" applyBorder="1" applyAlignment="1"/>
    <xf numFmtId="174" fontId="35" fillId="0" borderId="102" xfId="0" applyNumberFormat="1" applyFont="1" applyBorder="1" applyAlignment="1"/>
    <xf numFmtId="174" fontId="35" fillId="0" borderId="100" xfId="0" applyNumberFormat="1" applyFont="1" applyBorder="1" applyAlignment="1"/>
    <xf numFmtId="174" fontId="42" fillId="4" borderId="116" xfId="0" applyNumberFormat="1" applyFont="1" applyFill="1" applyBorder="1" applyAlignment="1">
      <alignment horizontal="center"/>
    </xf>
    <xf numFmtId="174" fontId="42" fillId="4" borderId="112" xfId="0" applyNumberFormat="1" applyFont="1" applyFill="1" applyBorder="1" applyAlignment="1">
      <alignment horizontal="center"/>
    </xf>
    <xf numFmtId="174" fontId="42" fillId="4" borderId="90" xfId="0" applyNumberFormat="1" applyFont="1" applyFill="1" applyBorder="1" applyAlignment="1">
      <alignment horizontal="center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2" fillId="2" borderId="65" xfId="0" applyFont="1" applyFill="1" applyBorder="1" applyAlignment="1">
      <alignment vertical="center"/>
    </xf>
    <xf numFmtId="3" fontId="34" fillId="2" borderId="67" xfId="26" applyNumberFormat="1" applyFont="1" applyFill="1" applyBorder="1" applyAlignment="1">
      <alignment horizontal="center"/>
    </xf>
    <xf numFmtId="3" fontId="34" fillId="2" borderId="53" xfId="26" applyNumberFormat="1" applyFont="1" applyFill="1" applyBorder="1" applyAlignment="1">
      <alignment horizontal="center"/>
    </xf>
    <xf numFmtId="3" fontId="34" fillId="2" borderId="54" xfId="26" applyNumberFormat="1" applyFont="1" applyFill="1" applyBorder="1" applyAlignment="1">
      <alignment horizontal="center"/>
    </xf>
    <xf numFmtId="3" fontId="34" fillId="2" borderId="54" xfId="0" applyNumberFormat="1" applyFont="1" applyFill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top" wrapText="1"/>
    </xf>
    <xf numFmtId="0" fontId="34" fillId="2" borderId="33" xfId="0" applyFont="1" applyFill="1" applyBorder="1" applyAlignment="1">
      <alignment horizontal="center" vertical="top"/>
    </xf>
    <xf numFmtId="49" fontId="34" fillId="2" borderId="33" xfId="0" applyNumberFormat="1" applyFont="1" applyFill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center"/>
    </xf>
    <xf numFmtId="0" fontId="34" fillId="2" borderId="67" xfId="0" quotePrefix="1" applyFont="1" applyFill="1" applyBorder="1" applyAlignment="1">
      <alignment horizontal="center"/>
    </xf>
    <xf numFmtId="0" fontId="34" fillId="2" borderId="54" xfId="0" applyFont="1" applyFill="1" applyBorder="1" applyAlignment="1">
      <alignment horizontal="center"/>
    </xf>
    <xf numFmtId="9" fontId="46" fillId="2" borderId="54" xfId="0" applyNumberFormat="1" applyFont="1" applyFill="1" applyBorder="1" applyAlignment="1">
      <alignment horizontal="center" vertical="top"/>
    </xf>
    <xf numFmtId="0" fontId="34" fillId="2" borderId="67" xfId="0" quotePrefix="1" applyNumberFormat="1" applyFont="1" applyFill="1" applyBorder="1" applyAlignment="1">
      <alignment horizontal="center"/>
    </xf>
    <xf numFmtId="0" fontId="34" fillId="2" borderId="54" xfId="0" applyNumberFormat="1" applyFont="1" applyFill="1" applyBorder="1" applyAlignment="1">
      <alignment horizontal="center"/>
    </xf>
    <xf numFmtId="0" fontId="46" fillId="2" borderId="54" xfId="0" applyNumberFormat="1" applyFont="1" applyFill="1" applyBorder="1" applyAlignment="1">
      <alignment horizontal="center" vertical="top"/>
    </xf>
    <xf numFmtId="3" fontId="34" fillId="5" borderId="18" xfId="26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3" fontId="34" fillId="0" borderId="18" xfId="26" applyNumberFormat="1" applyFont="1" applyBorder="1" applyAlignment="1">
      <alignment horizontal="center"/>
    </xf>
    <xf numFmtId="0" fontId="35" fillId="0" borderId="19" xfId="0" applyFont="1" applyBorder="1" applyAlignment="1">
      <alignment horizontal="center"/>
    </xf>
    <xf numFmtId="168" fontId="32" fillId="5" borderId="18" xfId="26" applyNumberFormat="1" applyFont="1" applyFill="1" applyBorder="1" applyAlignment="1">
      <alignment horizontal="center"/>
    </xf>
    <xf numFmtId="0" fontId="35" fillId="0" borderId="19" xfId="98" applyFont="1" applyBorder="1" applyAlignment="1">
      <alignment horizontal="center"/>
    </xf>
    <xf numFmtId="0" fontId="6" fillId="0" borderId="2" xfId="26" applyFont="1" applyFill="1" applyBorder="1" applyAlignment="1"/>
    <xf numFmtId="3" fontId="34" fillId="2" borderId="33" xfId="26" applyNumberFormat="1" applyFont="1" applyFill="1" applyBorder="1" applyAlignment="1">
      <alignment horizontal="center" vertical="center"/>
    </xf>
    <xf numFmtId="3" fontId="34" fillId="2" borderId="66" xfId="26" applyNumberFormat="1" applyFont="1" applyFill="1" applyBorder="1" applyAlignment="1">
      <alignment horizontal="center" vertical="center"/>
    </xf>
    <xf numFmtId="3" fontId="34" fillId="0" borderId="53" xfId="26" applyNumberFormat="1" applyFont="1" applyFill="1" applyBorder="1" applyAlignment="1">
      <alignment horizontal="right" vertical="top"/>
    </xf>
    <xf numFmtId="3" fontId="34" fillId="4" borderId="67" xfId="26" applyNumberFormat="1" applyFont="1" applyFill="1" applyBorder="1" applyAlignment="1">
      <alignment horizontal="center" vertical="center" wrapText="1"/>
    </xf>
    <xf numFmtId="3" fontId="34" fillId="4" borderId="1" xfId="26" applyNumberFormat="1" applyFont="1" applyFill="1" applyBorder="1" applyAlignment="1">
      <alignment horizontal="center" vertical="center" wrapText="1"/>
    </xf>
    <xf numFmtId="3" fontId="34" fillId="4" borderId="67" xfId="26" applyNumberFormat="1" applyFont="1" applyFill="1" applyBorder="1" applyAlignment="1">
      <alignment horizontal="center"/>
    </xf>
    <xf numFmtId="3" fontId="34" fillId="4" borderId="53" xfId="26" applyNumberFormat="1" applyFont="1" applyFill="1" applyBorder="1" applyAlignment="1">
      <alignment horizontal="center"/>
    </xf>
    <xf numFmtId="3" fontId="34" fillId="4" borderId="54" xfId="26" applyNumberFormat="1" applyFont="1" applyFill="1" applyBorder="1" applyAlignment="1">
      <alignment horizontal="center"/>
    </xf>
    <xf numFmtId="3" fontId="34" fillId="3" borderId="33" xfId="26" applyNumberFormat="1" applyFont="1" applyFill="1" applyBorder="1" applyAlignment="1">
      <alignment horizontal="center" vertical="center" wrapText="1"/>
    </xf>
    <xf numFmtId="3" fontId="34" fillId="3" borderId="66" xfId="26" applyNumberFormat="1" applyFont="1" applyFill="1" applyBorder="1" applyAlignment="1">
      <alignment horizontal="center" vertical="center" wrapText="1"/>
    </xf>
    <xf numFmtId="3" fontId="34" fillId="3" borderId="67" xfId="26" applyNumberFormat="1" applyFont="1" applyFill="1" applyBorder="1" applyAlignment="1">
      <alignment horizontal="center"/>
    </xf>
    <xf numFmtId="3" fontId="34" fillId="3" borderId="53" xfId="26" applyNumberFormat="1" applyFont="1" applyFill="1" applyBorder="1" applyAlignment="1">
      <alignment horizontal="center"/>
    </xf>
    <xf numFmtId="3" fontId="34" fillId="3" borderId="54" xfId="26" applyNumberFormat="1" applyFont="1" applyFill="1" applyBorder="1" applyAlignment="1">
      <alignment horizontal="center"/>
    </xf>
    <xf numFmtId="0" fontId="35" fillId="0" borderId="53" xfId="0" applyFont="1" applyFill="1" applyBorder="1" applyAlignment="1">
      <alignment horizontal="right" vertical="top"/>
    </xf>
    <xf numFmtId="3" fontId="3" fillId="2" borderId="67" xfId="27" applyNumberFormat="1" applyFont="1" applyFill="1" applyBorder="1" applyAlignment="1">
      <alignment horizontal="center"/>
    </xf>
    <xf numFmtId="0" fontId="35" fillId="2" borderId="53" xfId="14" applyFont="1" applyFill="1" applyBorder="1" applyAlignment="1">
      <alignment horizontal="center"/>
    </xf>
    <xf numFmtId="0" fontId="35" fillId="2" borderId="54" xfId="14" applyFont="1" applyFill="1" applyBorder="1" applyAlignment="1">
      <alignment horizontal="center"/>
    </xf>
    <xf numFmtId="3" fontId="3" fillId="2" borderId="67" xfId="24" applyNumberFormat="1" applyFont="1" applyFill="1" applyBorder="1" applyAlignment="1">
      <alignment horizontal="center"/>
    </xf>
    <xf numFmtId="0" fontId="4" fillId="2" borderId="53" xfId="26" applyFont="1" applyFill="1" applyBorder="1" applyAlignment="1">
      <alignment horizontal="center"/>
    </xf>
    <xf numFmtId="169" fontId="3" fillId="2" borderId="33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67" xfId="26" applyNumberFormat="1" applyFont="1" applyFill="1" applyBorder="1" applyAlignment="1">
      <alignment horizontal="center"/>
    </xf>
    <xf numFmtId="3" fontId="3" fillId="2" borderId="54" xfId="26" applyNumberFormat="1" applyFont="1" applyFill="1" applyBorder="1" applyAlignment="1">
      <alignment horizontal="center"/>
    </xf>
    <xf numFmtId="49" fontId="3" fillId="2" borderId="33" xfId="26" applyNumberFormat="1" applyFont="1" applyFill="1" applyBorder="1" applyAlignment="1">
      <alignment horizontal="left" vertical="top"/>
    </xf>
    <xf numFmtId="0" fontId="3" fillId="2" borderId="67" xfId="26" quotePrefix="1" applyNumberFormat="1" applyFont="1" applyFill="1" applyBorder="1" applyAlignment="1">
      <alignment horizontal="center" vertical="top"/>
    </xf>
    <xf numFmtId="0" fontId="3" fillId="2" borderId="53" xfId="26" applyNumberFormat="1" applyFont="1" applyFill="1" applyBorder="1" applyAlignment="1">
      <alignment horizontal="center" vertical="top"/>
    </xf>
    <xf numFmtId="0" fontId="3" fillId="2" borderId="54" xfId="26" applyNumberFormat="1" applyFont="1" applyFill="1" applyBorder="1" applyAlignment="1">
      <alignment horizontal="center" vertical="top"/>
    </xf>
    <xf numFmtId="169" fontId="3" fillId="2" borderId="33" xfId="26" applyNumberFormat="1" applyFont="1" applyFill="1" applyBorder="1" applyAlignment="1">
      <alignment horizontal="left" vertical="top" wrapText="1"/>
    </xf>
    <xf numFmtId="0" fontId="34" fillId="2" borderId="33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4" fillId="2" borderId="56" xfId="76" applyNumberFormat="1" applyFont="1" applyFill="1" applyBorder="1" applyAlignment="1">
      <alignment horizontal="center" vertical="center"/>
    </xf>
    <xf numFmtId="3" fontId="34" fillId="2" borderId="58" xfId="76" applyNumberFormat="1" applyFont="1" applyFill="1" applyBorder="1" applyAlignment="1">
      <alignment horizontal="center" vertical="center"/>
    </xf>
    <xf numFmtId="3" fontId="34" fillId="2" borderId="6" xfId="76" applyNumberFormat="1" applyFont="1" applyFill="1" applyBorder="1" applyAlignment="1">
      <alignment horizontal="center"/>
    </xf>
    <xf numFmtId="3" fontId="34" fillId="2" borderId="80" xfId="76" applyNumberFormat="1" applyFont="1" applyFill="1" applyBorder="1" applyAlignment="1">
      <alignment horizontal="center"/>
    </xf>
    <xf numFmtId="3" fontId="34" fillId="2" borderId="8" xfId="76" applyNumberFormat="1" applyFont="1" applyFill="1" applyBorder="1" applyAlignment="1">
      <alignment horizontal="center"/>
    </xf>
    <xf numFmtId="3" fontId="34" fillId="2" borderId="7" xfId="76" applyNumberFormat="1" applyFont="1" applyFill="1" applyBorder="1" applyAlignment="1">
      <alignment horizontal="center"/>
    </xf>
    <xf numFmtId="3" fontId="36" fillId="10" borderId="118" xfId="0" applyNumberFormat="1" applyFont="1" applyFill="1" applyBorder="1" applyAlignment="1">
      <alignment horizontal="right" vertical="top"/>
    </xf>
    <xf numFmtId="3" fontId="36" fillId="10" borderId="119" xfId="0" applyNumberFormat="1" applyFont="1" applyFill="1" applyBorder="1" applyAlignment="1">
      <alignment horizontal="right" vertical="top"/>
    </xf>
    <xf numFmtId="176" fontId="36" fillId="10" borderId="120" xfId="0" applyNumberFormat="1" applyFont="1" applyFill="1" applyBorder="1" applyAlignment="1">
      <alignment horizontal="right" vertical="top"/>
    </xf>
    <xf numFmtId="3" fontId="36" fillId="0" borderId="118" xfId="0" applyNumberFormat="1" applyFont="1" applyBorder="1" applyAlignment="1">
      <alignment horizontal="right" vertical="top"/>
    </xf>
    <xf numFmtId="176" fontId="36" fillId="10" borderId="121" xfId="0" applyNumberFormat="1" applyFont="1" applyFill="1" applyBorder="1" applyAlignment="1">
      <alignment horizontal="right" vertical="top"/>
    </xf>
    <xf numFmtId="3" fontId="38" fillId="10" borderId="123" xfId="0" applyNumberFormat="1" applyFont="1" applyFill="1" applyBorder="1" applyAlignment="1">
      <alignment horizontal="right" vertical="top"/>
    </xf>
    <xf numFmtId="3" fontId="38" fillId="10" borderId="124" xfId="0" applyNumberFormat="1" applyFont="1" applyFill="1" applyBorder="1" applyAlignment="1">
      <alignment horizontal="right" vertical="top"/>
    </xf>
    <xf numFmtId="0" fontId="38" fillId="10" borderId="125" xfId="0" applyFont="1" applyFill="1" applyBorder="1" applyAlignment="1">
      <alignment horizontal="right" vertical="top"/>
    </xf>
    <xf numFmtId="3" fontId="38" fillId="0" borderId="123" xfId="0" applyNumberFormat="1" applyFont="1" applyBorder="1" applyAlignment="1">
      <alignment horizontal="right" vertical="top"/>
    </xf>
    <xf numFmtId="0" fontId="38" fillId="10" borderId="126" xfId="0" applyFont="1" applyFill="1" applyBorder="1" applyAlignment="1">
      <alignment horizontal="right" vertical="top"/>
    </xf>
    <xf numFmtId="0" fontId="36" fillId="10" borderId="120" xfId="0" applyFont="1" applyFill="1" applyBorder="1" applyAlignment="1">
      <alignment horizontal="right" vertical="top"/>
    </xf>
    <xf numFmtId="0" fontId="36" fillId="10" borderId="121" xfId="0" applyFont="1" applyFill="1" applyBorder="1" applyAlignment="1">
      <alignment horizontal="right" vertical="top"/>
    </xf>
    <xf numFmtId="176" fontId="38" fillId="10" borderId="125" xfId="0" applyNumberFormat="1" applyFont="1" applyFill="1" applyBorder="1" applyAlignment="1">
      <alignment horizontal="right" vertical="top"/>
    </xf>
    <xf numFmtId="176" fontId="38" fillId="10" borderId="126" xfId="0" applyNumberFormat="1" applyFont="1" applyFill="1" applyBorder="1" applyAlignment="1">
      <alignment horizontal="right" vertical="top"/>
    </xf>
    <xf numFmtId="3" fontId="38" fillId="0" borderId="127" xfId="0" applyNumberFormat="1" applyFont="1" applyBorder="1" applyAlignment="1">
      <alignment horizontal="right" vertical="top"/>
    </xf>
    <xf numFmtId="3" fontId="38" fillId="0" borderId="128" xfId="0" applyNumberFormat="1" applyFont="1" applyBorder="1" applyAlignment="1">
      <alignment horizontal="right" vertical="top"/>
    </xf>
    <xf numFmtId="3" fontId="38" fillId="0" borderId="129" xfId="0" applyNumberFormat="1" applyFont="1" applyBorder="1" applyAlignment="1">
      <alignment horizontal="right" vertical="top"/>
    </xf>
    <xf numFmtId="176" fontId="38" fillId="10" borderId="130" xfId="0" applyNumberFormat="1" applyFont="1" applyFill="1" applyBorder="1" applyAlignment="1">
      <alignment horizontal="right" vertical="top"/>
    </xf>
    <xf numFmtId="0" fontId="40" fillId="11" borderId="117" xfId="0" applyFont="1" applyFill="1" applyBorder="1" applyAlignment="1">
      <alignment vertical="top"/>
    </xf>
    <xf numFmtId="0" fontId="40" fillId="11" borderId="117" xfId="0" applyFont="1" applyFill="1" applyBorder="1" applyAlignment="1">
      <alignment vertical="top" indent="2"/>
    </xf>
    <xf numFmtId="0" fontId="40" fillId="11" borderId="117" xfId="0" applyFont="1" applyFill="1" applyBorder="1" applyAlignment="1">
      <alignment vertical="top" indent="4"/>
    </xf>
    <xf numFmtId="0" fontId="41" fillId="11" borderId="122" xfId="0" applyFont="1" applyFill="1" applyBorder="1" applyAlignment="1">
      <alignment vertical="top" indent="6"/>
    </xf>
    <xf numFmtId="0" fontId="40" fillId="11" borderId="117" xfId="0" applyFont="1" applyFill="1" applyBorder="1" applyAlignment="1">
      <alignment vertical="top" indent="8"/>
    </xf>
    <xf numFmtId="0" fontId="41" fillId="11" borderId="122" xfId="0" applyFont="1" applyFill="1" applyBorder="1" applyAlignment="1">
      <alignment vertical="top" indent="2"/>
    </xf>
    <xf numFmtId="0" fontId="40" fillId="11" borderId="117" xfId="0" applyFont="1" applyFill="1" applyBorder="1" applyAlignment="1">
      <alignment vertical="top" indent="6"/>
    </xf>
    <xf numFmtId="0" fontId="41" fillId="11" borderId="122" xfId="0" applyFont="1" applyFill="1" applyBorder="1" applyAlignment="1">
      <alignment vertical="top" indent="4"/>
    </xf>
    <xf numFmtId="0" fontId="35" fillId="11" borderId="117" xfId="0" applyFont="1" applyFill="1" applyBorder="1"/>
    <xf numFmtId="0" fontId="41" fillId="11" borderId="21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/>
    <xf numFmtId="9" fontId="32" fillId="0" borderId="0" xfId="0" applyNumberFormat="1" applyFont="1" applyFill="1" applyBorder="1"/>
    <xf numFmtId="165" fontId="34" fillId="2" borderId="131" xfId="53" applyNumberFormat="1" applyFont="1" applyFill="1" applyBorder="1" applyAlignment="1">
      <alignment horizontal="left"/>
    </xf>
    <xf numFmtId="165" fontId="34" fillId="2" borderId="132" xfId="53" applyNumberFormat="1" applyFont="1" applyFill="1" applyBorder="1" applyAlignment="1">
      <alignment horizontal="left"/>
    </xf>
    <xf numFmtId="165" fontId="34" fillId="2" borderId="63" xfId="53" applyNumberFormat="1" applyFont="1" applyFill="1" applyBorder="1" applyAlignment="1">
      <alignment horizontal="left"/>
    </xf>
    <xf numFmtId="3" fontId="34" fillId="2" borderId="63" xfId="53" applyNumberFormat="1" applyFont="1" applyFill="1" applyBorder="1" applyAlignment="1">
      <alignment horizontal="left"/>
    </xf>
    <xf numFmtId="3" fontId="34" fillId="2" borderId="71" xfId="53" applyNumberFormat="1" applyFont="1" applyFill="1" applyBorder="1" applyAlignment="1">
      <alignment horizontal="left"/>
    </xf>
    <xf numFmtId="0" fontId="35" fillId="0" borderId="89" xfId="0" applyFont="1" applyFill="1" applyBorder="1"/>
    <xf numFmtId="0" fontId="35" fillId="0" borderId="90" xfId="0" applyFont="1" applyFill="1" applyBorder="1"/>
    <xf numFmtId="165" fontId="35" fillId="0" borderId="90" xfId="0" applyNumberFormat="1" applyFont="1" applyFill="1" applyBorder="1"/>
    <xf numFmtId="165" fontId="35" fillId="0" borderId="90" xfId="0" applyNumberFormat="1" applyFont="1" applyFill="1" applyBorder="1" applyAlignment="1">
      <alignment horizontal="right"/>
    </xf>
    <xf numFmtId="3" fontId="35" fillId="0" borderId="90" xfId="0" applyNumberFormat="1" applyFont="1" applyFill="1" applyBorder="1"/>
    <xf numFmtId="3" fontId="35" fillId="0" borderId="91" xfId="0" applyNumberFormat="1" applyFont="1" applyFill="1" applyBorder="1"/>
    <xf numFmtId="0" fontId="35" fillId="0" borderId="99" xfId="0" applyFont="1" applyFill="1" applyBorder="1"/>
    <xf numFmtId="0" fontId="35" fillId="0" borderId="100" xfId="0" applyFont="1" applyFill="1" applyBorder="1"/>
    <xf numFmtId="165" fontId="35" fillId="0" borderId="100" xfId="0" applyNumberFormat="1" applyFont="1" applyFill="1" applyBorder="1"/>
    <xf numFmtId="165" fontId="35" fillId="0" borderId="100" xfId="0" applyNumberFormat="1" applyFont="1" applyFill="1" applyBorder="1" applyAlignment="1">
      <alignment horizontal="right"/>
    </xf>
    <xf numFmtId="3" fontId="35" fillId="0" borderId="100" xfId="0" applyNumberFormat="1" applyFont="1" applyFill="1" applyBorder="1"/>
    <xf numFmtId="3" fontId="35" fillId="0" borderId="101" xfId="0" applyNumberFormat="1" applyFont="1" applyFill="1" applyBorder="1"/>
    <xf numFmtId="0" fontId="35" fillId="0" borderId="92" xfId="0" applyFont="1" applyFill="1" applyBorder="1"/>
    <xf numFmtId="0" fontId="35" fillId="0" borderId="93" xfId="0" applyFont="1" applyFill="1" applyBorder="1"/>
    <xf numFmtId="165" fontId="35" fillId="0" borderId="93" xfId="0" applyNumberFormat="1" applyFont="1" applyFill="1" applyBorder="1"/>
    <xf numFmtId="165" fontId="35" fillId="0" borderId="93" xfId="0" applyNumberFormat="1" applyFont="1" applyFill="1" applyBorder="1" applyAlignment="1">
      <alignment horizontal="right"/>
    </xf>
    <xf numFmtId="3" fontId="35" fillId="0" borderId="93" xfId="0" applyNumberFormat="1" applyFont="1" applyFill="1" applyBorder="1"/>
    <xf numFmtId="3" fontId="35" fillId="0" borderId="94" xfId="0" applyNumberFormat="1" applyFont="1" applyFill="1" applyBorder="1"/>
    <xf numFmtId="0" fontId="42" fillId="2" borderId="131" xfId="0" applyFont="1" applyFill="1" applyBorder="1"/>
    <xf numFmtId="3" fontId="42" fillId="2" borderId="133" xfId="0" applyNumberFormat="1" applyFont="1" applyFill="1" applyBorder="1"/>
    <xf numFmtId="9" fontId="42" fillId="2" borderId="84" xfId="0" applyNumberFormat="1" applyFont="1" applyFill="1" applyBorder="1"/>
    <xf numFmtId="3" fontId="42" fillId="2" borderId="71" xfId="0" applyNumberFormat="1" applyFont="1" applyFill="1" applyBorder="1"/>
    <xf numFmtId="9" fontId="35" fillId="0" borderId="90" xfId="0" applyNumberFormat="1" applyFont="1" applyFill="1" applyBorder="1"/>
    <xf numFmtId="9" fontId="35" fillId="0" borderId="100" xfId="0" applyNumberFormat="1" applyFont="1" applyFill="1" applyBorder="1"/>
    <xf numFmtId="9" fontId="35" fillId="0" borderId="93" xfId="0" applyNumberFormat="1" applyFont="1" applyFill="1" applyBorder="1"/>
    <xf numFmtId="3" fontId="35" fillId="0" borderId="106" xfId="0" applyNumberFormat="1" applyFont="1" applyFill="1" applyBorder="1"/>
    <xf numFmtId="9" fontId="35" fillId="0" borderId="106" xfId="0" applyNumberFormat="1" applyFont="1" applyFill="1" applyBorder="1"/>
    <xf numFmtId="3" fontId="35" fillId="0" borderId="107" xfId="0" applyNumberFormat="1" applyFont="1" applyFill="1" applyBorder="1"/>
    <xf numFmtId="9" fontId="35" fillId="0" borderId="30" xfId="0" applyNumberFormat="1" applyFont="1" applyFill="1" applyBorder="1"/>
    <xf numFmtId="0" fontId="42" fillId="11" borderId="22" xfId="0" applyFont="1" applyFill="1" applyBorder="1"/>
    <xf numFmtId="3" fontId="42" fillId="11" borderId="30" xfId="0" applyNumberFormat="1" applyFont="1" applyFill="1" applyBorder="1"/>
    <xf numFmtId="9" fontId="42" fillId="11" borderId="30" xfId="0" applyNumberFormat="1" applyFont="1" applyFill="1" applyBorder="1"/>
    <xf numFmtId="3" fontId="42" fillId="11" borderId="23" xfId="0" applyNumberFormat="1" applyFont="1" applyFill="1" applyBorder="1"/>
    <xf numFmtId="0" fontId="42" fillId="0" borderId="89" xfId="0" applyFont="1" applyFill="1" applyBorder="1"/>
    <xf numFmtId="0" fontId="42" fillId="0" borderId="99" xfId="0" applyFont="1" applyFill="1" applyBorder="1"/>
    <xf numFmtId="0" fontId="42" fillId="0" borderId="134" xfId="0" applyFont="1" applyFill="1" applyBorder="1"/>
    <xf numFmtId="0" fontId="35" fillId="5" borderId="12" xfId="0" applyFont="1" applyFill="1" applyBorder="1" applyAlignment="1">
      <alignment wrapText="1"/>
    </xf>
    <xf numFmtId="0" fontId="42" fillId="2" borderId="132" xfId="0" applyFont="1" applyFill="1" applyBorder="1"/>
    <xf numFmtId="3" fontId="42" fillId="2" borderId="0" xfId="0" applyNumberFormat="1" applyFont="1" applyFill="1" applyBorder="1"/>
    <xf numFmtId="3" fontId="42" fillId="2" borderId="19" xfId="0" applyNumberFormat="1" applyFont="1" applyFill="1" applyBorder="1"/>
    <xf numFmtId="0" fontId="3" fillId="2" borderId="131" xfId="79" applyFont="1" applyFill="1" applyBorder="1" applyAlignment="1">
      <alignment horizontal="left"/>
    </xf>
    <xf numFmtId="0" fontId="42" fillId="11" borderId="136" xfId="0" applyFont="1" applyFill="1" applyBorder="1"/>
    <xf numFmtId="0" fontId="42" fillId="11" borderId="137" xfId="0" applyFont="1" applyFill="1" applyBorder="1"/>
    <xf numFmtId="0" fontId="42" fillId="11" borderId="138" xfId="0" applyFont="1" applyFill="1" applyBorder="1"/>
    <xf numFmtId="3" fontId="3" fillId="2" borderId="106" xfId="80" applyNumberFormat="1" applyFont="1" applyFill="1" applyBorder="1"/>
    <xf numFmtId="0" fontId="3" fillId="2" borderId="106" xfId="80" applyFont="1" applyFill="1" applyBorder="1"/>
    <xf numFmtId="3" fontId="35" fillId="0" borderId="89" xfId="0" applyNumberFormat="1" applyFont="1" applyFill="1" applyBorder="1"/>
    <xf numFmtId="0" fontId="35" fillId="0" borderId="11" xfId="0" applyFont="1" applyFill="1" applyBorder="1"/>
    <xf numFmtId="3" fontId="35" fillId="0" borderId="92" xfId="0" applyNumberFormat="1" applyFont="1" applyFill="1" applyBorder="1"/>
    <xf numFmtId="0" fontId="35" fillId="0" borderId="26" xfId="0" applyFont="1" applyFill="1" applyBorder="1"/>
    <xf numFmtId="3" fontId="35" fillId="0" borderId="26" xfId="0" applyNumberFormat="1" applyFont="1" applyFill="1" applyBorder="1"/>
    <xf numFmtId="3" fontId="35" fillId="0" borderId="116" xfId="0" applyNumberFormat="1" applyFont="1" applyFill="1" applyBorder="1"/>
    <xf numFmtId="3" fontId="35" fillId="0" borderId="17" xfId="0" applyNumberFormat="1" applyFont="1" applyFill="1" applyBorder="1"/>
    <xf numFmtId="3" fontId="35" fillId="0" borderId="62" xfId="0" applyNumberFormat="1" applyFont="1" applyFill="1" applyBorder="1"/>
    <xf numFmtId="9" fontId="3" fillId="2" borderId="106" xfId="80" applyNumberFormat="1" applyFont="1" applyFill="1" applyBorder="1"/>
    <xf numFmtId="9" fontId="3" fillId="2" borderId="16" xfId="80" applyNumberFormat="1" applyFont="1" applyFill="1" applyBorder="1"/>
    <xf numFmtId="0" fontId="35" fillId="0" borderId="10" xfId="0" applyFont="1" applyFill="1" applyBorder="1"/>
    <xf numFmtId="9" fontId="35" fillId="0" borderId="91" xfId="0" applyNumberFormat="1" applyFont="1" applyFill="1" applyBorder="1"/>
    <xf numFmtId="9" fontId="35" fillId="0" borderId="11" xfId="0" applyNumberFormat="1" applyFont="1" applyFill="1" applyBorder="1"/>
    <xf numFmtId="9" fontId="35" fillId="0" borderId="26" xfId="0" applyNumberFormat="1" applyFont="1" applyFill="1" applyBorder="1"/>
    <xf numFmtId="9" fontId="35" fillId="0" borderId="25" xfId="0" applyNumberFormat="1" applyFont="1" applyFill="1" applyBorder="1"/>
    <xf numFmtId="0" fontId="35" fillId="0" borderId="136" xfId="0" applyFont="1" applyFill="1" applyBorder="1"/>
    <xf numFmtId="0" fontId="35" fillId="0" borderId="9" xfId="0" applyFont="1" applyFill="1" applyBorder="1"/>
    <xf numFmtId="0" fontId="35" fillId="0" borderId="51" xfId="0" applyFont="1" applyFill="1" applyBorder="1"/>
    <xf numFmtId="3" fontId="35" fillId="0" borderId="112" xfId="0" applyNumberFormat="1" applyFont="1" applyFill="1" applyBorder="1"/>
    <xf numFmtId="3" fontId="35" fillId="0" borderId="13" xfId="0" applyNumberFormat="1" applyFont="1" applyFill="1" applyBorder="1"/>
    <xf numFmtId="3" fontId="35" fillId="0" borderId="35" xfId="0" applyNumberFormat="1" applyFont="1" applyFill="1" applyBorder="1"/>
    <xf numFmtId="0" fontId="3" fillId="2" borderId="139" xfId="79" applyFont="1" applyFill="1" applyBorder="1" applyAlignment="1">
      <alignment horizontal="left"/>
    </xf>
    <xf numFmtId="0" fontId="3" fillId="2" borderId="140" xfId="79" applyFont="1" applyFill="1" applyBorder="1" applyAlignment="1">
      <alignment horizontal="left"/>
    </xf>
    <xf numFmtId="0" fontId="3" fillId="2" borderId="141" xfId="80" applyFont="1" applyFill="1" applyBorder="1" applyAlignment="1">
      <alignment horizontal="left"/>
    </xf>
    <xf numFmtId="0" fontId="3" fillId="2" borderId="141" xfId="79" applyFont="1" applyFill="1" applyBorder="1" applyAlignment="1">
      <alignment horizontal="left"/>
    </xf>
    <xf numFmtId="0" fontId="3" fillId="2" borderId="142" xfId="79" applyFont="1" applyFill="1" applyBorder="1" applyAlignment="1">
      <alignment horizontal="left"/>
    </xf>
    <xf numFmtId="0" fontId="35" fillId="0" borderId="27" xfId="0" applyFont="1" applyFill="1" applyBorder="1"/>
    <xf numFmtId="0" fontId="35" fillId="0" borderId="32" xfId="0" applyFont="1" applyFill="1" applyBorder="1"/>
    <xf numFmtId="0" fontId="35" fillId="0" borderId="32" xfId="0" applyFont="1" applyFill="1" applyBorder="1" applyAlignment="1">
      <alignment horizontal="right"/>
    </xf>
    <xf numFmtId="0" fontId="35" fillId="0" borderId="32" xfId="0" applyFont="1" applyFill="1" applyBorder="1" applyAlignment="1">
      <alignment horizontal="left"/>
    </xf>
    <xf numFmtId="165" fontId="35" fillId="0" borderId="32" xfId="0" applyNumberFormat="1" applyFont="1" applyFill="1" applyBorder="1"/>
    <xf numFmtId="166" fontId="35" fillId="0" borderId="32" xfId="0" applyNumberFormat="1" applyFont="1" applyFill="1" applyBorder="1"/>
    <xf numFmtId="9" fontId="35" fillId="0" borderId="32" xfId="0" applyNumberFormat="1" applyFont="1" applyFill="1" applyBorder="1"/>
    <xf numFmtId="0" fontId="35" fillId="0" borderId="11" xfId="0" applyFont="1" applyFill="1" applyBorder="1" applyAlignment="1">
      <alignment horizontal="right"/>
    </xf>
    <xf numFmtId="0" fontId="35" fillId="0" borderId="11" xfId="0" applyFont="1" applyFill="1" applyBorder="1" applyAlignment="1">
      <alignment horizontal="left"/>
    </xf>
    <xf numFmtId="165" fontId="35" fillId="0" borderId="11" xfId="0" applyNumberFormat="1" applyFont="1" applyFill="1" applyBorder="1"/>
    <xf numFmtId="166" fontId="35" fillId="0" borderId="11" xfId="0" applyNumberFormat="1" applyFont="1" applyFill="1" applyBorder="1"/>
    <xf numFmtId="0" fontId="35" fillId="0" borderId="26" xfId="0" applyFont="1" applyFill="1" applyBorder="1" applyAlignment="1">
      <alignment horizontal="right"/>
    </xf>
    <xf numFmtId="0" fontId="35" fillId="0" borderId="26" xfId="0" applyFont="1" applyFill="1" applyBorder="1" applyAlignment="1">
      <alignment horizontal="left"/>
    </xf>
    <xf numFmtId="165" fontId="35" fillId="0" borderId="26" xfId="0" applyNumberFormat="1" applyFont="1" applyFill="1" applyBorder="1"/>
    <xf numFmtId="166" fontId="35" fillId="0" borderId="26" xfId="0" applyNumberFormat="1" applyFont="1" applyFill="1" applyBorder="1"/>
    <xf numFmtId="0" fontId="42" fillId="2" borderId="56" xfId="0" applyFont="1" applyFill="1" applyBorder="1"/>
    <xf numFmtId="3" fontId="35" fillId="0" borderId="28" xfId="0" applyNumberFormat="1" applyFont="1" applyFill="1" applyBorder="1"/>
    <xf numFmtId="3" fontId="35" fillId="0" borderId="12" xfId="0" applyNumberFormat="1" applyFont="1" applyFill="1" applyBorder="1"/>
    <xf numFmtId="3" fontId="35" fillId="0" borderId="25" xfId="0" applyNumberFormat="1" applyFont="1" applyFill="1" applyBorder="1"/>
    <xf numFmtId="3" fontId="35" fillId="0" borderId="16" xfId="0" applyNumberFormat="1" applyFont="1" applyFill="1" applyBorder="1"/>
    <xf numFmtId="0" fontId="42" fillId="0" borderId="27" xfId="0" applyFont="1" applyFill="1" applyBorder="1"/>
    <xf numFmtId="0" fontId="42" fillId="0" borderId="10" xfId="0" applyFont="1" applyFill="1" applyBorder="1"/>
    <xf numFmtId="0" fontId="42" fillId="0" borderId="14" xfId="0" applyFont="1" applyFill="1" applyBorder="1"/>
    <xf numFmtId="0" fontId="42" fillId="2" borderId="58" xfId="0" applyFont="1" applyFill="1" applyBorder="1"/>
    <xf numFmtId="165" fontId="34" fillId="2" borderId="56" xfId="53" applyNumberFormat="1" applyFont="1" applyFill="1" applyBorder="1" applyAlignment="1">
      <alignment horizontal="left"/>
    </xf>
    <xf numFmtId="165" fontId="34" fillId="2" borderId="58" xfId="53" applyNumberFormat="1" applyFont="1" applyFill="1" applyBorder="1" applyAlignment="1">
      <alignment horizontal="left"/>
    </xf>
    <xf numFmtId="165" fontId="35" fillId="0" borderId="32" xfId="0" applyNumberFormat="1" applyFont="1" applyFill="1" applyBorder="1" applyAlignment="1">
      <alignment horizontal="right"/>
    </xf>
    <xf numFmtId="165" fontId="35" fillId="0" borderId="11" xfId="0" applyNumberFormat="1" applyFont="1" applyFill="1" applyBorder="1" applyAlignment="1">
      <alignment horizontal="right"/>
    </xf>
    <xf numFmtId="165" fontId="35" fillId="0" borderId="26" xfId="0" applyNumberFormat="1" applyFont="1" applyFill="1" applyBorder="1" applyAlignment="1">
      <alignment horizontal="right"/>
    </xf>
    <xf numFmtId="0" fontId="35" fillId="2" borderId="71" xfId="0" applyFont="1" applyFill="1" applyBorder="1" applyAlignment="1">
      <alignment vertical="center"/>
    </xf>
    <xf numFmtId="0" fontId="34" fillId="2" borderId="18" xfId="26" applyNumberFormat="1" applyFont="1" applyFill="1" applyBorder="1"/>
    <xf numFmtId="0" fontId="34" fillId="2" borderId="0" xfId="26" applyNumberFormat="1" applyFont="1" applyFill="1" applyBorder="1"/>
    <xf numFmtId="0" fontId="34" fillId="2" borderId="19" xfId="26" applyNumberFormat="1" applyFont="1" applyFill="1" applyBorder="1" applyAlignment="1">
      <alignment horizontal="right"/>
    </xf>
    <xf numFmtId="170" fontId="35" fillId="0" borderId="32" xfId="0" applyNumberFormat="1" applyFont="1" applyFill="1" applyBorder="1"/>
    <xf numFmtId="170" fontId="35" fillId="0" borderId="11" xfId="0" applyNumberFormat="1" applyFont="1" applyFill="1" applyBorder="1"/>
    <xf numFmtId="170" fontId="35" fillId="0" borderId="26" xfId="0" applyNumberFormat="1" applyFont="1" applyFill="1" applyBorder="1"/>
    <xf numFmtId="0" fontId="42" fillId="0" borderId="92" xfId="0" applyFont="1" applyFill="1" applyBorder="1"/>
    <xf numFmtId="0" fontId="64" fillId="0" borderId="0" xfId="0" applyFont="1" applyFill="1"/>
    <xf numFmtId="0" fontId="65" fillId="0" borderId="0" xfId="0" applyFont="1" applyFill="1"/>
    <xf numFmtId="0" fontId="35" fillId="2" borderId="34" xfId="0" applyFont="1" applyFill="1" applyBorder="1" applyAlignment="1">
      <alignment horizontal="center" vertical="top" wrapText="1"/>
    </xf>
    <xf numFmtId="0" fontId="34" fillId="2" borderId="34" xfId="0" applyFont="1" applyFill="1" applyBorder="1" applyAlignment="1">
      <alignment horizontal="center" vertical="top"/>
    </xf>
    <xf numFmtId="49" fontId="34" fillId="2" borderId="34" xfId="0" applyNumberFormat="1" applyFont="1" applyFill="1" applyBorder="1" applyAlignment="1">
      <alignment horizontal="center" vertical="top"/>
    </xf>
    <xf numFmtId="0" fontId="34" fillId="2" borderId="34" xfId="0" applyFont="1" applyFill="1" applyBorder="1" applyAlignment="1">
      <alignment horizontal="center" vertical="center"/>
    </xf>
    <xf numFmtId="3" fontId="34" fillId="2" borderId="18" xfId="0" applyNumberFormat="1" applyFont="1" applyFill="1" applyBorder="1" applyAlignment="1">
      <alignment horizontal="left"/>
    </xf>
    <xf numFmtId="3" fontId="34" fillId="2" borderId="19" xfId="0" applyNumberFormat="1" applyFont="1" applyFill="1" applyBorder="1" applyAlignment="1">
      <alignment horizontal="center"/>
    </xf>
    <xf numFmtId="3" fontId="34" fillId="2" borderId="0" xfId="0" applyNumberFormat="1" applyFont="1" applyFill="1" applyBorder="1" applyAlignment="1">
      <alignment horizontal="center"/>
    </xf>
    <xf numFmtId="9" fontId="46" fillId="2" borderId="19" xfId="0" applyNumberFormat="1" applyFont="1" applyFill="1" applyBorder="1" applyAlignment="1">
      <alignment horizontal="center" vertical="top"/>
    </xf>
    <xf numFmtId="3" fontId="34" fillId="2" borderId="19" xfId="0" applyNumberFormat="1" applyFont="1" applyFill="1" applyBorder="1" applyAlignment="1">
      <alignment horizontal="center" vertical="top"/>
    </xf>
    <xf numFmtId="170" fontId="35" fillId="0" borderId="30" xfId="0" applyNumberFormat="1" applyFont="1" applyFill="1" applyBorder="1"/>
    <xf numFmtId="0" fontId="35" fillId="0" borderId="30" xfId="0" applyFont="1" applyFill="1" applyBorder="1"/>
    <xf numFmtId="9" fontId="35" fillId="0" borderId="23" xfId="0" applyNumberFormat="1" applyFont="1" applyFill="1" applyBorder="1"/>
    <xf numFmtId="0" fontId="42" fillId="0" borderId="22" xfId="0" applyFont="1" applyFill="1" applyBorder="1"/>
    <xf numFmtId="0" fontId="34" fillId="2" borderId="18" xfId="0" applyNumberFormat="1" applyFont="1" applyFill="1" applyBorder="1" applyAlignment="1">
      <alignment horizontal="left"/>
    </xf>
    <xf numFmtId="0" fontId="34" fillId="2" borderId="19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46" fillId="2" borderId="19" xfId="0" applyNumberFormat="1" applyFont="1" applyFill="1" applyBorder="1" applyAlignment="1">
      <alignment horizontal="center" vertical="top"/>
    </xf>
    <xf numFmtId="3" fontId="12" fillId="0" borderId="135" xfId="0" applyNumberFormat="1" applyFont="1" applyBorder="1"/>
    <xf numFmtId="167" fontId="12" fillId="0" borderId="135" xfId="0" applyNumberFormat="1" applyFont="1" applyBorder="1"/>
    <xf numFmtId="167" fontId="12" fillId="0" borderId="104" xfId="0" applyNumberFormat="1" applyFont="1" applyBorder="1"/>
    <xf numFmtId="167" fontId="5" fillId="0" borderId="135" xfId="0" applyNumberFormat="1" applyFont="1" applyBorder="1" applyAlignment="1">
      <alignment horizontal="right"/>
    </xf>
    <xf numFmtId="167" fontId="5" fillId="0" borderId="104" xfId="0" applyNumberFormat="1" applyFont="1" applyBorder="1" applyAlignment="1">
      <alignment horizontal="right"/>
    </xf>
    <xf numFmtId="3" fontId="5" fillId="0" borderId="135" xfId="0" applyNumberFormat="1" applyFont="1" applyBorder="1" applyAlignment="1">
      <alignment horizontal="right"/>
    </xf>
    <xf numFmtId="177" fontId="5" fillId="0" borderId="135" xfId="0" applyNumberFormat="1" applyFont="1" applyBorder="1" applyAlignment="1">
      <alignment horizontal="right"/>
    </xf>
    <xf numFmtId="4" fontId="5" fillId="0" borderId="135" xfId="0" applyNumberFormat="1" applyFont="1" applyBorder="1" applyAlignment="1">
      <alignment horizontal="right"/>
    </xf>
    <xf numFmtId="3" fontId="5" fillId="0" borderId="135" xfId="0" applyNumberFormat="1" applyFont="1" applyBorder="1"/>
    <xf numFmtId="3" fontId="11" fillId="0" borderId="20" xfId="0" applyNumberFormat="1" applyFont="1" applyBorder="1" applyAlignment="1">
      <alignment horizontal="center"/>
    </xf>
    <xf numFmtId="3" fontId="12" fillId="0" borderId="135" xfId="0" applyNumberFormat="1" applyFont="1" applyBorder="1" applyAlignment="1">
      <alignment horizontal="right"/>
    </xf>
    <xf numFmtId="167" fontId="12" fillId="0" borderId="135" xfId="0" applyNumberFormat="1" applyFont="1" applyBorder="1" applyAlignment="1">
      <alignment horizontal="right"/>
    </xf>
    <xf numFmtId="167" fontId="12" fillId="0" borderId="104" xfId="0" applyNumberFormat="1" applyFont="1" applyBorder="1" applyAlignment="1">
      <alignment horizontal="right"/>
    </xf>
    <xf numFmtId="167" fontId="11" fillId="0" borderId="104" xfId="0" applyNumberFormat="1" applyFont="1" applyBorder="1" applyAlignment="1">
      <alignment horizontal="right"/>
    </xf>
    <xf numFmtId="167" fontId="12" fillId="0" borderId="19" xfId="0" applyNumberFormat="1" applyFont="1" applyBorder="1" applyAlignment="1">
      <alignment horizontal="right"/>
    </xf>
    <xf numFmtId="167" fontId="5" fillId="0" borderId="19" xfId="0" applyNumberFormat="1" applyFont="1" applyBorder="1" applyAlignment="1">
      <alignment horizontal="right"/>
    </xf>
    <xf numFmtId="3" fontId="11" fillId="0" borderId="34" xfId="0" applyNumberFormat="1" applyFont="1" applyBorder="1" applyAlignment="1">
      <alignment horizontal="center"/>
    </xf>
    <xf numFmtId="167" fontId="11" fillId="0" borderId="19" xfId="0" applyNumberFormat="1" applyFont="1" applyBorder="1" applyAlignment="1">
      <alignment horizontal="right"/>
    </xf>
    <xf numFmtId="167" fontId="12" fillId="0" borderId="19" xfId="0" applyNumberFormat="1" applyFont="1" applyBorder="1"/>
    <xf numFmtId="3" fontId="35" fillId="0" borderId="135" xfId="0" applyNumberFormat="1" applyFont="1" applyBorder="1" applyAlignment="1">
      <alignment horizontal="right"/>
    </xf>
    <xf numFmtId="0" fontId="5" fillId="0" borderId="135" xfId="0" applyFont="1" applyBorder="1"/>
    <xf numFmtId="3" fontId="35" fillId="0" borderId="135" xfId="0" applyNumberFormat="1" applyFont="1" applyBorder="1"/>
    <xf numFmtId="9" fontId="35" fillId="0" borderId="135" xfId="0" applyNumberFormat="1" applyFont="1" applyBorder="1"/>
    <xf numFmtId="167" fontId="35" fillId="0" borderId="135" xfId="0" applyNumberFormat="1" applyFont="1" applyBorder="1"/>
    <xf numFmtId="167" fontId="35" fillId="0" borderId="104" xfId="0" applyNumberFormat="1" applyFont="1" applyBorder="1"/>
    <xf numFmtId="167" fontId="35" fillId="0" borderId="19" xfId="0" applyNumberFormat="1" applyFont="1" applyBorder="1"/>
    <xf numFmtId="49" fontId="3" fillId="2" borderId="34" xfId="26" applyNumberFormat="1" applyFont="1" applyFill="1" applyBorder="1" applyAlignment="1">
      <alignment horizontal="left" vertical="top"/>
    </xf>
    <xf numFmtId="169" fontId="3" fillId="2" borderId="18" xfId="26" applyNumberFormat="1" applyFont="1" applyFill="1" applyBorder="1" applyAlignment="1">
      <alignment horizontal="left" vertical="top"/>
    </xf>
    <xf numFmtId="169" fontId="3" fillId="2" borderId="0" xfId="26" applyNumberFormat="1" applyFont="1" applyFill="1" applyBorder="1" applyAlignment="1">
      <alignment horizontal="left" vertical="top"/>
    </xf>
    <xf numFmtId="169" fontId="3" fillId="2" borderId="19" xfId="26" applyNumberFormat="1" applyFont="1" applyFill="1" applyBorder="1" applyAlignment="1">
      <alignment horizontal="left" vertical="top"/>
    </xf>
    <xf numFmtId="169" fontId="3" fillId="2" borderId="34" xfId="26" applyNumberFormat="1" applyFont="1" applyFill="1" applyBorder="1" applyAlignment="1">
      <alignment horizontal="left" vertical="top" wrapText="1"/>
    </xf>
    <xf numFmtId="169" fontId="3" fillId="2" borderId="34" xfId="26" applyNumberFormat="1" applyFont="1" applyFill="1" applyBorder="1" applyAlignment="1">
      <alignment horizontal="left" vertical="top"/>
    </xf>
    <xf numFmtId="169" fontId="3" fillId="2" borderId="34" xfId="26" applyNumberFormat="1" applyFont="1" applyFill="1" applyBorder="1" applyAlignment="1">
      <alignment horizontal="left" vertical="top"/>
    </xf>
    <xf numFmtId="3" fontId="3" fillId="2" borderId="34" xfId="26" applyNumberFormat="1" applyFont="1" applyFill="1" applyBorder="1" applyAlignment="1">
      <alignment horizontal="center" vertical="top"/>
    </xf>
    <xf numFmtId="3" fontId="3" fillId="2" borderId="18" xfId="26" applyNumberFormat="1" applyFont="1" applyFill="1" applyBorder="1" applyAlignment="1">
      <alignment horizontal="left" vertical="center"/>
    </xf>
    <xf numFmtId="3" fontId="3" fillId="2" borderId="19" xfId="26" applyNumberFormat="1" applyFont="1" applyFill="1" applyBorder="1" applyAlignment="1">
      <alignment horizontal="left" vertical="center"/>
    </xf>
    <xf numFmtId="169" fontId="3" fillId="2" borderId="18" xfId="24" applyNumberFormat="1" applyFont="1" applyFill="1" applyBorder="1" applyAlignment="1">
      <alignment horizontal="left" vertical="center" wrapText="1"/>
    </xf>
    <xf numFmtId="169" fontId="3" fillId="2" borderId="0" xfId="24" applyNumberFormat="1" applyFont="1" applyFill="1" applyBorder="1" applyAlignment="1">
      <alignment horizontal="left" vertical="center" wrapText="1"/>
    </xf>
    <xf numFmtId="9" fontId="3" fillId="2" borderId="19" xfId="24" applyNumberFormat="1" applyFont="1" applyFill="1" applyBorder="1" applyAlignment="1">
      <alignment horizontal="left" vertical="center" wrapText="1"/>
    </xf>
    <xf numFmtId="167" fontId="3" fillId="2" borderId="19" xfId="24" applyNumberFormat="1" applyFont="1" applyFill="1" applyBorder="1" applyAlignment="1">
      <alignment horizontal="left" vertical="center" wrapText="1"/>
    </xf>
    <xf numFmtId="3" fontId="12" fillId="0" borderId="53" xfId="0" applyNumberFormat="1" applyFont="1" applyBorder="1"/>
    <xf numFmtId="167" fontId="12" fillId="0" borderId="53" xfId="0" applyNumberFormat="1" applyFont="1" applyBorder="1"/>
    <xf numFmtId="167" fontId="12" fillId="0" borderId="54" xfId="0" applyNumberFormat="1" applyFont="1" applyBorder="1"/>
    <xf numFmtId="3" fontId="35" fillId="0" borderId="53" xfId="0" applyNumberFormat="1" applyFont="1" applyBorder="1" applyAlignment="1">
      <alignment horizontal="right"/>
    </xf>
    <xf numFmtId="167" fontId="5" fillId="0" borderId="53" xfId="0" applyNumberFormat="1" applyFont="1" applyBorder="1" applyAlignment="1">
      <alignment horizontal="right"/>
    </xf>
    <xf numFmtId="167" fontId="5" fillId="0" borderId="54" xfId="0" applyNumberFormat="1" applyFont="1" applyBorder="1" applyAlignment="1">
      <alignment horizontal="right"/>
    </xf>
    <xf numFmtId="3" fontId="5" fillId="0" borderId="53" xfId="0" applyNumberFormat="1" applyFont="1" applyBorder="1" applyAlignment="1">
      <alignment horizontal="right"/>
    </xf>
    <xf numFmtId="177" fontId="5" fillId="0" borderId="53" xfId="0" applyNumberFormat="1" applyFont="1" applyBorder="1" applyAlignment="1">
      <alignment horizontal="right"/>
    </xf>
    <xf numFmtId="4" fontId="5" fillId="0" borderId="53" xfId="0" applyNumberFormat="1" applyFont="1" applyBorder="1" applyAlignment="1">
      <alignment horizontal="right"/>
    </xf>
    <xf numFmtId="0" fontId="5" fillId="0" borderId="53" xfId="0" applyFont="1" applyBorder="1"/>
    <xf numFmtId="3" fontId="5" fillId="0" borderId="53" xfId="0" applyNumberFormat="1" applyFont="1" applyBorder="1"/>
    <xf numFmtId="3" fontId="35" fillId="0" borderId="53" xfId="0" applyNumberFormat="1" applyFont="1" applyBorder="1"/>
    <xf numFmtId="9" fontId="35" fillId="0" borderId="53" xfId="0" applyNumberFormat="1" applyFont="1" applyBorder="1"/>
    <xf numFmtId="3" fontId="11" fillId="0" borderId="33" xfId="0" applyNumberFormat="1" applyFont="1" applyBorder="1" applyAlignment="1">
      <alignment horizontal="center"/>
    </xf>
    <xf numFmtId="3" fontId="35" fillId="0" borderId="0" xfId="0" applyNumberFormat="1" applyFont="1" applyBorder="1"/>
    <xf numFmtId="167" fontId="35" fillId="0" borderId="0" xfId="0" applyNumberFormat="1" applyFont="1" applyBorder="1"/>
    <xf numFmtId="3" fontId="12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67" fontId="5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9" fontId="35" fillId="0" borderId="0" xfId="0" applyNumberFormat="1" applyFont="1" applyBorder="1"/>
    <xf numFmtId="3" fontId="35" fillId="0" borderId="0" xfId="0" applyNumberFormat="1" applyFont="1" applyBorder="1" applyAlignment="1">
      <alignment horizontal="right"/>
    </xf>
    <xf numFmtId="3" fontId="12" fillId="0" borderId="0" xfId="0" applyNumberFormat="1" applyFont="1" applyBorder="1"/>
    <xf numFmtId="167" fontId="12" fillId="0" borderId="0" xfId="0" applyNumberFormat="1" applyFont="1" applyBorder="1"/>
    <xf numFmtId="49" fontId="3" fillId="0" borderId="33" xfId="0" applyNumberFormat="1" applyFont="1" applyBorder="1" applyAlignment="1">
      <alignment horizontal="center"/>
    </xf>
    <xf numFmtId="49" fontId="3" fillId="0" borderId="20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66" xfId="0" applyNumberFormat="1" applyFont="1" applyBorder="1" applyAlignment="1">
      <alignment horizontal="center"/>
    </xf>
    <xf numFmtId="3" fontId="35" fillId="0" borderId="2" xfId="0" applyNumberFormat="1" applyFont="1" applyBorder="1"/>
    <xf numFmtId="167" fontId="35" fillId="0" borderId="2" xfId="0" applyNumberFormat="1" applyFont="1" applyBorder="1"/>
    <xf numFmtId="167" fontId="35" fillId="0" borderId="3" xfId="0" applyNumberFormat="1" applyFont="1" applyBorder="1"/>
    <xf numFmtId="3" fontId="35" fillId="0" borderId="2" xfId="0" applyNumberFormat="1" applyFont="1" applyBorder="1" applyAlignment="1">
      <alignment horizontal="right"/>
    </xf>
    <xf numFmtId="167" fontId="5" fillId="0" borderId="2" xfId="0" applyNumberFormat="1" applyFont="1" applyBorder="1" applyAlignment="1">
      <alignment horizontal="right"/>
    </xf>
    <xf numFmtId="167" fontId="5" fillId="0" borderId="3" xfId="0" applyNumberFormat="1" applyFont="1" applyBorder="1" applyAlignment="1">
      <alignment horizontal="right"/>
    </xf>
    <xf numFmtId="3" fontId="12" fillId="0" borderId="2" xfId="0" applyNumberFormat="1" applyFont="1" applyBorder="1" applyAlignment="1">
      <alignment horizontal="right"/>
    </xf>
    <xf numFmtId="167" fontId="12" fillId="0" borderId="2" xfId="0" applyNumberFormat="1" applyFont="1" applyBorder="1" applyAlignment="1">
      <alignment horizontal="right"/>
    </xf>
    <xf numFmtId="167" fontId="12" fillId="0" borderId="3" xfId="0" applyNumberFormat="1" applyFont="1" applyBorder="1" applyAlignment="1">
      <alignment horizontal="right"/>
    </xf>
    <xf numFmtId="177" fontId="5" fillId="0" borderId="2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0" fontId="5" fillId="0" borderId="2" xfId="0" applyFont="1" applyBorder="1"/>
    <xf numFmtId="3" fontId="5" fillId="0" borderId="2" xfId="0" applyNumberFormat="1" applyFont="1" applyBorder="1"/>
    <xf numFmtId="9" fontId="35" fillId="0" borderId="2" xfId="0" applyNumberFormat="1" applyFont="1" applyBorder="1"/>
    <xf numFmtId="3" fontId="11" fillId="0" borderId="66" xfId="0" applyNumberFormat="1" applyFont="1" applyBorder="1" applyAlignment="1">
      <alignment horizontal="center"/>
    </xf>
    <xf numFmtId="0" fontId="32" fillId="2" borderId="34" xfId="0" applyFont="1" applyFill="1" applyBorder="1" applyAlignment="1">
      <alignment vertical="center" wrapText="1"/>
    </xf>
    <xf numFmtId="0" fontId="34" fillId="2" borderId="18" xfId="26" applyNumberFormat="1" applyFont="1" applyFill="1" applyBorder="1" applyAlignment="1">
      <alignment horizontal="right"/>
    </xf>
    <xf numFmtId="0" fontId="34" fillId="2" borderId="0" xfId="26" applyNumberFormat="1" applyFont="1" applyFill="1" applyBorder="1" applyAlignment="1">
      <alignment horizontal="right"/>
    </xf>
    <xf numFmtId="3" fontId="34" fillId="2" borderId="83" xfId="76" applyNumberFormat="1" applyFont="1" applyFill="1" applyBorder="1" applyAlignment="1">
      <alignment horizontal="center" vertical="center"/>
    </xf>
    <xf numFmtId="3" fontId="34" fillId="2" borderId="63" xfId="76" applyNumberFormat="1" applyFont="1" applyFill="1" applyBorder="1" applyAlignment="1">
      <alignment horizontal="center" vertical="center"/>
    </xf>
    <xf numFmtId="0" fontId="32" fillId="0" borderId="22" xfId="76" applyFont="1" applyFill="1" applyBorder="1"/>
    <xf numFmtId="0" fontId="32" fillId="0" borderId="55" xfId="76" applyFont="1" applyFill="1" applyBorder="1"/>
    <xf numFmtId="0" fontId="34" fillId="2" borderId="106" xfId="76" applyNumberFormat="1" applyFont="1" applyFill="1" applyBorder="1" applyAlignment="1">
      <alignment horizontal="left"/>
    </xf>
    <xf numFmtId="0" fontId="34" fillId="2" borderId="143" xfId="76" applyNumberFormat="1" applyFont="1" applyFill="1" applyBorder="1" applyAlignment="1">
      <alignment horizontal="left"/>
    </xf>
    <xf numFmtId="3" fontId="32" fillId="0" borderId="22" xfId="76" applyNumberFormat="1" applyFont="1" applyFill="1" applyBorder="1"/>
    <xf numFmtId="3" fontId="32" fillId="0" borderId="30" xfId="76" applyNumberFormat="1" applyFont="1" applyFill="1" applyBorder="1"/>
    <xf numFmtId="9" fontId="32" fillId="0" borderId="55" xfId="76" applyNumberFormat="1" applyFont="1" applyFill="1" applyBorder="1"/>
    <xf numFmtId="0" fontId="34" fillId="2" borderId="105" xfId="76" applyNumberFormat="1" applyFont="1" applyFill="1" applyBorder="1" applyAlignment="1">
      <alignment horizontal="left"/>
    </xf>
    <xf numFmtId="170" fontId="32" fillId="0" borderId="22" xfId="76" applyNumberFormat="1" applyFont="1" applyFill="1" applyBorder="1"/>
    <xf numFmtId="170" fontId="32" fillId="0" borderId="30" xfId="76" applyNumberFormat="1" applyFont="1" applyFill="1" applyBorder="1"/>
    <xf numFmtId="0" fontId="34" fillId="2" borderId="16" xfId="76" applyNumberFormat="1" applyFont="1" applyFill="1" applyBorder="1" applyAlignment="1">
      <alignment horizontal="left"/>
    </xf>
    <xf numFmtId="3" fontId="32" fillId="0" borderId="23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78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Graf'!$B$4:$C$4</c:f>
              <c:numCache>
                <c:formatCode>General</c:formatCode>
                <c:ptCount val="2"/>
                <c:pt idx="0">
                  <c:v>1.086719266505846</c:v>
                </c:pt>
                <c:pt idx="1">
                  <c:v>1.1794839144391456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4588672"/>
        <c:axId val="96459097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1.4737477208769634</c:v>
                </c:pt>
                <c:pt idx="1">
                  <c:v>1.4737477208769634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6029184"/>
        <c:axId val="976030720"/>
      </c:scatterChart>
      <c:catAx>
        <c:axId val="964588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64590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645909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964588672"/>
        <c:crosses val="autoZero"/>
        <c:crossBetween val="between"/>
      </c:valAx>
      <c:valAx>
        <c:axId val="97602918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976030720"/>
        <c:crosses val="max"/>
        <c:crossBetween val="midCat"/>
      </c:valAx>
      <c:valAx>
        <c:axId val="97603072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976029184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ALOS!$E$33:$E$34</c:f>
              <c:numCache>
                <c:formatCode>0%</c:formatCode>
                <c:ptCount val="2"/>
                <c:pt idx="0">
                  <c:v>0.91765950166422983</c:v>
                </c:pt>
                <c:pt idx="1">
                  <c:v>0.99668722869545345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4431616"/>
        <c:axId val="1043494400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3495936"/>
        <c:axId val="1211442304"/>
      </c:scatterChart>
      <c:catAx>
        <c:axId val="984431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3494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4349440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984431616"/>
        <c:crosses val="autoZero"/>
        <c:crossBetween val="between"/>
      </c:valAx>
      <c:valAx>
        <c:axId val="104349593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211442304"/>
        <c:crosses val="max"/>
        <c:crossBetween val="midCat"/>
      </c:valAx>
      <c:valAx>
        <c:axId val="1211442304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1043495936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4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60" bestFit="1" customWidth="1"/>
    <col min="2" max="2" width="98.6640625" style="260" customWidth="1"/>
    <col min="3" max="3" width="16.109375" style="51" hidden="1" customWidth="1"/>
    <col min="4" max="16384" width="8.88671875" style="260"/>
  </cols>
  <sheetData>
    <row r="1" spans="1:3" ht="18.600000000000001" customHeight="1" thickBot="1" x14ac:dyDescent="0.4">
      <c r="A1" s="462" t="s">
        <v>136</v>
      </c>
      <c r="B1" s="462"/>
    </row>
    <row r="2" spans="1:3" ht="14.4" customHeight="1" thickBot="1" x14ac:dyDescent="0.35">
      <c r="A2" s="389" t="s">
        <v>299</v>
      </c>
      <c r="B2" s="50"/>
    </row>
    <row r="3" spans="1:3" ht="14.4" customHeight="1" thickBot="1" x14ac:dyDescent="0.35">
      <c r="A3" s="458" t="s">
        <v>186</v>
      </c>
      <c r="B3" s="459"/>
    </row>
    <row r="4" spans="1:3" ht="14.4" customHeight="1" x14ac:dyDescent="0.3">
      <c r="A4" s="277" t="str">
        <f t="shared" ref="A4:A8" si="0">HYPERLINK("#'"&amp;C4&amp;"'!A1",C4)</f>
        <v>Motivace</v>
      </c>
      <c r="B4" s="182" t="s">
        <v>155</v>
      </c>
      <c r="C4" s="51" t="s">
        <v>156</v>
      </c>
    </row>
    <row r="5" spans="1:3" ht="14.4" customHeight="1" x14ac:dyDescent="0.3">
      <c r="A5" s="278" t="str">
        <f t="shared" si="0"/>
        <v>HI</v>
      </c>
      <c r="B5" s="183" t="s">
        <v>179</v>
      </c>
      <c r="C5" s="51" t="s">
        <v>140</v>
      </c>
    </row>
    <row r="6" spans="1:3" ht="14.4" customHeight="1" x14ac:dyDescent="0.3">
      <c r="A6" s="279" t="str">
        <f t="shared" si="0"/>
        <v>HI Graf</v>
      </c>
      <c r="B6" s="184" t="s">
        <v>132</v>
      </c>
      <c r="C6" s="51" t="s">
        <v>141</v>
      </c>
    </row>
    <row r="7" spans="1:3" ht="14.4" customHeight="1" x14ac:dyDescent="0.3">
      <c r="A7" s="279" t="str">
        <f t="shared" si="0"/>
        <v>Man Tab</v>
      </c>
      <c r="B7" s="184" t="s">
        <v>301</v>
      </c>
      <c r="C7" s="51" t="s">
        <v>142</v>
      </c>
    </row>
    <row r="8" spans="1:3" ht="14.4" customHeight="1" thickBot="1" x14ac:dyDescent="0.35">
      <c r="A8" s="280" t="str">
        <f t="shared" si="0"/>
        <v>HV</v>
      </c>
      <c r="B8" s="185" t="s">
        <v>64</v>
      </c>
      <c r="C8" s="51" t="s">
        <v>69</v>
      </c>
    </row>
    <row r="9" spans="1:3" ht="14.4" customHeight="1" thickBot="1" x14ac:dyDescent="0.35">
      <c r="A9" s="186"/>
      <c r="B9" s="186"/>
    </row>
    <row r="10" spans="1:3" ht="14.4" customHeight="1" thickBot="1" x14ac:dyDescent="0.35">
      <c r="A10" s="460" t="s">
        <v>137</v>
      </c>
      <c r="B10" s="459"/>
    </row>
    <row r="11" spans="1:3" ht="14.4" customHeight="1" x14ac:dyDescent="0.3">
      <c r="A11" s="281" t="str">
        <f t="shared" ref="A11:A22" si="1">HYPERLINK("#'"&amp;C11&amp;"'!A1",C11)</f>
        <v>Léky Žádanky</v>
      </c>
      <c r="B11" s="183" t="s">
        <v>180</v>
      </c>
      <c r="C11" s="51" t="s">
        <v>143</v>
      </c>
    </row>
    <row r="12" spans="1:3" ht="14.4" customHeight="1" x14ac:dyDescent="0.3">
      <c r="A12" s="279" t="str">
        <f t="shared" si="1"/>
        <v>LŽ Detail</v>
      </c>
      <c r="B12" s="184" t="s">
        <v>212</v>
      </c>
      <c r="C12" s="51" t="s">
        <v>144</v>
      </c>
    </row>
    <row r="13" spans="1:3" ht="28.8" customHeight="1" x14ac:dyDescent="0.3">
      <c r="A13" s="279" t="str">
        <f t="shared" si="1"/>
        <v>LŽ PL</v>
      </c>
      <c r="B13" s="666" t="s">
        <v>214</v>
      </c>
      <c r="C13" s="51" t="s">
        <v>191</v>
      </c>
    </row>
    <row r="14" spans="1:3" ht="14.4" customHeight="1" x14ac:dyDescent="0.3">
      <c r="A14" s="279" t="str">
        <f t="shared" si="1"/>
        <v>LŽ PL Detail</v>
      </c>
      <c r="B14" s="184" t="s">
        <v>945</v>
      </c>
      <c r="C14" s="51" t="s">
        <v>193</v>
      </c>
    </row>
    <row r="15" spans="1:3" ht="14.4" customHeight="1" x14ac:dyDescent="0.3">
      <c r="A15" s="279" t="str">
        <f t="shared" si="1"/>
        <v>Léky Recepty</v>
      </c>
      <c r="B15" s="184" t="s">
        <v>181</v>
      </c>
      <c r="C15" s="51" t="s">
        <v>145</v>
      </c>
    </row>
    <row r="16" spans="1:3" ht="14.4" customHeight="1" x14ac:dyDescent="0.3">
      <c r="A16" s="279" t="str">
        <f t="shared" si="1"/>
        <v>LRp Lékaři</v>
      </c>
      <c r="B16" s="184" t="s">
        <v>196</v>
      </c>
      <c r="C16" s="51" t="s">
        <v>197</v>
      </c>
    </row>
    <row r="17" spans="1:3" ht="14.4" customHeight="1" x14ac:dyDescent="0.3">
      <c r="A17" s="279" t="str">
        <f t="shared" si="1"/>
        <v>LRp Detail</v>
      </c>
      <c r="B17" s="184" t="s">
        <v>1193</v>
      </c>
      <c r="C17" s="51" t="s">
        <v>146</v>
      </c>
    </row>
    <row r="18" spans="1:3" ht="28.8" customHeight="1" x14ac:dyDescent="0.3">
      <c r="A18" s="279" t="str">
        <f t="shared" si="1"/>
        <v>LRp PL</v>
      </c>
      <c r="B18" s="666" t="s">
        <v>1194</v>
      </c>
      <c r="C18" s="51" t="s">
        <v>192</v>
      </c>
    </row>
    <row r="19" spans="1:3" ht="14.4" customHeight="1" x14ac:dyDescent="0.3">
      <c r="A19" s="279" t="str">
        <f>HYPERLINK("#'"&amp;C19&amp;"'!A1",C19)</f>
        <v>LRp PL Detail</v>
      </c>
      <c r="B19" s="184" t="s">
        <v>1205</v>
      </c>
      <c r="C19" s="51" t="s">
        <v>194</v>
      </c>
    </row>
    <row r="20" spans="1:3" ht="14.4" customHeight="1" x14ac:dyDescent="0.3">
      <c r="A20" s="281" t="str">
        <f t="shared" si="1"/>
        <v>Materiál Žádanky</v>
      </c>
      <c r="B20" s="184" t="s">
        <v>182</v>
      </c>
      <c r="C20" s="51" t="s">
        <v>147</v>
      </c>
    </row>
    <row r="21" spans="1:3" ht="14.4" customHeight="1" x14ac:dyDescent="0.3">
      <c r="A21" s="279" t="str">
        <f t="shared" si="1"/>
        <v>MŽ Detail</v>
      </c>
      <c r="B21" s="184" t="s">
        <v>1442</v>
      </c>
      <c r="C21" s="51" t="s">
        <v>148</v>
      </c>
    </row>
    <row r="22" spans="1:3" ht="14.4" customHeight="1" thickBot="1" x14ac:dyDescent="0.35">
      <c r="A22" s="281" t="str">
        <f t="shared" si="1"/>
        <v>Osobní náklady</v>
      </c>
      <c r="B22" s="184" t="s">
        <v>134</v>
      </c>
      <c r="C22" s="51" t="s">
        <v>149</v>
      </c>
    </row>
    <row r="23" spans="1:3" ht="14.4" customHeight="1" thickBot="1" x14ac:dyDescent="0.35">
      <c r="A23" s="187"/>
      <c r="B23" s="187"/>
    </row>
    <row r="24" spans="1:3" ht="14.4" customHeight="1" thickBot="1" x14ac:dyDescent="0.35">
      <c r="A24" s="461" t="s">
        <v>138</v>
      </c>
      <c r="B24" s="459"/>
    </row>
    <row r="25" spans="1:3" ht="14.4" customHeight="1" x14ac:dyDescent="0.3">
      <c r="A25" s="282" t="str">
        <f t="shared" ref="A25:A34" si="2">HYPERLINK("#'"&amp;C25&amp;"'!A1",C25)</f>
        <v>ZV Vykáz.-A</v>
      </c>
      <c r="B25" s="183" t="s">
        <v>1450</v>
      </c>
      <c r="C25" s="51" t="s">
        <v>157</v>
      </c>
    </row>
    <row r="26" spans="1:3" ht="14.4" customHeight="1" x14ac:dyDescent="0.3">
      <c r="A26" s="279" t="str">
        <f t="shared" si="2"/>
        <v>ZV Vykáz.-A Detail</v>
      </c>
      <c r="B26" s="184" t="s">
        <v>1580</v>
      </c>
      <c r="C26" s="51" t="s">
        <v>158</v>
      </c>
    </row>
    <row r="27" spans="1:3" ht="14.4" customHeight="1" x14ac:dyDescent="0.3">
      <c r="A27" s="279" t="str">
        <f t="shared" si="2"/>
        <v>ZV Vykáz.-H</v>
      </c>
      <c r="B27" s="184" t="s">
        <v>161</v>
      </c>
      <c r="C27" s="51" t="s">
        <v>159</v>
      </c>
    </row>
    <row r="28" spans="1:3" ht="14.4" customHeight="1" x14ac:dyDescent="0.3">
      <c r="A28" s="279" t="str">
        <f t="shared" si="2"/>
        <v>ZV Vykáz.-H Detail</v>
      </c>
      <c r="B28" s="184" t="s">
        <v>1828</v>
      </c>
      <c r="C28" s="51" t="s">
        <v>160</v>
      </c>
    </row>
    <row r="29" spans="1:3" ht="14.4" customHeight="1" x14ac:dyDescent="0.3">
      <c r="A29" s="282" t="str">
        <f t="shared" si="2"/>
        <v>CaseMix</v>
      </c>
      <c r="B29" s="184" t="s">
        <v>139</v>
      </c>
      <c r="C29" s="51" t="s">
        <v>150</v>
      </c>
    </row>
    <row r="30" spans="1:3" ht="14.4" customHeight="1" x14ac:dyDescent="0.3">
      <c r="A30" s="279" t="str">
        <f t="shared" si="2"/>
        <v>ALOS</v>
      </c>
      <c r="B30" s="184" t="s">
        <v>118</v>
      </c>
      <c r="C30" s="51" t="s">
        <v>89</v>
      </c>
    </row>
    <row r="31" spans="1:3" ht="14.4" customHeight="1" x14ac:dyDescent="0.3">
      <c r="A31" s="279" t="str">
        <f t="shared" si="2"/>
        <v>Total</v>
      </c>
      <c r="B31" s="184" t="s">
        <v>1924</v>
      </c>
      <c r="C31" s="51" t="s">
        <v>151</v>
      </c>
    </row>
    <row r="32" spans="1:3" ht="14.4" customHeight="1" x14ac:dyDescent="0.3">
      <c r="A32" s="279" t="str">
        <f t="shared" si="2"/>
        <v>ZV Vyžád.</v>
      </c>
      <c r="B32" s="184" t="s">
        <v>162</v>
      </c>
      <c r="C32" s="51" t="s">
        <v>154</v>
      </c>
    </row>
    <row r="33" spans="1:3" ht="14.4" customHeight="1" x14ac:dyDescent="0.3">
      <c r="A33" s="279" t="str">
        <f t="shared" si="2"/>
        <v>ZV Vyžád. Detail</v>
      </c>
      <c r="B33" s="184" t="s">
        <v>2161</v>
      </c>
      <c r="C33" s="51" t="s">
        <v>153</v>
      </c>
    </row>
    <row r="34" spans="1:3" ht="14.4" customHeight="1" thickBot="1" x14ac:dyDescent="0.35">
      <c r="A34" s="280" t="str">
        <f t="shared" si="2"/>
        <v>OD TISS</v>
      </c>
      <c r="B34" s="185" t="s">
        <v>185</v>
      </c>
      <c r="C34" s="51" t="s">
        <v>152</v>
      </c>
    </row>
  </sheetData>
  <mergeCells count="4">
    <mergeCell ref="A3:B3"/>
    <mergeCell ref="A10:B10"/>
    <mergeCell ref="A24:B24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2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60" bestFit="1" customWidth="1"/>
    <col min="2" max="2" width="8.88671875" style="260" bestFit="1" customWidth="1"/>
    <col min="3" max="3" width="7" style="260" bestFit="1" customWidth="1"/>
    <col min="4" max="4" width="53.44140625" style="260" bestFit="1" customWidth="1"/>
    <col min="5" max="5" width="28.44140625" style="260" bestFit="1" customWidth="1"/>
    <col min="6" max="6" width="6.6640625" style="343" customWidth="1"/>
    <col min="7" max="7" width="10" style="343" customWidth="1"/>
    <col min="8" max="8" width="6.77734375" style="346" bestFit="1" customWidth="1"/>
    <col min="9" max="9" width="6.6640625" style="343" customWidth="1"/>
    <col min="10" max="10" width="10" style="343" customWidth="1"/>
    <col min="11" max="11" width="6.77734375" style="346" bestFit="1" customWidth="1"/>
    <col min="12" max="12" width="6.6640625" style="343" customWidth="1"/>
    <col min="13" max="13" width="10" style="343" customWidth="1"/>
    <col min="14" max="16384" width="8.88671875" style="260"/>
  </cols>
  <sheetData>
    <row r="1" spans="1:13" ht="18.600000000000001" customHeight="1" thickBot="1" x14ac:dyDescent="0.4">
      <c r="A1" s="494" t="s">
        <v>945</v>
      </c>
      <c r="B1" s="494"/>
      <c r="C1" s="494"/>
      <c r="D1" s="494"/>
      <c r="E1" s="494"/>
      <c r="F1" s="494"/>
      <c r="G1" s="494"/>
      <c r="H1" s="494"/>
      <c r="I1" s="494"/>
      <c r="J1" s="494"/>
      <c r="K1" s="494"/>
      <c r="L1" s="462"/>
      <c r="M1" s="462"/>
    </row>
    <row r="2" spans="1:13" ht="14.4" customHeight="1" thickBot="1" x14ac:dyDescent="0.35">
      <c r="A2" s="389" t="s">
        <v>299</v>
      </c>
      <c r="B2" s="342"/>
      <c r="C2" s="342"/>
      <c r="D2" s="342"/>
      <c r="E2" s="342"/>
      <c r="F2" s="350"/>
      <c r="G2" s="350"/>
      <c r="H2" s="351"/>
      <c r="I2" s="350"/>
      <c r="J2" s="350"/>
      <c r="K2" s="351"/>
      <c r="L2" s="350"/>
    </row>
    <row r="3" spans="1:13" ht="14.4" customHeight="1" thickBot="1" x14ac:dyDescent="0.35">
      <c r="E3" s="104" t="s">
        <v>163</v>
      </c>
      <c r="F3" s="47">
        <f>SUBTOTAL(9,F6:F1048576)</f>
        <v>0</v>
      </c>
      <c r="G3" s="47">
        <f>SUBTOTAL(9,G6:G1048576)</f>
        <v>0</v>
      </c>
      <c r="H3" s="48">
        <f>IF(M3=0,0,G3/M3)</f>
        <v>0</v>
      </c>
      <c r="I3" s="47">
        <f>SUBTOTAL(9,I6:I1048576)</f>
        <v>329.4</v>
      </c>
      <c r="J3" s="47">
        <f>SUBTOTAL(9,J6:J1048576)</f>
        <v>34696.78325011635</v>
      </c>
      <c r="K3" s="48">
        <f>IF(M3=0,0,J3/M3)</f>
        <v>1</v>
      </c>
      <c r="L3" s="47">
        <f>SUBTOTAL(9,L6:L1048576)</f>
        <v>329.4</v>
      </c>
      <c r="M3" s="49">
        <f>SUBTOTAL(9,M6:M1048576)</f>
        <v>34696.78325011635</v>
      </c>
    </row>
    <row r="4" spans="1:13" ht="14.4" customHeight="1" thickBot="1" x14ac:dyDescent="0.35">
      <c r="A4" s="45"/>
      <c r="B4" s="45"/>
      <c r="C4" s="45"/>
      <c r="D4" s="45"/>
      <c r="E4" s="46"/>
      <c r="F4" s="498" t="s">
        <v>165</v>
      </c>
      <c r="G4" s="499"/>
      <c r="H4" s="500"/>
      <c r="I4" s="501" t="s">
        <v>164</v>
      </c>
      <c r="J4" s="499"/>
      <c r="K4" s="500"/>
      <c r="L4" s="502" t="s">
        <v>6</v>
      </c>
      <c r="M4" s="503"/>
    </row>
    <row r="5" spans="1:13" ht="14.4" customHeight="1" thickBot="1" x14ac:dyDescent="0.35">
      <c r="A5" s="648" t="s">
        <v>166</v>
      </c>
      <c r="B5" s="667" t="s">
        <v>167</v>
      </c>
      <c r="C5" s="667" t="s">
        <v>93</v>
      </c>
      <c r="D5" s="667" t="s">
        <v>168</v>
      </c>
      <c r="E5" s="667" t="s">
        <v>169</v>
      </c>
      <c r="F5" s="668" t="s">
        <v>31</v>
      </c>
      <c r="G5" s="668" t="s">
        <v>17</v>
      </c>
      <c r="H5" s="650" t="s">
        <v>170</v>
      </c>
      <c r="I5" s="649" t="s">
        <v>31</v>
      </c>
      <c r="J5" s="668" t="s">
        <v>17</v>
      </c>
      <c r="K5" s="650" t="s">
        <v>170</v>
      </c>
      <c r="L5" s="649" t="s">
        <v>31</v>
      </c>
      <c r="M5" s="669" t="s">
        <v>17</v>
      </c>
    </row>
    <row r="6" spans="1:13" ht="14.4" customHeight="1" x14ac:dyDescent="0.3">
      <c r="A6" s="630" t="s">
        <v>521</v>
      </c>
      <c r="B6" s="631" t="s">
        <v>913</v>
      </c>
      <c r="C6" s="631" t="s">
        <v>752</v>
      </c>
      <c r="D6" s="631" t="s">
        <v>914</v>
      </c>
      <c r="E6" s="631" t="s">
        <v>754</v>
      </c>
      <c r="F6" s="634"/>
      <c r="G6" s="634"/>
      <c r="H6" s="652">
        <v>0</v>
      </c>
      <c r="I6" s="634">
        <v>1</v>
      </c>
      <c r="J6" s="634">
        <v>658.28</v>
      </c>
      <c r="K6" s="652">
        <v>1</v>
      </c>
      <c r="L6" s="634">
        <v>1</v>
      </c>
      <c r="M6" s="635">
        <v>658.28</v>
      </c>
    </row>
    <row r="7" spans="1:13" ht="14.4" customHeight="1" x14ac:dyDescent="0.3">
      <c r="A7" s="636" t="s">
        <v>521</v>
      </c>
      <c r="B7" s="637" t="s">
        <v>915</v>
      </c>
      <c r="C7" s="637" t="s">
        <v>756</v>
      </c>
      <c r="D7" s="637" t="s">
        <v>757</v>
      </c>
      <c r="E7" s="637" t="s">
        <v>758</v>
      </c>
      <c r="F7" s="640"/>
      <c r="G7" s="640"/>
      <c r="H7" s="653">
        <v>0</v>
      </c>
      <c r="I7" s="640">
        <v>4</v>
      </c>
      <c r="J7" s="640">
        <v>1655.9999999999998</v>
      </c>
      <c r="K7" s="653">
        <v>1</v>
      </c>
      <c r="L7" s="640">
        <v>4</v>
      </c>
      <c r="M7" s="641">
        <v>1655.9999999999998</v>
      </c>
    </row>
    <row r="8" spans="1:13" ht="14.4" customHeight="1" x14ac:dyDescent="0.3">
      <c r="A8" s="636" t="s">
        <v>521</v>
      </c>
      <c r="B8" s="637" t="s">
        <v>916</v>
      </c>
      <c r="C8" s="637" t="s">
        <v>736</v>
      </c>
      <c r="D8" s="637" t="s">
        <v>737</v>
      </c>
      <c r="E8" s="637" t="s">
        <v>738</v>
      </c>
      <c r="F8" s="640"/>
      <c r="G8" s="640"/>
      <c r="H8" s="653">
        <v>0</v>
      </c>
      <c r="I8" s="640">
        <v>1</v>
      </c>
      <c r="J8" s="640">
        <v>135.21000000000004</v>
      </c>
      <c r="K8" s="653">
        <v>1</v>
      </c>
      <c r="L8" s="640">
        <v>1</v>
      </c>
      <c r="M8" s="641">
        <v>135.21000000000004</v>
      </c>
    </row>
    <row r="9" spans="1:13" ht="14.4" customHeight="1" x14ac:dyDescent="0.3">
      <c r="A9" s="636" t="s">
        <v>521</v>
      </c>
      <c r="B9" s="637" t="s">
        <v>917</v>
      </c>
      <c r="C9" s="637" t="s">
        <v>744</v>
      </c>
      <c r="D9" s="637" t="s">
        <v>745</v>
      </c>
      <c r="E9" s="637" t="s">
        <v>746</v>
      </c>
      <c r="F9" s="640"/>
      <c r="G9" s="640"/>
      <c r="H9" s="653">
        <v>0</v>
      </c>
      <c r="I9" s="640">
        <v>1</v>
      </c>
      <c r="J9" s="640">
        <v>46.219624648662901</v>
      </c>
      <c r="K9" s="653">
        <v>1</v>
      </c>
      <c r="L9" s="640">
        <v>1</v>
      </c>
      <c r="M9" s="641">
        <v>46.219624648662901</v>
      </c>
    </row>
    <row r="10" spans="1:13" ht="14.4" customHeight="1" x14ac:dyDescent="0.3">
      <c r="A10" s="636" t="s">
        <v>521</v>
      </c>
      <c r="B10" s="637" t="s">
        <v>918</v>
      </c>
      <c r="C10" s="637" t="s">
        <v>740</v>
      </c>
      <c r="D10" s="637" t="s">
        <v>741</v>
      </c>
      <c r="E10" s="637" t="s">
        <v>742</v>
      </c>
      <c r="F10" s="640"/>
      <c r="G10" s="640"/>
      <c r="H10" s="653">
        <v>0</v>
      </c>
      <c r="I10" s="640">
        <v>1</v>
      </c>
      <c r="J10" s="640">
        <v>151.12</v>
      </c>
      <c r="K10" s="653">
        <v>1</v>
      </c>
      <c r="L10" s="640">
        <v>1</v>
      </c>
      <c r="M10" s="641">
        <v>151.12</v>
      </c>
    </row>
    <row r="11" spans="1:13" ht="14.4" customHeight="1" x14ac:dyDescent="0.3">
      <c r="A11" s="636" t="s">
        <v>521</v>
      </c>
      <c r="B11" s="637" t="s">
        <v>919</v>
      </c>
      <c r="C11" s="637" t="s">
        <v>728</v>
      </c>
      <c r="D11" s="637" t="s">
        <v>920</v>
      </c>
      <c r="E11" s="637" t="s">
        <v>730</v>
      </c>
      <c r="F11" s="640"/>
      <c r="G11" s="640"/>
      <c r="H11" s="653">
        <v>0</v>
      </c>
      <c r="I11" s="640">
        <v>1</v>
      </c>
      <c r="J11" s="640">
        <v>101.27</v>
      </c>
      <c r="K11" s="653">
        <v>1</v>
      </c>
      <c r="L11" s="640">
        <v>1</v>
      </c>
      <c r="M11" s="641">
        <v>101.27</v>
      </c>
    </row>
    <row r="12" spans="1:13" ht="14.4" customHeight="1" x14ac:dyDescent="0.3">
      <c r="A12" s="636" t="s">
        <v>521</v>
      </c>
      <c r="B12" s="637" t="s">
        <v>921</v>
      </c>
      <c r="C12" s="637" t="s">
        <v>721</v>
      </c>
      <c r="D12" s="637" t="s">
        <v>922</v>
      </c>
      <c r="E12" s="637" t="s">
        <v>923</v>
      </c>
      <c r="F12" s="640"/>
      <c r="G12" s="640"/>
      <c r="H12" s="653">
        <v>0</v>
      </c>
      <c r="I12" s="640">
        <v>81</v>
      </c>
      <c r="J12" s="640">
        <v>2948.9984524263718</v>
      </c>
      <c r="K12" s="653">
        <v>1</v>
      </c>
      <c r="L12" s="640">
        <v>81</v>
      </c>
      <c r="M12" s="641">
        <v>2948.9984524263718</v>
      </c>
    </row>
    <row r="13" spans="1:13" ht="14.4" customHeight="1" x14ac:dyDescent="0.3">
      <c r="A13" s="636" t="s">
        <v>521</v>
      </c>
      <c r="B13" s="637" t="s">
        <v>924</v>
      </c>
      <c r="C13" s="637" t="s">
        <v>785</v>
      </c>
      <c r="D13" s="637" t="s">
        <v>925</v>
      </c>
      <c r="E13" s="637" t="s">
        <v>926</v>
      </c>
      <c r="F13" s="640"/>
      <c r="G13" s="640"/>
      <c r="H13" s="653">
        <v>0</v>
      </c>
      <c r="I13" s="640">
        <v>35</v>
      </c>
      <c r="J13" s="640">
        <v>5936.9150573234465</v>
      </c>
      <c r="K13" s="653">
        <v>1</v>
      </c>
      <c r="L13" s="640">
        <v>35</v>
      </c>
      <c r="M13" s="641">
        <v>5936.9150573234465</v>
      </c>
    </row>
    <row r="14" spans="1:13" ht="14.4" customHeight="1" x14ac:dyDescent="0.3">
      <c r="A14" s="636" t="s">
        <v>521</v>
      </c>
      <c r="B14" s="637" t="s">
        <v>924</v>
      </c>
      <c r="C14" s="637" t="s">
        <v>797</v>
      </c>
      <c r="D14" s="637" t="s">
        <v>927</v>
      </c>
      <c r="E14" s="637" t="s">
        <v>928</v>
      </c>
      <c r="F14" s="640"/>
      <c r="G14" s="640"/>
      <c r="H14" s="653">
        <v>0</v>
      </c>
      <c r="I14" s="640">
        <v>33.399999999999991</v>
      </c>
      <c r="J14" s="640">
        <v>4130.4037480795141</v>
      </c>
      <c r="K14" s="653">
        <v>1</v>
      </c>
      <c r="L14" s="640">
        <v>33.399999999999991</v>
      </c>
      <c r="M14" s="641">
        <v>4130.4037480795141</v>
      </c>
    </row>
    <row r="15" spans="1:13" ht="14.4" customHeight="1" x14ac:dyDescent="0.3">
      <c r="A15" s="636" t="s">
        <v>521</v>
      </c>
      <c r="B15" s="637" t="s">
        <v>929</v>
      </c>
      <c r="C15" s="637" t="s">
        <v>793</v>
      </c>
      <c r="D15" s="637" t="s">
        <v>794</v>
      </c>
      <c r="E15" s="637" t="s">
        <v>930</v>
      </c>
      <c r="F15" s="640"/>
      <c r="G15" s="640"/>
      <c r="H15" s="653">
        <v>0</v>
      </c>
      <c r="I15" s="640">
        <v>6</v>
      </c>
      <c r="J15" s="640">
        <v>830.15987316737403</v>
      </c>
      <c r="K15" s="653">
        <v>1</v>
      </c>
      <c r="L15" s="640">
        <v>6</v>
      </c>
      <c r="M15" s="641">
        <v>830.15987316737403</v>
      </c>
    </row>
    <row r="16" spans="1:13" ht="14.4" customHeight="1" x14ac:dyDescent="0.3">
      <c r="A16" s="636" t="s">
        <v>521</v>
      </c>
      <c r="B16" s="637" t="s">
        <v>931</v>
      </c>
      <c r="C16" s="637" t="s">
        <v>801</v>
      </c>
      <c r="D16" s="637" t="s">
        <v>802</v>
      </c>
      <c r="E16" s="637" t="s">
        <v>803</v>
      </c>
      <c r="F16" s="640"/>
      <c r="G16" s="640"/>
      <c r="H16" s="653">
        <v>0</v>
      </c>
      <c r="I16" s="640">
        <v>3</v>
      </c>
      <c r="J16" s="640">
        <v>313.259976743989</v>
      </c>
      <c r="K16" s="653">
        <v>1</v>
      </c>
      <c r="L16" s="640">
        <v>3</v>
      </c>
      <c r="M16" s="641">
        <v>313.259976743989</v>
      </c>
    </row>
    <row r="17" spans="1:13" ht="14.4" customHeight="1" x14ac:dyDescent="0.3">
      <c r="A17" s="636" t="s">
        <v>521</v>
      </c>
      <c r="B17" s="637" t="s">
        <v>931</v>
      </c>
      <c r="C17" s="637" t="s">
        <v>789</v>
      </c>
      <c r="D17" s="637" t="s">
        <v>932</v>
      </c>
      <c r="E17" s="637" t="s">
        <v>933</v>
      </c>
      <c r="F17" s="640"/>
      <c r="G17" s="640"/>
      <c r="H17" s="653">
        <v>0</v>
      </c>
      <c r="I17" s="640">
        <v>63</v>
      </c>
      <c r="J17" s="640">
        <v>5581.7970050864133</v>
      </c>
      <c r="K17" s="653">
        <v>1</v>
      </c>
      <c r="L17" s="640">
        <v>63</v>
      </c>
      <c r="M17" s="641">
        <v>5581.7970050864133</v>
      </c>
    </row>
    <row r="18" spans="1:13" ht="14.4" customHeight="1" x14ac:dyDescent="0.3">
      <c r="A18" s="636" t="s">
        <v>521</v>
      </c>
      <c r="B18" s="637" t="s">
        <v>934</v>
      </c>
      <c r="C18" s="637" t="s">
        <v>805</v>
      </c>
      <c r="D18" s="637" t="s">
        <v>935</v>
      </c>
      <c r="E18" s="637" t="s">
        <v>936</v>
      </c>
      <c r="F18" s="640"/>
      <c r="G18" s="640"/>
      <c r="H18" s="653">
        <v>0</v>
      </c>
      <c r="I18" s="640">
        <v>10</v>
      </c>
      <c r="J18" s="640">
        <v>315.89999999999998</v>
      </c>
      <c r="K18" s="653">
        <v>1</v>
      </c>
      <c r="L18" s="640">
        <v>10</v>
      </c>
      <c r="M18" s="641">
        <v>315.89999999999998</v>
      </c>
    </row>
    <row r="19" spans="1:13" ht="14.4" customHeight="1" x14ac:dyDescent="0.3">
      <c r="A19" s="636" t="s">
        <v>521</v>
      </c>
      <c r="B19" s="637" t="s">
        <v>937</v>
      </c>
      <c r="C19" s="637" t="s">
        <v>725</v>
      </c>
      <c r="D19" s="637" t="s">
        <v>573</v>
      </c>
      <c r="E19" s="637" t="s">
        <v>938</v>
      </c>
      <c r="F19" s="640"/>
      <c r="G19" s="640"/>
      <c r="H19" s="653">
        <v>0</v>
      </c>
      <c r="I19" s="640">
        <v>3</v>
      </c>
      <c r="J19" s="640">
        <v>401.84162360595371</v>
      </c>
      <c r="K19" s="653">
        <v>1</v>
      </c>
      <c r="L19" s="640">
        <v>3</v>
      </c>
      <c r="M19" s="641">
        <v>401.84162360595371</v>
      </c>
    </row>
    <row r="20" spans="1:13" ht="14.4" customHeight="1" x14ac:dyDescent="0.3">
      <c r="A20" s="636" t="s">
        <v>521</v>
      </c>
      <c r="B20" s="637" t="s">
        <v>939</v>
      </c>
      <c r="C20" s="637" t="s">
        <v>732</v>
      </c>
      <c r="D20" s="637" t="s">
        <v>733</v>
      </c>
      <c r="E20" s="637" t="s">
        <v>940</v>
      </c>
      <c r="F20" s="640"/>
      <c r="G20" s="640"/>
      <c r="H20" s="653">
        <v>0</v>
      </c>
      <c r="I20" s="640">
        <v>1</v>
      </c>
      <c r="J20" s="640">
        <v>99.21</v>
      </c>
      <c r="K20" s="653">
        <v>1</v>
      </c>
      <c r="L20" s="640">
        <v>1</v>
      </c>
      <c r="M20" s="641">
        <v>99.21</v>
      </c>
    </row>
    <row r="21" spans="1:13" ht="14.4" customHeight="1" x14ac:dyDescent="0.3">
      <c r="A21" s="636" t="s">
        <v>521</v>
      </c>
      <c r="B21" s="637" t="s">
        <v>941</v>
      </c>
      <c r="C21" s="637" t="s">
        <v>748</v>
      </c>
      <c r="D21" s="637" t="s">
        <v>749</v>
      </c>
      <c r="E21" s="637" t="s">
        <v>750</v>
      </c>
      <c r="F21" s="640"/>
      <c r="G21" s="640"/>
      <c r="H21" s="653">
        <v>0</v>
      </c>
      <c r="I21" s="640">
        <v>1</v>
      </c>
      <c r="J21" s="640">
        <v>174.23962756958173</v>
      </c>
      <c r="K21" s="653">
        <v>1</v>
      </c>
      <c r="L21" s="640">
        <v>1</v>
      </c>
      <c r="M21" s="641">
        <v>174.23962756958173</v>
      </c>
    </row>
    <row r="22" spans="1:13" ht="14.4" customHeight="1" x14ac:dyDescent="0.3">
      <c r="A22" s="636" t="s">
        <v>521</v>
      </c>
      <c r="B22" s="637" t="s">
        <v>942</v>
      </c>
      <c r="C22" s="637" t="s">
        <v>760</v>
      </c>
      <c r="D22" s="637" t="s">
        <v>761</v>
      </c>
      <c r="E22" s="637" t="s">
        <v>762</v>
      </c>
      <c r="F22" s="640"/>
      <c r="G22" s="640"/>
      <c r="H22" s="653">
        <v>0</v>
      </c>
      <c r="I22" s="640">
        <v>2</v>
      </c>
      <c r="J22" s="640">
        <v>396.52</v>
      </c>
      <c r="K22" s="653">
        <v>1</v>
      </c>
      <c r="L22" s="640">
        <v>2</v>
      </c>
      <c r="M22" s="641">
        <v>396.52</v>
      </c>
    </row>
    <row r="23" spans="1:13" ht="14.4" customHeight="1" x14ac:dyDescent="0.3">
      <c r="A23" s="636" t="s">
        <v>521</v>
      </c>
      <c r="B23" s="637" t="s">
        <v>942</v>
      </c>
      <c r="C23" s="637" t="s">
        <v>763</v>
      </c>
      <c r="D23" s="637" t="s">
        <v>764</v>
      </c>
      <c r="E23" s="637" t="s">
        <v>765</v>
      </c>
      <c r="F23" s="640"/>
      <c r="G23" s="640"/>
      <c r="H23" s="653">
        <v>0</v>
      </c>
      <c r="I23" s="640">
        <v>45</v>
      </c>
      <c r="J23" s="640">
        <v>8251.6494027525732</v>
      </c>
      <c r="K23" s="653">
        <v>1</v>
      </c>
      <c r="L23" s="640">
        <v>45</v>
      </c>
      <c r="M23" s="641">
        <v>8251.6494027525732</v>
      </c>
    </row>
    <row r="24" spans="1:13" ht="14.4" customHeight="1" x14ac:dyDescent="0.3">
      <c r="A24" s="636" t="s">
        <v>525</v>
      </c>
      <c r="B24" s="637" t="s">
        <v>921</v>
      </c>
      <c r="C24" s="637" t="s">
        <v>847</v>
      </c>
      <c r="D24" s="637" t="s">
        <v>943</v>
      </c>
      <c r="E24" s="637" t="s">
        <v>944</v>
      </c>
      <c r="F24" s="640"/>
      <c r="G24" s="640"/>
      <c r="H24" s="653">
        <v>0</v>
      </c>
      <c r="I24" s="640">
        <v>6</v>
      </c>
      <c r="J24" s="640">
        <v>235.14</v>
      </c>
      <c r="K24" s="653">
        <v>1</v>
      </c>
      <c r="L24" s="640">
        <v>6</v>
      </c>
      <c r="M24" s="641">
        <v>235.14</v>
      </c>
    </row>
    <row r="25" spans="1:13" ht="14.4" customHeight="1" x14ac:dyDescent="0.3">
      <c r="A25" s="636" t="s">
        <v>527</v>
      </c>
      <c r="B25" s="637" t="s">
        <v>924</v>
      </c>
      <c r="C25" s="637" t="s">
        <v>785</v>
      </c>
      <c r="D25" s="637" t="s">
        <v>925</v>
      </c>
      <c r="E25" s="637" t="s">
        <v>926</v>
      </c>
      <c r="F25" s="640"/>
      <c r="G25" s="640"/>
      <c r="H25" s="653">
        <v>0</v>
      </c>
      <c r="I25" s="640">
        <v>6</v>
      </c>
      <c r="J25" s="640">
        <v>1018.7400000000001</v>
      </c>
      <c r="K25" s="653">
        <v>1</v>
      </c>
      <c r="L25" s="640">
        <v>6</v>
      </c>
      <c r="M25" s="641">
        <v>1018.7400000000001</v>
      </c>
    </row>
    <row r="26" spans="1:13" ht="14.4" customHeight="1" x14ac:dyDescent="0.3">
      <c r="A26" s="636" t="s">
        <v>527</v>
      </c>
      <c r="B26" s="637" t="s">
        <v>931</v>
      </c>
      <c r="C26" s="637" t="s">
        <v>801</v>
      </c>
      <c r="D26" s="637" t="s">
        <v>802</v>
      </c>
      <c r="E26" s="637" t="s">
        <v>803</v>
      </c>
      <c r="F26" s="640"/>
      <c r="G26" s="640"/>
      <c r="H26" s="653">
        <v>0</v>
      </c>
      <c r="I26" s="640">
        <v>4</v>
      </c>
      <c r="J26" s="640">
        <v>417.67990697595644</v>
      </c>
      <c r="K26" s="653">
        <v>1</v>
      </c>
      <c r="L26" s="640">
        <v>4</v>
      </c>
      <c r="M26" s="641">
        <v>417.67990697595644</v>
      </c>
    </row>
    <row r="27" spans="1:13" ht="14.4" customHeight="1" x14ac:dyDescent="0.3">
      <c r="A27" s="636" t="s">
        <v>529</v>
      </c>
      <c r="B27" s="637" t="s">
        <v>921</v>
      </c>
      <c r="C27" s="637" t="s">
        <v>721</v>
      </c>
      <c r="D27" s="637" t="s">
        <v>922</v>
      </c>
      <c r="E27" s="637" t="s">
        <v>923</v>
      </c>
      <c r="F27" s="640"/>
      <c r="G27" s="640"/>
      <c r="H27" s="653">
        <v>0</v>
      </c>
      <c r="I27" s="640">
        <v>20</v>
      </c>
      <c r="J27" s="640">
        <v>726.59895173651944</v>
      </c>
      <c r="K27" s="653">
        <v>1</v>
      </c>
      <c r="L27" s="640">
        <v>20</v>
      </c>
      <c r="M27" s="641">
        <v>726.59895173651944</v>
      </c>
    </row>
    <row r="28" spans="1:13" ht="14.4" customHeight="1" thickBot="1" x14ac:dyDescent="0.35">
      <c r="A28" s="642" t="s">
        <v>529</v>
      </c>
      <c r="B28" s="643" t="s">
        <v>924</v>
      </c>
      <c r="C28" s="643" t="s">
        <v>785</v>
      </c>
      <c r="D28" s="643" t="s">
        <v>925</v>
      </c>
      <c r="E28" s="643" t="s">
        <v>926</v>
      </c>
      <c r="F28" s="646"/>
      <c r="G28" s="646"/>
      <c r="H28" s="654">
        <v>0</v>
      </c>
      <c r="I28" s="646">
        <v>1</v>
      </c>
      <c r="J28" s="646">
        <v>169.63</v>
      </c>
      <c r="K28" s="654">
        <v>1</v>
      </c>
      <c r="L28" s="646">
        <v>1</v>
      </c>
      <c r="M28" s="647">
        <v>169.63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49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24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60" customWidth="1"/>
    <col min="2" max="2" width="34.21875" style="260" customWidth="1"/>
    <col min="3" max="3" width="11.109375" style="260" bestFit="1" customWidth="1"/>
    <col min="4" max="4" width="7.33203125" style="260" bestFit="1" customWidth="1"/>
    <col min="5" max="5" width="11.109375" style="260" bestFit="1" customWidth="1"/>
    <col min="6" max="6" width="5.33203125" style="260" customWidth="1"/>
    <col min="7" max="7" width="7.33203125" style="260" bestFit="1" customWidth="1"/>
    <col min="8" max="8" width="5.33203125" style="260" customWidth="1"/>
    <col min="9" max="9" width="11.109375" style="260" customWidth="1"/>
    <col min="10" max="10" width="5.33203125" style="260" customWidth="1"/>
    <col min="11" max="11" width="7.33203125" style="260" customWidth="1"/>
    <col min="12" max="12" width="5.33203125" style="260" customWidth="1"/>
    <col min="13" max="13" width="0" style="260" hidden="1" customWidth="1"/>
    <col min="14" max="16384" width="8.88671875" style="260"/>
  </cols>
  <sheetData>
    <row r="1" spans="1:14" ht="18.600000000000001" customHeight="1" thickBot="1" x14ac:dyDescent="0.4">
      <c r="A1" s="494" t="s">
        <v>181</v>
      </c>
      <c r="B1" s="494"/>
      <c r="C1" s="494"/>
      <c r="D1" s="494"/>
      <c r="E1" s="494"/>
      <c r="F1" s="494"/>
      <c r="G1" s="494"/>
      <c r="H1" s="494"/>
      <c r="I1" s="463"/>
      <c r="J1" s="463"/>
      <c r="K1" s="463"/>
      <c r="L1" s="463"/>
    </row>
    <row r="2" spans="1:14" ht="14.4" customHeight="1" thickBot="1" x14ac:dyDescent="0.35">
      <c r="A2" s="389" t="s">
        <v>299</v>
      </c>
      <c r="B2" s="342"/>
      <c r="C2" s="342"/>
      <c r="D2" s="342"/>
      <c r="E2" s="342"/>
      <c r="F2" s="342"/>
      <c r="G2" s="342"/>
      <c r="H2" s="342"/>
    </row>
    <row r="3" spans="1:14" ht="14.4" customHeight="1" thickBot="1" x14ac:dyDescent="0.35">
      <c r="A3" s="275"/>
      <c r="B3" s="275"/>
      <c r="C3" s="505" t="s">
        <v>18</v>
      </c>
      <c r="D3" s="504"/>
      <c r="E3" s="504" t="s">
        <v>19</v>
      </c>
      <c r="F3" s="504"/>
      <c r="G3" s="504"/>
      <c r="H3" s="504"/>
      <c r="I3" s="504" t="s">
        <v>195</v>
      </c>
      <c r="J3" s="504"/>
      <c r="K3" s="504"/>
      <c r="L3" s="506"/>
    </row>
    <row r="4" spans="1:14" ht="14.4" customHeight="1" thickBot="1" x14ac:dyDescent="0.35">
      <c r="A4" s="106" t="s">
        <v>20</v>
      </c>
      <c r="B4" s="107" t="s">
        <v>21</v>
      </c>
      <c r="C4" s="108" t="s">
        <v>22</v>
      </c>
      <c r="D4" s="108" t="s">
        <v>23</v>
      </c>
      <c r="E4" s="108" t="s">
        <v>22</v>
      </c>
      <c r="F4" s="108" t="s">
        <v>5</v>
      </c>
      <c r="G4" s="108" t="s">
        <v>23</v>
      </c>
      <c r="H4" s="108" t="s">
        <v>5</v>
      </c>
      <c r="I4" s="108" t="s">
        <v>22</v>
      </c>
      <c r="J4" s="108" t="s">
        <v>5</v>
      </c>
      <c r="K4" s="108" t="s">
        <v>23</v>
      </c>
      <c r="L4" s="109" t="s">
        <v>5</v>
      </c>
    </row>
    <row r="5" spans="1:14" ht="14.4" customHeight="1" x14ac:dyDescent="0.3">
      <c r="A5" s="621">
        <v>25</v>
      </c>
      <c r="B5" s="622" t="s">
        <v>509</v>
      </c>
      <c r="C5" s="623">
        <v>109835.95999999999</v>
      </c>
      <c r="D5" s="623">
        <v>413</v>
      </c>
      <c r="E5" s="623">
        <v>44083.799999999996</v>
      </c>
      <c r="F5" s="624">
        <v>0.40136035593443165</v>
      </c>
      <c r="G5" s="623">
        <v>163</v>
      </c>
      <c r="H5" s="624">
        <v>0.39467312348668282</v>
      </c>
      <c r="I5" s="623">
        <v>65752.160000000003</v>
      </c>
      <c r="J5" s="624">
        <v>0.59863964406556835</v>
      </c>
      <c r="K5" s="623">
        <v>250</v>
      </c>
      <c r="L5" s="624">
        <v>0.60532687651331718</v>
      </c>
      <c r="M5" s="623" t="s">
        <v>77</v>
      </c>
      <c r="N5" s="283"/>
    </row>
    <row r="6" spans="1:14" ht="14.4" customHeight="1" x14ac:dyDescent="0.3">
      <c r="A6" s="621">
        <v>25</v>
      </c>
      <c r="B6" s="622" t="s">
        <v>946</v>
      </c>
      <c r="C6" s="623">
        <v>109835.95999999999</v>
      </c>
      <c r="D6" s="623">
        <v>411</v>
      </c>
      <c r="E6" s="623">
        <v>44083.799999999996</v>
      </c>
      <c r="F6" s="624">
        <v>0.40136035593443165</v>
      </c>
      <c r="G6" s="623">
        <v>162</v>
      </c>
      <c r="H6" s="624">
        <v>0.39416058394160586</v>
      </c>
      <c r="I6" s="623">
        <v>65752.160000000003</v>
      </c>
      <c r="J6" s="624">
        <v>0.59863964406556835</v>
      </c>
      <c r="K6" s="623">
        <v>249</v>
      </c>
      <c r="L6" s="624">
        <v>0.6058394160583942</v>
      </c>
      <c r="M6" s="623" t="s">
        <v>2</v>
      </c>
      <c r="N6" s="283"/>
    </row>
    <row r="7" spans="1:14" ht="14.4" customHeight="1" x14ac:dyDescent="0.3">
      <c r="A7" s="621">
        <v>25</v>
      </c>
      <c r="B7" s="622" t="s">
        <v>947</v>
      </c>
      <c r="C7" s="623">
        <v>0</v>
      </c>
      <c r="D7" s="623">
        <v>2</v>
      </c>
      <c r="E7" s="623">
        <v>0</v>
      </c>
      <c r="F7" s="624" t="s">
        <v>508</v>
      </c>
      <c r="G7" s="623">
        <v>1</v>
      </c>
      <c r="H7" s="624">
        <v>0.5</v>
      </c>
      <c r="I7" s="623">
        <v>0</v>
      </c>
      <c r="J7" s="624" t="s">
        <v>508</v>
      </c>
      <c r="K7" s="623">
        <v>1</v>
      </c>
      <c r="L7" s="624">
        <v>0.5</v>
      </c>
      <c r="M7" s="623" t="s">
        <v>2</v>
      </c>
      <c r="N7" s="283"/>
    </row>
    <row r="8" spans="1:14" ht="14.4" customHeight="1" x14ac:dyDescent="0.3">
      <c r="A8" s="621" t="s">
        <v>507</v>
      </c>
      <c r="B8" s="622" t="s">
        <v>6</v>
      </c>
      <c r="C8" s="623">
        <v>109835.95999999999</v>
      </c>
      <c r="D8" s="623">
        <v>413</v>
      </c>
      <c r="E8" s="623">
        <v>44083.799999999996</v>
      </c>
      <c r="F8" s="624">
        <v>0.40136035593443165</v>
      </c>
      <c r="G8" s="623">
        <v>163</v>
      </c>
      <c r="H8" s="624">
        <v>0.39467312348668282</v>
      </c>
      <c r="I8" s="623">
        <v>65752.160000000003</v>
      </c>
      <c r="J8" s="624">
        <v>0.59863964406556835</v>
      </c>
      <c r="K8" s="623">
        <v>250</v>
      </c>
      <c r="L8" s="624">
        <v>0.60532687651331718</v>
      </c>
      <c r="M8" s="623" t="s">
        <v>520</v>
      </c>
      <c r="N8" s="283"/>
    </row>
    <row r="10" spans="1:14" ht="14.4" customHeight="1" x14ac:dyDescent="0.3">
      <c r="A10" s="621">
        <v>25</v>
      </c>
      <c r="B10" s="622" t="s">
        <v>509</v>
      </c>
      <c r="C10" s="623" t="s">
        <v>508</v>
      </c>
      <c r="D10" s="623" t="s">
        <v>508</v>
      </c>
      <c r="E10" s="623" t="s">
        <v>508</v>
      </c>
      <c r="F10" s="624" t="s">
        <v>508</v>
      </c>
      <c r="G10" s="623" t="s">
        <v>508</v>
      </c>
      <c r="H10" s="624" t="s">
        <v>508</v>
      </c>
      <c r="I10" s="623" t="s">
        <v>508</v>
      </c>
      <c r="J10" s="624" t="s">
        <v>508</v>
      </c>
      <c r="K10" s="623" t="s">
        <v>508</v>
      </c>
      <c r="L10" s="624" t="s">
        <v>508</v>
      </c>
      <c r="M10" s="623" t="s">
        <v>77</v>
      </c>
      <c r="N10" s="283"/>
    </row>
    <row r="11" spans="1:14" ht="14.4" customHeight="1" x14ac:dyDescent="0.3">
      <c r="A11" s="621">
        <v>89301251</v>
      </c>
      <c r="B11" s="622" t="s">
        <v>946</v>
      </c>
      <c r="C11" s="623">
        <v>10813.34</v>
      </c>
      <c r="D11" s="623">
        <v>41</v>
      </c>
      <c r="E11" s="623">
        <v>3231.39</v>
      </c>
      <c r="F11" s="624">
        <v>0.2988336628645728</v>
      </c>
      <c r="G11" s="623">
        <v>13</v>
      </c>
      <c r="H11" s="624">
        <v>0.31707317073170732</v>
      </c>
      <c r="I11" s="623">
        <v>7581.95</v>
      </c>
      <c r="J11" s="624">
        <v>0.70116633713542709</v>
      </c>
      <c r="K11" s="623">
        <v>28</v>
      </c>
      <c r="L11" s="624">
        <v>0.68292682926829273</v>
      </c>
      <c r="M11" s="623" t="s">
        <v>2</v>
      </c>
      <c r="N11" s="283"/>
    </row>
    <row r="12" spans="1:14" ht="14.4" customHeight="1" x14ac:dyDescent="0.3">
      <c r="A12" s="621" t="s">
        <v>948</v>
      </c>
      <c r="B12" s="622" t="s">
        <v>949</v>
      </c>
      <c r="C12" s="623">
        <v>10813.34</v>
      </c>
      <c r="D12" s="623">
        <v>41</v>
      </c>
      <c r="E12" s="623">
        <v>3231.39</v>
      </c>
      <c r="F12" s="624">
        <v>0.2988336628645728</v>
      </c>
      <c r="G12" s="623">
        <v>13</v>
      </c>
      <c r="H12" s="624">
        <v>0.31707317073170732</v>
      </c>
      <c r="I12" s="623">
        <v>7581.95</v>
      </c>
      <c r="J12" s="624">
        <v>0.70116633713542709</v>
      </c>
      <c r="K12" s="623">
        <v>28</v>
      </c>
      <c r="L12" s="624">
        <v>0.68292682926829273</v>
      </c>
      <c r="M12" s="623" t="s">
        <v>523</v>
      </c>
      <c r="N12" s="283"/>
    </row>
    <row r="13" spans="1:14" ht="14.4" customHeight="1" x14ac:dyDescent="0.3">
      <c r="A13" s="621" t="s">
        <v>508</v>
      </c>
      <c r="B13" s="622" t="s">
        <v>508</v>
      </c>
      <c r="C13" s="623" t="s">
        <v>508</v>
      </c>
      <c r="D13" s="623" t="s">
        <v>508</v>
      </c>
      <c r="E13" s="623" t="s">
        <v>508</v>
      </c>
      <c r="F13" s="624" t="s">
        <v>508</v>
      </c>
      <c r="G13" s="623" t="s">
        <v>508</v>
      </c>
      <c r="H13" s="624" t="s">
        <v>508</v>
      </c>
      <c r="I13" s="623" t="s">
        <v>508</v>
      </c>
      <c r="J13" s="624" t="s">
        <v>508</v>
      </c>
      <c r="K13" s="623" t="s">
        <v>508</v>
      </c>
      <c r="L13" s="624" t="s">
        <v>508</v>
      </c>
      <c r="M13" s="623" t="s">
        <v>524</v>
      </c>
      <c r="N13" s="283"/>
    </row>
    <row r="14" spans="1:14" ht="14.4" customHeight="1" x14ac:dyDescent="0.3">
      <c r="A14" s="621">
        <v>89301252</v>
      </c>
      <c r="B14" s="622" t="s">
        <v>946</v>
      </c>
      <c r="C14" s="623">
        <v>62103.480000000018</v>
      </c>
      <c r="D14" s="623">
        <v>251</v>
      </c>
      <c r="E14" s="623">
        <v>36950.760000000009</v>
      </c>
      <c r="F14" s="624">
        <v>0.59498694759134274</v>
      </c>
      <c r="G14" s="623">
        <v>136</v>
      </c>
      <c r="H14" s="624">
        <v>0.54183266932270913</v>
      </c>
      <c r="I14" s="623">
        <v>25152.720000000008</v>
      </c>
      <c r="J14" s="624">
        <v>0.40501305240865731</v>
      </c>
      <c r="K14" s="623">
        <v>115</v>
      </c>
      <c r="L14" s="624">
        <v>0.45816733067729082</v>
      </c>
      <c r="M14" s="623" t="s">
        <v>2</v>
      </c>
      <c r="N14" s="283"/>
    </row>
    <row r="15" spans="1:14" ht="14.4" customHeight="1" x14ac:dyDescent="0.3">
      <c r="A15" s="621">
        <v>89301252</v>
      </c>
      <c r="B15" s="622" t="s">
        <v>947</v>
      </c>
      <c r="C15" s="623">
        <v>0</v>
      </c>
      <c r="D15" s="623">
        <v>2</v>
      </c>
      <c r="E15" s="623">
        <v>0</v>
      </c>
      <c r="F15" s="624" t="s">
        <v>508</v>
      </c>
      <c r="G15" s="623">
        <v>1</v>
      </c>
      <c r="H15" s="624">
        <v>0.5</v>
      </c>
      <c r="I15" s="623">
        <v>0</v>
      </c>
      <c r="J15" s="624" t="s">
        <v>508</v>
      </c>
      <c r="K15" s="623">
        <v>1</v>
      </c>
      <c r="L15" s="624">
        <v>0.5</v>
      </c>
      <c r="M15" s="623" t="s">
        <v>2</v>
      </c>
      <c r="N15" s="283"/>
    </row>
    <row r="16" spans="1:14" ht="14.4" customHeight="1" x14ac:dyDescent="0.3">
      <c r="A16" s="621" t="s">
        <v>950</v>
      </c>
      <c r="B16" s="622" t="s">
        <v>951</v>
      </c>
      <c r="C16" s="623">
        <v>62103.480000000018</v>
      </c>
      <c r="D16" s="623">
        <v>253</v>
      </c>
      <c r="E16" s="623">
        <v>36950.760000000009</v>
      </c>
      <c r="F16" s="624">
        <v>0.59498694759134274</v>
      </c>
      <c r="G16" s="623">
        <v>137</v>
      </c>
      <c r="H16" s="624">
        <v>0.54150197628458496</v>
      </c>
      <c r="I16" s="623">
        <v>25152.720000000008</v>
      </c>
      <c r="J16" s="624">
        <v>0.40501305240865731</v>
      </c>
      <c r="K16" s="623">
        <v>116</v>
      </c>
      <c r="L16" s="624">
        <v>0.45849802371541504</v>
      </c>
      <c r="M16" s="623" t="s">
        <v>523</v>
      </c>
      <c r="N16" s="283"/>
    </row>
    <row r="17" spans="1:14" ht="14.4" customHeight="1" x14ac:dyDescent="0.3">
      <c r="A17" s="621" t="s">
        <v>508</v>
      </c>
      <c r="B17" s="622" t="s">
        <v>508</v>
      </c>
      <c r="C17" s="623" t="s">
        <v>508</v>
      </c>
      <c r="D17" s="623" t="s">
        <v>508</v>
      </c>
      <c r="E17" s="623" t="s">
        <v>508</v>
      </c>
      <c r="F17" s="624" t="s">
        <v>508</v>
      </c>
      <c r="G17" s="623" t="s">
        <v>508</v>
      </c>
      <c r="H17" s="624" t="s">
        <v>508</v>
      </c>
      <c r="I17" s="623" t="s">
        <v>508</v>
      </c>
      <c r="J17" s="624" t="s">
        <v>508</v>
      </c>
      <c r="K17" s="623" t="s">
        <v>508</v>
      </c>
      <c r="L17" s="624" t="s">
        <v>508</v>
      </c>
      <c r="M17" s="623" t="s">
        <v>524</v>
      </c>
      <c r="N17" s="283"/>
    </row>
    <row r="18" spans="1:14" ht="14.4" customHeight="1" x14ac:dyDescent="0.3">
      <c r="A18" s="621">
        <v>89305252</v>
      </c>
      <c r="B18" s="622" t="s">
        <v>946</v>
      </c>
      <c r="C18" s="623">
        <v>4954.8099999999995</v>
      </c>
      <c r="D18" s="623">
        <v>18</v>
      </c>
      <c r="E18" s="623">
        <v>2901.72</v>
      </c>
      <c r="F18" s="624">
        <v>0.58563698708931322</v>
      </c>
      <c r="G18" s="623">
        <v>10</v>
      </c>
      <c r="H18" s="624">
        <v>0.55555555555555558</v>
      </c>
      <c r="I18" s="623">
        <v>2053.0899999999997</v>
      </c>
      <c r="J18" s="624">
        <v>0.41436301291068678</v>
      </c>
      <c r="K18" s="623">
        <v>8</v>
      </c>
      <c r="L18" s="624">
        <v>0.44444444444444442</v>
      </c>
      <c r="M18" s="623" t="s">
        <v>2</v>
      </c>
      <c r="N18" s="283"/>
    </row>
    <row r="19" spans="1:14" ht="14.4" customHeight="1" x14ac:dyDescent="0.3">
      <c r="A19" s="621" t="s">
        <v>952</v>
      </c>
      <c r="B19" s="622" t="s">
        <v>953</v>
      </c>
      <c r="C19" s="623">
        <v>4954.8099999999995</v>
      </c>
      <c r="D19" s="623">
        <v>18</v>
      </c>
      <c r="E19" s="623">
        <v>2901.72</v>
      </c>
      <c r="F19" s="624">
        <v>0.58563698708931322</v>
      </c>
      <c r="G19" s="623">
        <v>10</v>
      </c>
      <c r="H19" s="624">
        <v>0.55555555555555558</v>
      </c>
      <c r="I19" s="623">
        <v>2053.0899999999997</v>
      </c>
      <c r="J19" s="624">
        <v>0.41436301291068678</v>
      </c>
      <c r="K19" s="623">
        <v>8</v>
      </c>
      <c r="L19" s="624">
        <v>0.44444444444444442</v>
      </c>
      <c r="M19" s="623" t="s">
        <v>523</v>
      </c>
      <c r="N19" s="283"/>
    </row>
    <row r="20" spans="1:14" ht="14.4" customHeight="1" x14ac:dyDescent="0.3">
      <c r="A20" s="621" t="s">
        <v>508</v>
      </c>
      <c r="B20" s="622" t="s">
        <v>508</v>
      </c>
      <c r="C20" s="623" t="s">
        <v>508</v>
      </c>
      <c r="D20" s="623" t="s">
        <v>508</v>
      </c>
      <c r="E20" s="623" t="s">
        <v>508</v>
      </c>
      <c r="F20" s="624" t="s">
        <v>508</v>
      </c>
      <c r="G20" s="623" t="s">
        <v>508</v>
      </c>
      <c r="H20" s="624" t="s">
        <v>508</v>
      </c>
      <c r="I20" s="623" t="s">
        <v>508</v>
      </c>
      <c r="J20" s="624" t="s">
        <v>508</v>
      </c>
      <c r="K20" s="623" t="s">
        <v>508</v>
      </c>
      <c r="L20" s="624" t="s">
        <v>508</v>
      </c>
      <c r="M20" s="623" t="s">
        <v>524</v>
      </c>
      <c r="N20" s="283"/>
    </row>
    <row r="21" spans="1:14" ht="14.4" customHeight="1" x14ac:dyDescent="0.3">
      <c r="A21" s="621">
        <v>89870255</v>
      </c>
      <c r="B21" s="622" t="s">
        <v>946</v>
      </c>
      <c r="C21" s="623">
        <v>31964.330000000009</v>
      </c>
      <c r="D21" s="623">
        <v>101</v>
      </c>
      <c r="E21" s="623">
        <v>999.93000000000006</v>
      </c>
      <c r="F21" s="624">
        <v>3.1282682915612488E-2</v>
      </c>
      <c r="G21" s="623">
        <v>3</v>
      </c>
      <c r="H21" s="624">
        <v>2.9702970297029702E-2</v>
      </c>
      <c r="I21" s="623">
        <v>30964.400000000009</v>
      </c>
      <c r="J21" s="624">
        <v>0.96871731708438746</v>
      </c>
      <c r="K21" s="623">
        <v>98</v>
      </c>
      <c r="L21" s="624">
        <v>0.97029702970297027</v>
      </c>
      <c r="M21" s="623" t="s">
        <v>2</v>
      </c>
      <c r="N21" s="283"/>
    </row>
    <row r="22" spans="1:14" ht="14.4" customHeight="1" x14ac:dyDescent="0.3">
      <c r="A22" s="621" t="s">
        <v>954</v>
      </c>
      <c r="B22" s="622" t="s">
        <v>955</v>
      </c>
      <c r="C22" s="623">
        <v>31964.330000000009</v>
      </c>
      <c r="D22" s="623">
        <v>101</v>
      </c>
      <c r="E22" s="623">
        <v>999.93000000000006</v>
      </c>
      <c r="F22" s="624">
        <v>3.1282682915612488E-2</v>
      </c>
      <c r="G22" s="623">
        <v>3</v>
      </c>
      <c r="H22" s="624">
        <v>2.9702970297029702E-2</v>
      </c>
      <c r="I22" s="623">
        <v>30964.400000000009</v>
      </c>
      <c r="J22" s="624">
        <v>0.96871731708438746</v>
      </c>
      <c r="K22" s="623">
        <v>98</v>
      </c>
      <c r="L22" s="624">
        <v>0.97029702970297027</v>
      </c>
      <c r="M22" s="623" t="s">
        <v>523</v>
      </c>
      <c r="N22" s="283"/>
    </row>
    <row r="23" spans="1:14" ht="14.4" customHeight="1" x14ac:dyDescent="0.3">
      <c r="A23" s="621" t="s">
        <v>508</v>
      </c>
      <c r="B23" s="622" t="s">
        <v>508</v>
      </c>
      <c r="C23" s="623" t="s">
        <v>508</v>
      </c>
      <c r="D23" s="623" t="s">
        <v>508</v>
      </c>
      <c r="E23" s="623" t="s">
        <v>508</v>
      </c>
      <c r="F23" s="624" t="s">
        <v>508</v>
      </c>
      <c r="G23" s="623" t="s">
        <v>508</v>
      </c>
      <c r="H23" s="624" t="s">
        <v>508</v>
      </c>
      <c r="I23" s="623" t="s">
        <v>508</v>
      </c>
      <c r="J23" s="624" t="s">
        <v>508</v>
      </c>
      <c r="K23" s="623" t="s">
        <v>508</v>
      </c>
      <c r="L23" s="624" t="s">
        <v>508</v>
      </c>
      <c r="M23" s="623" t="s">
        <v>524</v>
      </c>
      <c r="N23" s="283"/>
    </row>
    <row r="24" spans="1:14" ht="14.4" customHeight="1" x14ac:dyDescent="0.3">
      <c r="A24" s="621" t="s">
        <v>507</v>
      </c>
      <c r="B24" s="622" t="s">
        <v>956</v>
      </c>
      <c r="C24" s="623">
        <v>109835.96000000002</v>
      </c>
      <c r="D24" s="623">
        <v>413</v>
      </c>
      <c r="E24" s="623">
        <v>44083.80000000001</v>
      </c>
      <c r="F24" s="624">
        <v>0.4013603559344317</v>
      </c>
      <c r="G24" s="623">
        <v>163</v>
      </c>
      <c r="H24" s="624">
        <v>0.39467312348668282</v>
      </c>
      <c r="I24" s="623">
        <v>65752.160000000018</v>
      </c>
      <c r="J24" s="624">
        <v>0.59863964406556835</v>
      </c>
      <c r="K24" s="623">
        <v>250</v>
      </c>
      <c r="L24" s="624">
        <v>0.60532687651331718</v>
      </c>
      <c r="M24" s="623" t="s">
        <v>520</v>
      </c>
      <c r="N24" s="283"/>
    </row>
  </sheetData>
  <autoFilter ref="A4:M4"/>
  <mergeCells count="4">
    <mergeCell ref="E3:H3"/>
    <mergeCell ref="C3:D3"/>
    <mergeCell ref="I3:L3"/>
    <mergeCell ref="A1:L1"/>
  </mergeCells>
  <conditionalFormatting sqref="F4 F9 F25:F1048576">
    <cfRule type="cellIs" dxfId="48" priority="15" stopIfTrue="1" operator="lessThan">
      <formula>0.6</formula>
    </cfRule>
  </conditionalFormatting>
  <conditionalFormatting sqref="B5:B8">
    <cfRule type="expression" dxfId="47" priority="10">
      <formula>AND(LEFT(M5,6)&lt;&gt;"mezera",M5&lt;&gt;"")</formula>
    </cfRule>
  </conditionalFormatting>
  <conditionalFormatting sqref="A5:A8">
    <cfRule type="expression" dxfId="46" priority="8">
      <formula>AND(M5&lt;&gt;"",M5&lt;&gt;"mezeraKL")</formula>
    </cfRule>
  </conditionalFormatting>
  <conditionalFormatting sqref="F5:F8">
    <cfRule type="cellIs" dxfId="45" priority="7" operator="lessThan">
      <formula>0.6</formula>
    </cfRule>
  </conditionalFormatting>
  <conditionalFormatting sqref="B5:L8">
    <cfRule type="expression" dxfId="44" priority="9">
      <formula>OR($M5="KL",$M5="SumaKL")</formula>
    </cfRule>
    <cfRule type="expression" dxfId="43" priority="11">
      <formula>$M5="SumaNS"</formula>
    </cfRule>
  </conditionalFormatting>
  <conditionalFormatting sqref="A5:L8">
    <cfRule type="expression" dxfId="42" priority="12">
      <formula>$M5&lt;&gt;""</formula>
    </cfRule>
  </conditionalFormatting>
  <conditionalFormatting sqref="B10:B24">
    <cfRule type="expression" dxfId="41" priority="4">
      <formula>AND(LEFT(M10,6)&lt;&gt;"mezera",M10&lt;&gt;"")</formula>
    </cfRule>
  </conditionalFormatting>
  <conditionalFormatting sqref="A10:A24">
    <cfRule type="expression" dxfId="40" priority="2">
      <formula>AND(M10&lt;&gt;"",M10&lt;&gt;"mezeraKL")</formula>
    </cfRule>
  </conditionalFormatting>
  <conditionalFormatting sqref="F10:F24">
    <cfRule type="cellIs" dxfId="39" priority="1" operator="lessThan">
      <formula>0.6</formula>
    </cfRule>
  </conditionalFormatting>
  <conditionalFormatting sqref="B10:L24">
    <cfRule type="expression" dxfId="38" priority="3">
      <formula>OR($M10="KL",$M10="SumaKL")</formula>
    </cfRule>
    <cfRule type="expression" dxfId="37" priority="5">
      <formula>$M10="SumaNS"</formula>
    </cfRule>
  </conditionalFormatting>
  <conditionalFormatting sqref="A10:L24">
    <cfRule type="expression" dxfId="36" priority="6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31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60" customWidth="1"/>
    <col min="2" max="2" width="11.109375" style="343" bestFit="1" customWidth="1"/>
    <col min="3" max="3" width="11.109375" style="260" hidden="1" customWidth="1"/>
    <col min="4" max="4" width="7.33203125" style="343" bestFit="1" customWidth="1"/>
    <col min="5" max="5" width="7.33203125" style="260" hidden="1" customWidth="1"/>
    <col min="6" max="6" width="11.109375" style="343" bestFit="1" customWidth="1"/>
    <col min="7" max="7" width="5.33203125" style="346" customWidth="1"/>
    <col min="8" max="8" width="7.33203125" style="343" bestFit="1" customWidth="1"/>
    <col min="9" max="9" width="5.33203125" style="346" customWidth="1"/>
    <col min="10" max="10" width="11.109375" style="343" customWidth="1"/>
    <col min="11" max="11" width="5.33203125" style="346" customWidth="1"/>
    <col min="12" max="12" width="7.33203125" style="343" customWidth="1"/>
    <col min="13" max="13" width="5.33203125" style="346" customWidth="1"/>
    <col min="14" max="14" width="0" style="260" hidden="1" customWidth="1"/>
    <col min="15" max="16384" width="8.88671875" style="260"/>
  </cols>
  <sheetData>
    <row r="1" spans="1:13" ht="18.600000000000001" customHeight="1" thickBot="1" x14ac:dyDescent="0.4">
      <c r="A1" s="494" t="s">
        <v>196</v>
      </c>
      <c r="B1" s="494"/>
      <c r="C1" s="494"/>
      <c r="D1" s="494"/>
      <c r="E1" s="494"/>
      <c r="F1" s="494"/>
      <c r="G1" s="494"/>
      <c r="H1" s="494"/>
      <c r="I1" s="494"/>
      <c r="J1" s="463"/>
      <c r="K1" s="463"/>
      <c r="L1" s="463"/>
      <c r="M1" s="463"/>
    </row>
    <row r="2" spans="1:13" ht="14.4" customHeight="1" thickBot="1" x14ac:dyDescent="0.35">
      <c r="A2" s="389" t="s">
        <v>299</v>
      </c>
      <c r="B2" s="350"/>
      <c r="C2" s="342"/>
      <c r="D2" s="350"/>
      <c r="E2" s="342"/>
      <c r="F2" s="350"/>
      <c r="G2" s="351"/>
      <c r="H2" s="350"/>
      <c r="I2" s="351"/>
    </row>
    <row r="3" spans="1:13" ht="14.4" customHeight="1" thickBot="1" x14ac:dyDescent="0.35">
      <c r="A3" s="275"/>
      <c r="B3" s="505" t="s">
        <v>18</v>
      </c>
      <c r="C3" s="507"/>
      <c r="D3" s="504"/>
      <c r="E3" s="274"/>
      <c r="F3" s="504" t="s">
        <v>19</v>
      </c>
      <c r="G3" s="504"/>
      <c r="H3" s="504"/>
      <c r="I3" s="504"/>
      <c r="J3" s="504" t="s">
        <v>195</v>
      </c>
      <c r="K3" s="504"/>
      <c r="L3" s="504"/>
      <c r="M3" s="506"/>
    </row>
    <row r="4" spans="1:13" ht="14.4" customHeight="1" thickBot="1" x14ac:dyDescent="0.35">
      <c r="A4" s="670" t="s">
        <v>171</v>
      </c>
      <c r="B4" s="674" t="s">
        <v>22</v>
      </c>
      <c r="C4" s="675"/>
      <c r="D4" s="674" t="s">
        <v>23</v>
      </c>
      <c r="E4" s="675"/>
      <c r="F4" s="674" t="s">
        <v>22</v>
      </c>
      <c r="G4" s="684" t="s">
        <v>5</v>
      </c>
      <c r="H4" s="674" t="s">
        <v>23</v>
      </c>
      <c r="I4" s="684" t="s">
        <v>5</v>
      </c>
      <c r="J4" s="674" t="s">
        <v>22</v>
      </c>
      <c r="K4" s="684" t="s">
        <v>5</v>
      </c>
      <c r="L4" s="674" t="s">
        <v>23</v>
      </c>
      <c r="M4" s="685" t="s">
        <v>5</v>
      </c>
    </row>
    <row r="5" spans="1:13" ht="14.4" customHeight="1" x14ac:dyDescent="0.3">
      <c r="A5" s="671" t="s">
        <v>957</v>
      </c>
      <c r="B5" s="676">
        <v>2263.44</v>
      </c>
      <c r="C5" s="631">
        <v>1</v>
      </c>
      <c r="D5" s="681">
        <v>8</v>
      </c>
      <c r="E5" s="691" t="s">
        <v>957</v>
      </c>
      <c r="F5" s="676"/>
      <c r="G5" s="652">
        <v>0</v>
      </c>
      <c r="H5" s="634"/>
      <c r="I5" s="687">
        <v>0</v>
      </c>
      <c r="J5" s="694">
        <v>2263.44</v>
      </c>
      <c r="K5" s="652">
        <v>1</v>
      </c>
      <c r="L5" s="634">
        <v>8</v>
      </c>
      <c r="M5" s="687">
        <v>1</v>
      </c>
    </row>
    <row r="6" spans="1:13" ht="14.4" customHeight="1" x14ac:dyDescent="0.3">
      <c r="A6" s="672" t="s">
        <v>958</v>
      </c>
      <c r="B6" s="237">
        <v>1333.24</v>
      </c>
      <c r="C6" s="677">
        <v>1</v>
      </c>
      <c r="D6" s="682">
        <v>4</v>
      </c>
      <c r="E6" s="692" t="s">
        <v>958</v>
      </c>
      <c r="F6" s="237"/>
      <c r="G6" s="688">
        <v>0</v>
      </c>
      <c r="H6" s="238"/>
      <c r="I6" s="242">
        <v>0</v>
      </c>
      <c r="J6" s="695">
        <v>1333.24</v>
      </c>
      <c r="K6" s="688">
        <v>1</v>
      </c>
      <c r="L6" s="238">
        <v>4</v>
      </c>
      <c r="M6" s="242">
        <v>1</v>
      </c>
    </row>
    <row r="7" spans="1:13" ht="14.4" customHeight="1" x14ac:dyDescent="0.3">
      <c r="A7" s="672" t="s">
        <v>959</v>
      </c>
      <c r="B7" s="237">
        <v>2974.5</v>
      </c>
      <c r="C7" s="677">
        <v>1</v>
      </c>
      <c r="D7" s="682">
        <v>1</v>
      </c>
      <c r="E7" s="692" t="s">
        <v>959</v>
      </c>
      <c r="F7" s="237"/>
      <c r="G7" s="688">
        <v>0</v>
      </c>
      <c r="H7" s="238"/>
      <c r="I7" s="242">
        <v>0</v>
      </c>
      <c r="J7" s="695">
        <v>2974.5</v>
      </c>
      <c r="K7" s="688">
        <v>1</v>
      </c>
      <c r="L7" s="238">
        <v>1</v>
      </c>
      <c r="M7" s="242">
        <v>1</v>
      </c>
    </row>
    <row r="8" spans="1:13" ht="14.4" customHeight="1" x14ac:dyDescent="0.3">
      <c r="A8" s="672" t="s">
        <v>960</v>
      </c>
      <c r="B8" s="237">
        <v>9497.98</v>
      </c>
      <c r="C8" s="677">
        <v>1</v>
      </c>
      <c r="D8" s="682">
        <v>55</v>
      </c>
      <c r="E8" s="692" t="s">
        <v>960</v>
      </c>
      <c r="F8" s="237">
        <v>2826.5</v>
      </c>
      <c r="G8" s="688">
        <v>0.29758959273445512</v>
      </c>
      <c r="H8" s="238">
        <v>16</v>
      </c>
      <c r="I8" s="242">
        <v>0.29090909090909089</v>
      </c>
      <c r="J8" s="695">
        <v>6671.4800000000005</v>
      </c>
      <c r="K8" s="688">
        <v>0.70241040726554493</v>
      </c>
      <c r="L8" s="238">
        <v>39</v>
      </c>
      <c r="M8" s="242">
        <v>0.70909090909090911</v>
      </c>
    </row>
    <row r="9" spans="1:13" ht="14.4" customHeight="1" x14ac:dyDescent="0.3">
      <c r="A9" s="672" t="s">
        <v>961</v>
      </c>
      <c r="B9" s="237">
        <v>333.31</v>
      </c>
      <c r="C9" s="677">
        <v>1</v>
      </c>
      <c r="D9" s="682">
        <v>1</v>
      </c>
      <c r="E9" s="692" t="s">
        <v>961</v>
      </c>
      <c r="F9" s="237"/>
      <c r="G9" s="688">
        <v>0</v>
      </c>
      <c r="H9" s="238"/>
      <c r="I9" s="242">
        <v>0</v>
      </c>
      <c r="J9" s="695">
        <v>333.31</v>
      </c>
      <c r="K9" s="688">
        <v>1</v>
      </c>
      <c r="L9" s="238">
        <v>1</v>
      </c>
      <c r="M9" s="242">
        <v>1</v>
      </c>
    </row>
    <row r="10" spans="1:13" ht="14.4" customHeight="1" x14ac:dyDescent="0.3">
      <c r="A10" s="672" t="s">
        <v>962</v>
      </c>
      <c r="B10" s="237">
        <v>820.63</v>
      </c>
      <c r="C10" s="677">
        <v>1</v>
      </c>
      <c r="D10" s="682">
        <v>3</v>
      </c>
      <c r="E10" s="692" t="s">
        <v>962</v>
      </c>
      <c r="F10" s="237"/>
      <c r="G10" s="688">
        <v>0</v>
      </c>
      <c r="H10" s="238"/>
      <c r="I10" s="242">
        <v>0</v>
      </c>
      <c r="J10" s="695">
        <v>820.63</v>
      </c>
      <c r="K10" s="688">
        <v>1</v>
      </c>
      <c r="L10" s="238">
        <v>3</v>
      </c>
      <c r="M10" s="242">
        <v>1</v>
      </c>
    </row>
    <row r="11" spans="1:13" ht="14.4" customHeight="1" x14ac:dyDescent="0.3">
      <c r="A11" s="672" t="s">
        <v>963</v>
      </c>
      <c r="B11" s="237">
        <v>4910.1900000000005</v>
      </c>
      <c r="C11" s="677">
        <v>1</v>
      </c>
      <c r="D11" s="682">
        <v>18</v>
      </c>
      <c r="E11" s="692" t="s">
        <v>963</v>
      </c>
      <c r="F11" s="237">
        <v>1009.3699999999999</v>
      </c>
      <c r="G11" s="688">
        <v>0.2055663833782399</v>
      </c>
      <c r="H11" s="238">
        <v>4</v>
      </c>
      <c r="I11" s="242">
        <v>0.22222222222222221</v>
      </c>
      <c r="J11" s="695">
        <v>3900.82</v>
      </c>
      <c r="K11" s="688">
        <v>0.79443361662176004</v>
      </c>
      <c r="L11" s="238">
        <v>14</v>
      </c>
      <c r="M11" s="242">
        <v>0.77777777777777779</v>
      </c>
    </row>
    <row r="12" spans="1:13" ht="14.4" customHeight="1" x14ac:dyDescent="0.3">
      <c r="A12" s="672" t="s">
        <v>964</v>
      </c>
      <c r="B12" s="237">
        <v>0</v>
      </c>
      <c r="C12" s="677"/>
      <c r="D12" s="682">
        <v>1</v>
      </c>
      <c r="E12" s="692" t="s">
        <v>964</v>
      </c>
      <c r="F12" s="237"/>
      <c r="G12" s="688"/>
      <c r="H12" s="238"/>
      <c r="I12" s="242">
        <v>0</v>
      </c>
      <c r="J12" s="695">
        <v>0</v>
      </c>
      <c r="K12" s="688"/>
      <c r="L12" s="238">
        <v>1</v>
      </c>
      <c r="M12" s="242">
        <v>1</v>
      </c>
    </row>
    <row r="13" spans="1:13" ht="14.4" customHeight="1" x14ac:dyDescent="0.3">
      <c r="A13" s="672" t="s">
        <v>965</v>
      </c>
      <c r="B13" s="237">
        <v>3535.42</v>
      </c>
      <c r="C13" s="677">
        <v>1</v>
      </c>
      <c r="D13" s="682">
        <v>10</v>
      </c>
      <c r="E13" s="692" t="s">
        <v>965</v>
      </c>
      <c r="F13" s="237">
        <v>1999.8600000000001</v>
      </c>
      <c r="G13" s="688">
        <v>0.56566405123012264</v>
      </c>
      <c r="H13" s="238">
        <v>4</v>
      </c>
      <c r="I13" s="242">
        <v>0.4</v>
      </c>
      <c r="J13" s="695">
        <v>1535.56</v>
      </c>
      <c r="K13" s="688">
        <v>0.43433594876987741</v>
      </c>
      <c r="L13" s="238">
        <v>6</v>
      </c>
      <c r="M13" s="242">
        <v>0.6</v>
      </c>
    </row>
    <row r="14" spans="1:13" ht="14.4" customHeight="1" x14ac:dyDescent="0.3">
      <c r="A14" s="672" t="s">
        <v>966</v>
      </c>
      <c r="B14" s="237">
        <v>11813.32</v>
      </c>
      <c r="C14" s="677">
        <v>1</v>
      </c>
      <c r="D14" s="682">
        <v>45</v>
      </c>
      <c r="E14" s="692" t="s">
        <v>966</v>
      </c>
      <c r="F14" s="237">
        <v>4245.3100000000004</v>
      </c>
      <c r="G14" s="688">
        <v>0.35936637626001838</v>
      </c>
      <c r="H14" s="238">
        <v>18</v>
      </c>
      <c r="I14" s="242">
        <v>0.4</v>
      </c>
      <c r="J14" s="695">
        <v>7568.01</v>
      </c>
      <c r="K14" s="688">
        <v>0.64063362373998167</v>
      </c>
      <c r="L14" s="238">
        <v>27</v>
      </c>
      <c r="M14" s="242">
        <v>0.6</v>
      </c>
    </row>
    <row r="15" spans="1:13" ht="14.4" customHeight="1" x14ac:dyDescent="0.3">
      <c r="A15" s="672" t="s">
        <v>967</v>
      </c>
      <c r="B15" s="237">
        <v>1820.56</v>
      </c>
      <c r="C15" s="677">
        <v>1</v>
      </c>
      <c r="D15" s="682">
        <v>6</v>
      </c>
      <c r="E15" s="692" t="s">
        <v>967</v>
      </c>
      <c r="F15" s="237"/>
      <c r="G15" s="688">
        <v>0</v>
      </c>
      <c r="H15" s="238"/>
      <c r="I15" s="242">
        <v>0</v>
      </c>
      <c r="J15" s="695">
        <v>1820.56</v>
      </c>
      <c r="K15" s="688">
        <v>1</v>
      </c>
      <c r="L15" s="238">
        <v>6</v>
      </c>
      <c r="M15" s="242">
        <v>1</v>
      </c>
    </row>
    <row r="16" spans="1:13" ht="14.4" customHeight="1" x14ac:dyDescent="0.3">
      <c r="A16" s="672" t="s">
        <v>968</v>
      </c>
      <c r="B16" s="237">
        <v>11218.170000000002</v>
      </c>
      <c r="C16" s="677">
        <v>1</v>
      </c>
      <c r="D16" s="682">
        <v>44</v>
      </c>
      <c r="E16" s="692" t="s">
        <v>968</v>
      </c>
      <c r="F16" s="237">
        <v>7289.7000000000016</v>
      </c>
      <c r="G16" s="688">
        <v>0.64981186771104382</v>
      </c>
      <c r="H16" s="238">
        <v>28</v>
      </c>
      <c r="I16" s="242">
        <v>0.63636363636363635</v>
      </c>
      <c r="J16" s="695">
        <v>3928.4700000000003</v>
      </c>
      <c r="K16" s="688">
        <v>0.35018813228895618</v>
      </c>
      <c r="L16" s="238">
        <v>16</v>
      </c>
      <c r="M16" s="242">
        <v>0.36363636363636365</v>
      </c>
    </row>
    <row r="17" spans="1:13" ht="14.4" customHeight="1" x14ac:dyDescent="0.3">
      <c r="A17" s="672" t="s">
        <v>969</v>
      </c>
      <c r="B17" s="237">
        <v>13078.39</v>
      </c>
      <c r="C17" s="677">
        <v>1</v>
      </c>
      <c r="D17" s="682">
        <v>49</v>
      </c>
      <c r="E17" s="692" t="s">
        <v>969</v>
      </c>
      <c r="F17" s="237">
        <v>3564.7</v>
      </c>
      <c r="G17" s="688">
        <v>0.27256413060017326</v>
      </c>
      <c r="H17" s="238">
        <v>16</v>
      </c>
      <c r="I17" s="242">
        <v>0.32653061224489793</v>
      </c>
      <c r="J17" s="695">
        <v>9513.69</v>
      </c>
      <c r="K17" s="688">
        <v>0.72743586939982685</v>
      </c>
      <c r="L17" s="238">
        <v>33</v>
      </c>
      <c r="M17" s="242">
        <v>0.67346938775510201</v>
      </c>
    </row>
    <row r="18" spans="1:13" ht="14.4" customHeight="1" x14ac:dyDescent="0.3">
      <c r="A18" s="672" t="s">
        <v>970</v>
      </c>
      <c r="B18" s="237">
        <v>460.65</v>
      </c>
      <c r="C18" s="677">
        <v>1</v>
      </c>
      <c r="D18" s="682">
        <v>3</v>
      </c>
      <c r="E18" s="692" t="s">
        <v>970</v>
      </c>
      <c r="F18" s="237"/>
      <c r="G18" s="688">
        <v>0</v>
      </c>
      <c r="H18" s="238"/>
      <c r="I18" s="242">
        <v>0</v>
      </c>
      <c r="J18" s="695">
        <v>460.65</v>
      </c>
      <c r="K18" s="688">
        <v>1</v>
      </c>
      <c r="L18" s="238">
        <v>3</v>
      </c>
      <c r="M18" s="242">
        <v>1</v>
      </c>
    </row>
    <row r="19" spans="1:13" ht="14.4" customHeight="1" x14ac:dyDescent="0.3">
      <c r="A19" s="672" t="s">
        <v>971</v>
      </c>
      <c r="B19" s="237">
        <v>6271.9699999999993</v>
      </c>
      <c r="C19" s="677">
        <v>1</v>
      </c>
      <c r="D19" s="682">
        <v>14</v>
      </c>
      <c r="E19" s="692" t="s">
        <v>971</v>
      </c>
      <c r="F19" s="237">
        <v>5306.41</v>
      </c>
      <c r="G19" s="688">
        <v>0.84605155955784239</v>
      </c>
      <c r="H19" s="238">
        <v>6</v>
      </c>
      <c r="I19" s="242">
        <v>0.42857142857142855</v>
      </c>
      <c r="J19" s="695">
        <v>965.56</v>
      </c>
      <c r="K19" s="688">
        <v>0.15394844044215775</v>
      </c>
      <c r="L19" s="238">
        <v>8</v>
      </c>
      <c r="M19" s="242">
        <v>0.5714285714285714</v>
      </c>
    </row>
    <row r="20" spans="1:13" ht="14.4" customHeight="1" x14ac:dyDescent="0.3">
      <c r="A20" s="672" t="s">
        <v>972</v>
      </c>
      <c r="B20" s="237">
        <v>8100.6</v>
      </c>
      <c r="C20" s="677">
        <v>1</v>
      </c>
      <c r="D20" s="682">
        <v>32</v>
      </c>
      <c r="E20" s="692" t="s">
        <v>972</v>
      </c>
      <c r="F20" s="237">
        <v>4126.17</v>
      </c>
      <c r="G20" s="688">
        <v>0.50936597289089691</v>
      </c>
      <c r="H20" s="238">
        <v>17</v>
      </c>
      <c r="I20" s="242">
        <v>0.53125</v>
      </c>
      <c r="J20" s="695">
        <v>3974.43</v>
      </c>
      <c r="K20" s="688">
        <v>0.49063402710910298</v>
      </c>
      <c r="L20" s="238">
        <v>15</v>
      </c>
      <c r="M20" s="242">
        <v>0.46875</v>
      </c>
    </row>
    <row r="21" spans="1:13" ht="14.4" customHeight="1" x14ac:dyDescent="0.3">
      <c r="A21" s="672" t="s">
        <v>973</v>
      </c>
      <c r="B21" s="237">
        <v>1666.5500000000002</v>
      </c>
      <c r="C21" s="677">
        <v>1</v>
      </c>
      <c r="D21" s="682">
        <v>6</v>
      </c>
      <c r="E21" s="692" t="s">
        <v>973</v>
      </c>
      <c r="F21" s="237"/>
      <c r="G21" s="688">
        <v>0</v>
      </c>
      <c r="H21" s="238"/>
      <c r="I21" s="242">
        <v>0</v>
      </c>
      <c r="J21" s="695">
        <v>1666.5500000000002</v>
      </c>
      <c r="K21" s="688">
        <v>1</v>
      </c>
      <c r="L21" s="238">
        <v>6</v>
      </c>
      <c r="M21" s="242">
        <v>1</v>
      </c>
    </row>
    <row r="22" spans="1:13" ht="14.4" customHeight="1" x14ac:dyDescent="0.3">
      <c r="A22" s="672" t="s">
        <v>974</v>
      </c>
      <c r="B22" s="237">
        <v>7346.07</v>
      </c>
      <c r="C22" s="677">
        <v>1</v>
      </c>
      <c r="D22" s="682">
        <v>25</v>
      </c>
      <c r="E22" s="692" t="s">
        <v>974</v>
      </c>
      <c r="F22" s="237">
        <v>4390.84</v>
      </c>
      <c r="G22" s="688">
        <v>0.59771279064860539</v>
      </c>
      <c r="H22" s="238">
        <v>15</v>
      </c>
      <c r="I22" s="242">
        <v>0.6</v>
      </c>
      <c r="J22" s="695">
        <v>2955.23</v>
      </c>
      <c r="K22" s="688">
        <v>0.40228720935139473</v>
      </c>
      <c r="L22" s="238">
        <v>10</v>
      </c>
      <c r="M22" s="242">
        <v>0.4</v>
      </c>
    </row>
    <row r="23" spans="1:13" ht="14.4" customHeight="1" x14ac:dyDescent="0.3">
      <c r="A23" s="672" t="s">
        <v>975</v>
      </c>
      <c r="B23" s="237">
        <v>6376.34</v>
      </c>
      <c r="C23" s="677">
        <v>1</v>
      </c>
      <c r="D23" s="682">
        <v>21</v>
      </c>
      <c r="E23" s="692" t="s">
        <v>975</v>
      </c>
      <c r="F23" s="237">
        <v>4101.9500000000007</v>
      </c>
      <c r="G23" s="688">
        <v>0.64330791645363961</v>
      </c>
      <c r="H23" s="238">
        <v>14</v>
      </c>
      <c r="I23" s="242">
        <v>0.66666666666666663</v>
      </c>
      <c r="J23" s="695">
        <v>2274.39</v>
      </c>
      <c r="K23" s="688">
        <v>0.35669208354636045</v>
      </c>
      <c r="L23" s="238">
        <v>7</v>
      </c>
      <c r="M23" s="242">
        <v>0.33333333333333331</v>
      </c>
    </row>
    <row r="24" spans="1:13" ht="14.4" customHeight="1" x14ac:dyDescent="0.3">
      <c r="A24" s="672" t="s">
        <v>976</v>
      </c>
      <c r="B24" s="237">
        <v>9057.01</v>
      </c>
      <c r="C24" s="677">
        <v>1</v>
      </c>
      <c r="D24" s="682">
        <v>33</v>
      </c>
      <c r="E24" s="692" t="s">
        <v>976</v>
      </c>
      <c r="F24" s="237">
        <v>3520.1499999999996</v>
      </c>
      <c r="G24" s="688">
        <v>0.38866579588628031</v>
      </c>
      <c r="H24" s="238">
        <v>12</v>
      </c>
      <c r="I24" s="242">
        <v>0.36363636363636365</v>
      </c>
      <c r="J24" s="695">
        <v>5536.8600000000006</v>
      </c>
      <c r="K24" s="688">
        <v>0.61133420411371975</v>
      </c>
      <c r="L24" s="238">
        <v>21</v>
      </c>
      <c r="M24" s="242">
        <v>0.63636363636363635</v>
      </c>
    </row>
    <row r="25" spans="1:13" ht="14.4" customHeight="1" x14ac:dyDescent="0.3">
      <c r="A25" s="672" t="s">
        <v>977</v>
      </c>
      <c r="B25" s="237">
        <v>48.31</v>
      </c>
      <c r="C25" s="677">
        <v>1</v>
      </c>
      <c r="D25" s="682">
        <v>8</v>
      </c>
      <c r="E25" s="692" t="s">
        <v>977</v>
      </c>
      <c r="F25" s="237">
        <v>48.31</v>
      </c>
      <c r="G25" s="688">
        <v>1</v>
      </c>
      <c r="H25" s="238">
        <v>6</v>
      </c>
      <c r="I25" s="242">
        <v>0.75</v>
      </c>
      <c r="J25" s="695">
        <v>0</v>
      </c>
      <c r="K25" s="688">
        <v>0</v>
      </c>
      <c r="L25" s="238">
        <v>2</v>
      </c>
      <c r="M25" s="242">
        <v>0.25</v>
      </c>
    </row>
    <row r="26" spans="1:13" ht="14.4" customHeight="1" x14ac:dyDescent="0.3">
      <c r="A26" s="672" t="s">
        <v>978</v>
      </c>
      <c r="B26" s="237">
        <v>2011.43</v>
      </c>
      <c r="C26" s="677">
        <v>1</v>
      </c>
      <c r="D26" s="682">
        <v>9</v>
      </c>
      <c r="E26" s="692" t="s">
        <v>978</v>
      </c>
      <c r="F26" s="237">
        <v>216.16</v>
      </c>
      <c r="G26" s="688">
        <v>0.10746583276574377</v>
      </c>
      <c r="H26" s="238">
        <v>2</v>
      </c>
      <c r="I26" s="242">
        <v>0.22222222222222221</v>
      </c>
      <c r="J26" s="695">
        <v>1795.27</v>
      </c>
      <c r="K26" s="688">
        <v>0.89253416723425616</v>
      </c>
      <c r="L26" s="238">
        <v>7</v>
      </c>
      <c r="M26" s="242">
        <v>0.77777777777777779</v>
      </c>
    </row>
    <row r="27" spans="1:13" ht="14.4" customHeight="1" x14ac:dyDescent="0.3">
      <c r="A27" s="672" t="s">
        <v>979</v>
      </c>
      <c r="B27" s="237">
        <v>333.31</v>
      </c>
      <c r="C27" s="677">
        <v>1</v>
      </c>
      <c r="D27" s="682">
        <v>1</v>
      </c>
      <c r="E27" s="692" t="s">
        <v>979</v>
      </c>
      <c r="F27" s="237">
        <v>333.31</v>
      </c>
      <c r="G27" s="688">
        <v>1</v>
      </c>
      <c r="H27" s="238">
        <v>1</v>
      </c>
      <c r="I27" s="242">
        <v>1</v>
      </c>
      <c r="J27" s="695"/>
      <c r="K27" s="688">
        <v>0</v>
      </c>
      <c r="L27" s="238"/>
      <c r="M27" s="242">
        <v>0</v>
      </c>
    </row>
    <row r="28" spans="1:13" ht="14.4" customHeight="1" x14ac:dyDescent="0.3">
      <c r="A28" s="672" t="s">
        <v>980</v>
      </c>
      <c r="B28" s="237">
        <v>1438.37</v>
      </c>
      <c r="C28" s="677">
        <v>1</v>
      </c>
      <c r="D28" s="682">
        <v>5</v>
      </c>
      <c r="E28" s="692" t="s">
        <v>980</v>
      </c>
      <c r="F28" s="237">
        <v>1105.06</v>
      </c>
      <c r="G28" s="688">
        <v>0.76827241947482217</v>
      </c>
      <c r="H28" s="238">
        <v>4</v>
      </c>
      <c r="I28" s="242">
        <v>0.8</v>
      </c>
      <c r="J28" s="695">
        <v>333.31</v>
      </c>
      <c r="K28" s="688">
        <v>0.23172758052517783</v>
      </c>
      <c r="L28" s="238">
        <v>1</v>
      </c>
      <c r="M28" s="242">
        <v>0.2</v>
      </c>
    </row>
    <row r="29" spans="1:13" ht="14.4" customHeight="1" x14ac:dyDescent="0.3">
      <c r="A29" s="672" t="s">
        <v>981</v>
      </c>
      <c r="B29" s="237">
        <v>1792.9599999999998</v>
      </c>
      <c r="C29" s="677">
        <v>1</v>
      </c>
      <c r="D29" s="682">
        <v>7</v>
      </c>
      <c r="E29" s="692" t="s">
        <v>981</v>
      </c>
      <c r="F29" s="237"/>
      <c r="G29" s="688">
        <v>0</v>
      </c>
      <c r="H29" s="238"/>
      <c r="I29" s="242">
        <v>0</v>
      </c>
      <c r="J29" s="695">
        <v>1792.9599999999998</v>
      </c>
      <c r="K29" s="688">
        <v>1</v>
      </c>
      <c r="L29" s="238">
        <v>7</v>
      </c>
      <c r="M29" s="242">
        <v>1</v>
      </c>
    </row>
    <row r="30" spans="1:13" ht="14.4" customHeight="1" x14ac:dyDescent="0.3">
      <c r="A30" s="672" t="s">
        <v>982</v>
      </c>
      <c r="B30" s="237">
        <v>999.93000000000006</v>
      </c>
      <c r="C30" s="677">
        <v>1</v>
      </c>
      <c r="D30" s="682">
        <v>3</v>
      </c>
      <c r="E30" s="692" t="s">
        <v>982</v>
      </c>
      <c r="F30" s="237"/>
      <c r="G30" s="688">
        <v>0</v>
      </c>
      <c r="H30" s="238"/>
      <c r="I30" s="242">
        <v>0</v>
      </c>
      <c r="J30" s="695">
        <v>999.93000000000006</v>
      </c>
      <c r="K30" s="688">
        <v>1</v>
      </c>
      <c r="L30" s="238">
        <v>3</v>
      </c>
      <c r="M30" s="242">
        <v>1</v>
      </c>
    </row>
    <row r="31" spans="1:13" ht="14.4" customHeight="1" thickBot="1" x14ac:dyDescent="0.35">
      <c r="A31" s="673" t="s">
        <v>983</v>
      </c>
      <c r="B31" s="678">
        <v>333.31</v>
      </c>
      <c r="C31" s="679">
        <v>1</v>
      </c>
      <c r="D31" s="683">
        <v>1</v>
      </c>
      <c r="E31" s="693" t="s">
        <v>983</v>
      </c>
      <c r="F31" s="678"/>
      <c r="G31" s="689">
        <v>0</v>
      </c>
      <c r="H31" s="680"/>
      <c r="I31" s="690">
        <v>0</v>
      </c>
      <c r="J31" s="696">
        <v>333.31</v>
      </c>
      <c r="K31" s="689">
        <v>1</v>
      </c>
      <c r="L31" s="680">
        <v>1</v>
      </c>
      <c r="M31" s="690">
        <v>1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35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179"/>
  <sheetViews>
    <sheetView showGridLines="0" showRowColHeaders="0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60" hidden="1" customWidth="1" outlineLevel="1"/>
    <col min="2" max="2" width="28.33203125" style="260" hidden="1" customWidth="1" outlineLevel="1"/>
    <col min="3" max="3" width="9" style="260" customWidth="1" collapsed="1"/>
    <col min="4" max="4" width="18.77734375" style="354" customWidth="1"/>
    <col min="5" max="5" width="13.5546875" style="344" customWidth="1"/>
    <col min="6" max="6" width="6" style="260" bestFit="1" customWidth="1"/>
    <col min="7" max="7" width="8.77734375" style="260" customWidth="1"/>
    <col min="8" max="8" width="5" style="260" bestFit="1" customWidth="1"/>
    <col min="9" max="9" width="8.5546875" style="260" hidden="1" customWidth="1" outlineLevel="1"/>
    <col min="10" max="10" width="25.77734375" style="260" customWidth="1" collapsed="1"/>
    <col min="11" max="11" width="8.77734375" style="260" customWidth="1"/>
    <col min="12" max="12" width="7.77734375" style="345" customWidth="1"/>
    <col min="13" max="13" width="11.109375" style="345" customWidth="1"/>
    <col min="14" max="14" width="7.77734375" style="260" customWidth="1"/>
    <col min="15" max="15" width="7.77734375" style="355" customWidth="1"/>
    <col min="16" max="16" width="11.109375" style="345" customWidth="1"/>
    <col min="17" max="17" width="5.44140625" style="346" bestFit="1" customWidth="1"/>
    <col min="18" max="18" width="7.77734375" style="260" customWidth="1"/>
    <col min="19" max="19" width="5.44140625" style="346" bestFit="1" customWidth="1"/>
    <col min="20" max="20" width="7.77734375" style="355" customWidth="1"/>
    <col min="21" max="21" width="5.44140625" style="346" bestFit="1" customWidth="1"/>
    <col min="22" max="16384" width="8.88671875" style="260"/>
  </cols>
  <sheetData>
    <row r="1" spans="1:21" ht="18.600000000000001" customHeight="1" thickBot="1" x14ac:dyDescent="0.4">
      <c r="A1" s="486" t="s">
        <v>1193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  <c r="L1" s="463"/>
      <c r="M1" s="463"/>
      <c r="N1" s="463"/>
      <c r="O1" s="463"/>
      <c r="P1" s="463"/>
      <c r="Q1" s="463"/>
      <c r="R1" s="463"/>
      <c r="S1" s="463"/>
      <c r="T1" s="463"/>
      <c r="U1" s="463"/>
    </row>
    <row r="2" spans="1:21" ht="14.4" customHeight="1" thickBot="1" x14ac:dyDescent="0.35">
      <c r="A2" s="389" t="s">
        <v>299</v>
      </c>
      <c r="B2" s="352"/>
      <c r="C2" s="342"/>
      <c r="D2" s="342"/>
      <c r="E2" s="353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</row>
    <row r="3" spans="1:21" ht="14.4" customHeight="1" thickBot="1" x14ac:dyDescent="0.35">
      <c r="A3" s="511"/>
      <c r="B3" s="512"/>
      <c r="C3" s="512"/>
      <c r="D3" s="512"/>
      <c r="E3" s="512"/>
      <c r="F3" s="512"/>
      <c r="G3" s="512"/>
      <c r="H3" s="512"/>
      <c r="I3" s="512"/>
      <c r="J3" s="512"/>
      <c r="K3" s="513" t="s">
        <v>163</v>
      </c>
      <c r="L3" s="514"/>
      <c r="M3" s="70">
        <f>SUBTOTAL(9,M7:M1048576)</f>
        <v>109835.95999999993</v>
      </c>
      <c r="N3" s="70">
        <f>SUBTOTAL(9,N7:N1048576)</f>
        <v>499</v>
      </c>
      <c r="O3" s="70">
        <f>SUBTOTAL(9,O7:O1048576)</f>
        <v>413</v>
      </c>
      <c r="P3" s="70">
        <f>SUBTOTAL(9,P7:P1048576)</f>
        <v>44083.799999999981</v>
      </c>
      <c r="Q3" s="71">
        <f>IF(M3=0,0,P3/M3)</f>
        <v>0.40136035593443176</v>
      </c>
      <c r="R3" s="70">
        <f>SUBTOTAL(9,R7:R1048576)</f>
        <v>199</v>
      </c>
      <c r="S3" s="71">
        <f>IF(N3=0,0,R3/N3)</f>
        <v>0.39879759519038077</v>
      </c>
      <c r="T3" s="70">
        <f>SUBTOTAL(9,T7:T1048576)</f>
        <v>163</v>
      </c>
      <c r="U3" s="72">
        <f>IF(O3=0,0,T3/O3)</f>
        <v>0.39467312348668282</v>
      </c>
    </row>
    <row r="4" spans="1:21" ht="14.4" customHeight="1" x14ac:dyDescent="0.3">
      <c r="A4" s="73"/>
      <c r="B4" s="74"/>
      <c r="C4" s="74"/>
      <c r="D4" s="75"/>
      <c r="E4" s="275"/>
      <c r="F4" s="74"/>
      <c r="G4" s="74"/>
      <c r="H4" s="74"/>
      <c r="I4" s="74"/>
      <c r="J4" s="74"/>
      <c r="K4" s="74"/>
      <c r="L4" s="74"/>
      <c r="M4" s="515" t="s">
        <v>18</v>
      </c>
      <c r="N4" s="516"/>
      <c r="O4" s="516"/>
      <c r="P4" s="517" t="s">
        <v>24</v>
      </c>
      <c r="Q4" s="516"/>
      <c r="R4" s="516"/>
      <c r="S4" s="516"/>
      <c r="T4" s="516"/>
      <c r="U4" s="518"/>
    </row>
    <row r="5" spans="1:21" ht="14.4" customHeight="1" thickBot="1" x14ac:dyDescent="0.35">
      <c r="A5" s="76"/>
      <c r="B5" s="77"/>
      <c r="C5" s="74"/>
      <c r="D5" s="75"/>
      <c r="E5" s="275"/>
      <c r="F5" s="74"/>
      <c r="G5" s="74"/>
      <c r="H5" s="74"/>
      <c r="I5" s="74"/>
      <c r="J5" s="74"/>
      <c r="K5" s="74"/>
      <c r="L5" s="74"/>
      <c r="M5" s="110" t="s">
        <v>25</v>
      </c>
      <c r="N5" s="111" t="s">
        <v>16</v>
      </c>
      <c r="O5" s="111" t="s">
        <v>23</v>
      </c>
      <c r="P5" s="508" t="s">
        <v>25</v>
      </c>
      <c r="Q5" s="509"/>
      <c r="R5" s="508" t="s">
        <v>16</v>
      </c>
      <c r="S5" s="509"/>
      <c r="T5" s="508" t="s">
        <v>23</v>
      </c>
      <c r="U5" s="510"/>
    </row>
    <row r="6" spans="1:21" s="344" customFormat="1" ht="14.4" customHeight="1" thickBot="1" x14ac:dyDescent="0.35">
      <c r="A6" s="697" t="s">
        <v>26</v>
      </c>
      <c r="B6" s="698" t="s">
        <v>8</v>
      </c>
      <c r="C6" s="697" t="s">
        <v>27</v>
      </c>
      <c r="D6" s="698" t="s">
        <v>9</v>
      </c>
      <c r="E6" s="698" t="s">
        <v>198</v>
      </c>
      <c r="F6" s="698" t="s">
        <v>28</v>
      </c>
      <c r="G6" s="698" t="s">
        <v>29</v>
      </c>
      <c r="H6" s="698" t="s">
        <v>11</v>
      </c>
      <c r="I6" s="698" t="s">
        <v>13</v>
      </c>
      <c r="J6" s="698" t="s">
        <v>14</v>
      </c>
      <c r="K6" s="698" t="s">
        <v>15</v>
      </c>
      <c r="L6" s="698" t="s">
        <v>30</v>
      </c>
      <c r="M6" s="699" t="s">
        <v>17</v>
      </c>
      <c r="N6" s="700" t="s">
        <v>31</v>
      </c>
      <c r="O6" s="700" t="s">
        <v>31</v>
      </c>
      <c r="P6" s="700" t="s">
        <v>17</v>
      </c>
      <c r="Q6" s="700" t="s">
        <v>5</v>
      </c>
      <c r="R6" s="700" t="s">
        <v>31</v>
      </c>
      <c r="S6" s="700" t="s">
        <v>5</v>
      </c>
      <c r="T6" s="700" t="s">
        <v>31</v>
      </c>
      <c r="U6" s="701" t="s">
        <v>5</v>
      </c>
    </row>
    <row r="7" spans="1:21" ht="14.4" customHeight="1" x14ac:dyDescent="0.3">
      <c r="A7" s="702">
        <v>25</v>
      </c>
      <c r="B7" s="703" t="s">
        <v>509</v>
      </c>
      <c r="C7" s="703">
        <v>89301251</v>
      </c>
      <c r="D7" s="704" t="s">
        <v>1189</v>
      </c>
      <c r="E7" s="705" t="s">
        <v>963</v>
      </c>
      <c r="F7" s="703" t="s">
        <v>946</v>
      </c>
      <c r="G7" s="703" t="s">
        <v>984</v>
      </c>
      <c r="H7" s="703" t="s">
        <v>508</v>
      </c>
      <c r="I7" s="703" t="s">
        <v>985</v>
      </c>
      <c r="J7" s="703" t="s">
        <v>986</v>
      </c>
      <c r="K7" s="703" t="s">
        <v>987</v>
      </c>
      <c r="L7" s="706">
        <v>10.73</v>
      </c>
      <c r="M7" s="706">
        <v>10.73</v>
      </c>
      <c r="N7" s="703">
        <v>1</v>
      </c>
      <c r="O7" s="707">
        <v>1</v>
      </c>
      <c r="P7" s="706"/>
      <c r="Q7" s="708">
        <v>0</v>
      </c>
      <c r="R7" s="703"/>
      <c r="S7" s="708">
        <v>0</v>
      </c>
      <c r="T7" s="707"/>
      <c r="U7" s="241">
        <v>0</v>
      </c>
    </row>
    <row r="8" spans="1:21" ht="14.4" customHeight="1" x14ac:dyDescent="0.3">
      <c r="A8" s="686">
        <v>25</v>
      </c>
      <c r="B8" s="677" t="s">
        <v>509</v>
      </c>
      <c r="C8" s="677">
        <v>89301251</v>
      </c>
      <c r="D8" s="709" t="s">
        <v>1189</v>
      </c>
      <c r="E8" s="710" t="s">
        <v>963</v>
      </c>
      <c r="F8" s="677" t="s">
        <v>946</v>
      </c>
      <c r="G8" s="677" t="s">
        <v>988</v>
      </c>
      <c r="H8" s="677" t="s">
        <v>508</v>
      </c>
      <c r="I8" s="677" t="s">
        <v>989</v>
      </c>
      <c r="J8" s="677" t="s">
        <v>925</v>
      </c>
      <c r="K8" s="677" t="s">
        <v>990</v>
      </c>
      <c r="L8" s="711">
        <v>0</v>
      </c>
      <c r="M8" s="711">
        <v>0</v>
      </c>
      <c r="N8" s="677">
        <v>1</v>
      </c>
      <c r="O8" s="712">
        <v>1</v>
      </c>
      <c r="P8" s="711"/>
      <c r="Q8" s="688"/>
      <c r="R8" s="677"/>
      <c r="S8" s="688">
        <v>0</v>
      </c>
      <c r="T8" s="712"/>
      <c r="U8" s="242">
        <v>0</v>
      </c>
    </row>
    <row r="9" spans="1:21" ht="14.4" customHeight="1" x14ac:dyDescent="0.3">
      <c r="A9" s="686">
        <v>25</v>
      </c>
      <c r="B9" s="677" t="s">
        <v>509</v>
      </c>
      <c r="C9" s="677">
        <v>89301251</v>
      </c>
      <c r="D9" s="709" t="s">
        <v>1189</v>
      </c>
      <c r="E9" s="710" t="s">
        <v>963</v>
      </c>
      <c r="F9" s="677" t="s">
        <v>946</v>
      </c>
      <c r="G9" s="677" t="s">
        <v>988</v>
      </c>
      <c r="H9" s="677" t="s">
        <v>719</v>
      </c>
      <c r="I9" s="677" t="s">
        <v>785</v>
      </c>
      <c r="J9" s="677" t="s">
        <v>925</v>
      </c>
      <c r="K9" s="677" t="s">
        <v>926</v>
      </c>
      <c r="L9" s="711">
        <v>333.31</v>
      </c>
      <c r="M9" s="711">
        <v>666.62</v>
      </c>
      <c r="N9" s="677">
        <v>2</v>
      </c>
      <c r="O9" s="712">
        <v>2</v>
      </c>
      <c r="P9" s="711">
        <v>333.31</v>
      </c>
      <c r="Q9" s="688">
        <v>0.5</v>
      </c>
      <c r="R9" s="677">
        <v>1</v>
      </c>
      <c r="S9" s="688">
        <v>0.5</v>
      </c>
      <c r="T9" s="712">
        <v>1</v>
      </c>
      <c r="U9" s="242">
        <v>0.5</v>
      </c>
    </row>
    <row r="10" spans="1:21" ht="14.4" customHeight="1" x14ac:dyDescent="0.3">
      <c r="A10" s="686">
        <v>25</v>
      </c>
      <c r="B10" s="677" t="s">
        <v>509</v>
      </c>
      <c r="C10" s="677">
        <v>89301251</v>
      </c>
      <c r="D10" s="709" t="s">
        <v>1189</v>
      </c>
      <c r="E10" s="710" t="s">
        <v>966</v>
      </c>
      <c r="F10" s="677" t="s">
        <v>946</v>
      </c>
      <c r="G10" s="677" t="s">
        <v>988</v>
      </c>
      <c r="H10" s="677" t="s">
        <v>719</v>
      </c>
      <c r="I10" s="677" t="s">
        <v>785</v>
      </c>
      <c r="J10" s="677" t="s">
        <v>925</v>
      </c>
      <c r="K10" s="677" t="s">
        <v>926</v>
      </c>
      <c r="L10" s="711">
        <v>333.31</v>
      </c>
      <c r="M10" s="711">
        <v>333.31</v>
      </c>
      <c r="N10" s="677">
        <v>1</v>
      </c>
      <c r="O10" s="712">
        <v>1</v>
      </c>
      <c r="P10" s="711"/>
      <c r="Q10" s="688">
        <v>0</v>
      </c>
      <c r="R10" s="677"/>
      <c r="S10" s="688">
        <v>0</v>
      </c>
      <c r="T10" s="712"/>
      <c r="U10" s="242">
        <v>0</v>
      </c>
    </row>
    <row r="11" spans="1:21" ht="14.4" customHeight="1" x14ac:dyDescent="0.3">
      <c r="A11" s="686">
        <v>25</v>
      </c>
      <c r="B11" s="677" t="s">
        <v>509</v>
      </c>
      <c r="C11" s="677">
        <v>89301251</v>
      </c>
      <c r="D11" s="709" t="s">
        <v>1189</v>
      </c>
      <c r="E11" s="710" t="s">
        <v>969</v>
      </c>
      <c r="F11" s="677" t="s">
        <v>946</v>
      </c>
      <c r="G11" s="677" t="s">
        <v>988</v>
      </c>
      <c r="H11" s="677" t="s">
        <v>719</v>
      </c>
      <c r="I11" s="677" t="s">
        <v>785</v>
      </c>
      <c r="J11" s="677" t="s">
        <v>925</v>
      </c>
      <c r="K11" s="677" t="s">
        <v>926</v>
      </c>
      <c r="L11" s="711">
        <v>333.31</v>
      </c>
      <c r="M11" s="711">
        <v>4999.6499999999996</v>
      </c>
      <c r="N11" s="677">
        <v>15</v>
      </c>
      <c r="O11" s="712">
        <v>14</v>
      </c>
      <c r="P11" s="711">
        <v>1666.55</v>
      </c>
      <c r="Q11" s="688">
        <v>0.33333333333333337</v>
      </c>
      <c r="R11" s="677">
        <v>5</v>
      </c>
      <c r="S11" s="688">
        <v>0.33333333333333331</v>
      </c>
      <c r="T11" s="712">
        <v>4.5</v>
      </c>
      <c r="U11" s="242">
        <v>0.32142857142857145</v>
      </c>
    </row>
    <row r="12" spans="1:21" ht="14.4" customHeight="1" x14ac:dyDescent="0.3">
      <c r="A12" s="686">
        <v>25</v>
      </c>
      <c r="B12" s="677" t="s">
        <v>509</v>
      </c>
      <c r="C12" s="677">
        <v>89301251</v>
      </c>
      <c r="D12" s="709" t="s">
        <v>1189</v>
      </c>
      <c r="E12" s="710" t="s">
        <v>969</v>
      </c>
      <c r="F12" s="677" t="s">
        <v>946</v>
      </c>
      <c r="G12" s="677" t="s">
        <v>991</v>
      </c>
      <c r="H12" s="677" t="s">
        <v>508</v>
      </c>
      <c r="I12" s="677" t="s">
        <v>992</v>
      </c>
      <c r="J12" s="677" t="s">
        <v>993</v>
      </c>
      <c r="K12" s="677" t="s">
        <v>994</v>
      </c>
      <c r="L12" s="711">
        <v>0</v>
      </c>
      <c r="M12" s="711">
        <v>0</v>
      </c>
      <c r="N12" s="677">
        <v>1</v>
      </c>
      <c r="O12" s="712">
        <v>0.5</v>
      </c>
      <c r="P12" s="711"/>
      <c r="Q12" s="688"/>
      <c r="R12" s="677"/>
      <c r="S12" s="688">
        <v>0</v>
      </c>
      <c r="T12" s="712"/>
      <c r="U12" s="242">
        <v>0</v>
      </c>
    </row>
    <row r="13" spans="1:21" ht="14.4" customHeight="1" x14ac:dyDescent="0.3">
      <c r="A13" s="686">
        <v>25</v>
      </c>
      <c r="B13" s="677" t="s">
        <v>509</v>
      </c>
      <c r="C13" s="677">
        <v>89301251</v>
      </c>
      <c r="D13" s="709" t="s">
        <v>1189</v>
      </c>
      <c r="E13" s="710" t="s">
        <v>969</v>
      </c>
      <c r="F13" s="677" t="s">
        <v>946</v>
      </c>
      <c r="G13" s="677" t="s">
        <v>995</v>
      </c>
      <c r="H13" s="677" t="s">
        <v>719</v>
      </c>
      <c r="I13" s="677" t="s">
        <v>801</v>
      </c>
      <c r="J13" s="677" t="s">
        <v>802</v>
      </c>
      <c r="K13" s="677" t="s">
        <v>803</v>
      </c>
      <c r="L13" s="711">
        <v>154.01</v>
      </c>
      <c r="M13" s="711">
        <v>1386.09</v>
      </c>
      <c r="N13" s="677">
        <v>9</v>
      </c>
      <c r="O13" s="712">
        <v>6.5</v>
      </c>
      <c r="P13" s="711">
        <v>308.02</v>
      </c>
      <c r="Q13" s="688">
        <v>0.22222222222222221</v>
      </c>
      <c r="R13" s="677">
        <v>2</v>
      </c>
      <c r="S13" s="688">
        <v>0.22222222222222221</v>
      </c>
      <c r="T13" s="712">
        <v>2</v>
      </c>
      <c r="U13" s="242">
        <v>0.30769230769230771</v>
      </c>
    </row>
    <row r="14" spans="1:21" ht="14.4" customHeight="1" x14ac:dyDescent="0.3">
      <c r="A14" s="686">
        <v>25</v>
      </c>
      <c r="B14" s="677" t="s">
        <v>509</v>
      </c>
      <c r="C14" s="677">
        <v>89301251</v>
      </c>
      <c r="D14" s="709" t="s">
        <v>1189</v>
      </c>
      <c r="E14" s="710" t="s">
        <v>969</v>
      </c>
      <c r="F14" s="677" t="s">
        <v>946</v>
      </c>
      <c r="G14" s="677" t="s">
        <v>996</v>
      </c>
      <c r="H14" s="677" t="s">
        <v>508</v>
      </c>
      <c r="I14" s="677" t="s">
        <v>774</v>
      </c>
      <c r="J14" s="677" t="s">
        <v>775</v>
      </c>
      <c r="K14" s="677" t="s">
        <v>997</v>
      </c>
      <c r="L14" s="711">
        <v>31.54</v>
      </c>
      <c r="M14" s="711">
        <v>63.08</v>
      </c>
      <c r="N14" s="677">
        <v>2</v>
      </c>
      <c r="O14" s="712">
        <v>1</v>
      </c>
      <c r="P14" s="711">
        <v>31.54</v>
      </c>
      <c r="Q14" s="688">
        <v>0.5</v>
      </c>
      <c r="R14" s="677">
        <v>1</v>
      </c>
      <c r="S14" s="688">
        <v>0.5</v>
      </c>
      <c r="T14" s="712">
        <v>0.5</v>
      </c>
      <c r="U14" s="242">
        <v>0.5</v>
      </c>
    </row>
    <row r="15" spans="1:21" ht="14.4" customHeight="1" x14ac:dyDescent="0.3">
      <c r="A15" s="686">
        <v>25</v>
      </c>
      <c r="B15" s="677" t="s">
        <v>509</v>
      </c>
      <c r="C15" s="677">
        <v>89301251</v>
      </c>
      <c r="D15" s="709" t="s">
        <v>1189</v>
      </c>
      <c r="E15" s="710" t="s">
        <v>971</v>
      </c>
      <c r="F15" s="677" t="s">
        <v>946</v>
      </c>
      <c r="G15" s="677" t="s">
        <v>988</v>
      </c>
      <c r="H15" s="677" t="s">
        <v>719</v>
      </c>
      <c r="I15" s="677" t="s">
        <v>785</v>
      </c>
      <c r="J15" s="677" t="s">
        <v>925</v>
      </c>
      <c r="K15" s="677" t="s">
        <v>926</v>
      </c>
      <c r="L15" s="711">
        <v>333.31</v>
      </c>
      <c r="M15" s="711">
        <v>333.31</v>
      </c>
      <c r="N15" s="677">
        <v>1</v>
      </c>
      <c r="O15" s="712"/>
      <c r="P15" s="711"/>
      <c r="Q15" s="688">
        <v>0</v>
      </c>
      <c r="R15" s="677"/>
      <c r="S15" s="688">
        <v>0</v>
      </c>
      <c r="T15" s="712"/>
      <c r="U15" s="242"/>
    </row>
    <row r="16" spans="1:21" ht="14.4" customHeight="1" x14ac:dyDescent="0.3">
      <c r="A16" s="686">
        <v>25</v>
      </c>
      <c r="B16" s="677" t="s">
        <v>509</v>
      </c>
      <c r="C16" s="677">
        <v>89301251</v>
      </c>
      <c r="D16" s="709" t="s">
        <v>1189</v>
      </c>
      <c r="E16" s="710" t="s">
        <v>971</v>
      </c>
      <c r="F16" s="677" t="s">
        <v>946</v>
      </c>
      <c r="G16" s="677" t="s">
        <v>998</v>
      </c>
      <c r="H16" s="677" t="s">
        <v>508</v>
      </c>
      <c r="I16" s="677" t="s">
        <v>546</v>
      </c>
      <c r="J16" s="677" t="s">
        <v>547</v>
      </c>
      <c r="K16" s="677" t="s">
        <v>999</v>
      </c>
      <c r="L16" s="711">
        <v>0</v>
      </c>
      <c r="M16" s="711">
        <v>0</v>
      </c>
      <c r="N16" s="677">
        <v>2</v>
      </c>
      <c r="O16" s="712">
        <v>0.5</v>
      </c>
      <c r="P16" s="711"/>
      <c r="Q16" s="688"/>
      <c r="R16" s="677"/>
      <c r="S16" s="688">
        <v>0</v>
      </c>
      <c r="T16" s="712"/>
      <c r="U16" s="242">
        <v>0</v>
      </c>
    </row>
    <row r="17" spans="1:21" ht="14.4" customHeight="1" x14ac:dyDescent="0.3">
      <c r="A17" s="686">
        <v>25</v>
      </c>
      <c r="B17" s="677" t="s">
        <v>509</v>
      </c>
      <c r="C17" s="677">
        <v>89301251</v>
      </c>
      <c r="D17" s="709" t="s">
        <v>1189</v>
      </c>
      <c r="E17" s="710" t="s">
        <v>971</v>
      </c>
      <c r="F17" s="677" t="s">
        <v>946</v>
      </c>
      <c r="G17" s="677" t="s">
        <v>998</v>
      </c>
      <c r="H17" s="677" t="s">
        <v>508</v>
      </c>
      <c r="I17" s="677" t="s">
        <v>554</v>
      </c>
      <c r="J17" s="677" t="s">
        <v>547</v>
      </c>
      <c r="K17" s="677" t="s">
        <v>1000</v>
      </c>
      <c r="L17" s="711">
        <v>0</v>
      </c>
      <c r="M17" s="711">
        <v>0</v>
      </c>
      <c r="N17" s="677">
        <v>2</v>
      </c>
      <c r="O17" s="712">
        <v>0.5</v>
      </c>
      <c r="P17" s="711"/>
      <c r="Q17" s="688"/>
      <c r="R17" s="677"/>
      <c r="S17" s="688">
        <v>0</v>
      </c>
      <c r="T17" s="712"/>
      <c r="U17" s="242">
        <v>0</v>
      </c>
    </row>
    <row r="18" spans="1:21" ht="14.4" customHeight="1" x14ac:dyDescent="0.3">
      <c r="A18" s="686">
        <v>25</v>
      </c>
      <c r="B18" s="677" t="s">
        <v>509</v>
      </c>
      <c r="C18" s="677">
        <v>89301251</v>
      </c>
      <c r="D18" s="709" t="s">
        <v>1189</v>
      </c>
      <c r="E18" s="710" t="s">
        <v>975</v>
      </c>
      <c r="F18" s="677" t="s">
        <v>946</v>
      </c>
      <c r="G18" s="677" t="s">
        <v>988</v>
      </c>
      <c r="H18" s="677" t="s">
        <v>508</v>
      </c>
      <c r="I18" s="677" t="s">
        <v>989</v>
      </c>
      <c r="J18" s="677" t="s">
        <v>925</v>
      </c>
      <c r="K18" s="677" t="s">
        <v>990</v>
      </c>
      <c r="L18" s="711">
        <v>0</v>
      </c>
      <c r="M18" s="711">
        <v>0</v>
      </c>
      <c r="N18" s="677">
        <v>1</v>
      </c>
      <c r="O18" s="712">
        <v>1</v>
      </c>
      <c r="P18" s="711"/>
      <c r="Q18" s="688"/>
      <c r="R18" s="677"/>
      <c r="S18" s="688">
        <v>0</v>
      </c>
      <c r="T18" s="712"/>
      <c r="U18" s="242">
        <v>0</v>
      </c>
    </row>
    <row r="19" spans="1:21" ht="14.4" customHeight="1" x14ac:dyDescent="0.3">
      <c r="A19" s="686">
        <v>25</v>
      </c>
      <c r="B19" s="677" t="s">
        <v>509</v>
      </c>
      <c r="C19" s="677">
        <v>89301251</v>
      </c>
      <c r="D19" s="709" t="s">
        <v>1189</v>
      </c>
      <c r="E19" s="710" t="s">
        <v>975</v>
      </c>
      <c r="F19" s="677" t="s">
        <v>946</v>
      </c>
      <c r="G19" s="677" t="s">
        <v>988</v>
      </c>
      <c r="H19" s="677" t="s">
        <v>719</v>
      </c>
      <c r="I19" s="677" t="s">
        <v>785</v>
      </c>
      <c r="J19" s="677" t="s">
        <v>925</v>
      </c>
      <c r="K19" s="677" t="s">
        <v>926</v>
      </c>
      <c r="L19" s="711">
        <v>333.31</v>
      </c>
      <c r="M19" s="711">
        <v>999.93000000000006</v>
      </c>
      <c r="N19" s="677">
        <v>3</v>
      </c>
      <c r="O19" s="712">
        <v>3</v>
      </c>
      <c r="P19" s="711">
        <v>333.31</v>
      </c>
      <c r="Q19" s="688">
        <v>0.33333333333333331</v>
      </c>
      <c r="R19" s="677">
        <v>1</v>
      </c>
      <c r="S19" s="688">
        <v>0.33333333333333331</v>
      </c>
      <c r="T19" s="712">
        <v>1</v>
      </c>
      <c r="U19" s="242">
        <v>0.33333333333333331</v>
      </c>
    </row>
    <row r="20" spans="1:21" ht="14.4" customHeight="1" x14ac:dyDescent="0.3">
      <c r="A20" s="686">
        <v>25</v>
      </c>
      <c r="B20" s="677" t="s">
        <v>509</v>
      </c>
      <c r="C20" s="677">
        <v>89301251</v>
      </c>
      <c r="D20" s="709" t="s">
        <v>1189</v>
      </c>
      <c r="E20" s="710" t="s">
        <v>975</v>
      </c>
      <c r="F20" s="677" t="s">
        <v>946</v>
      </c>
      <c r="G20" s="677" t="s">
        <v>995</v>
      </c>
      <c r="H20" s="677" t="s">
        <v>719</v>
      </c>
      <c r="I20" s="677" t="s">
        <v>801</v>
      </c>
      <c r="J20" s="677" t="s">
        <v>802</v>
      </c>
      <c r="K20" s="677" t="s">
        <v>803</v>
      </c>
      <c r="L20" s="711">
        <v>154.01</v>
      </c>
      <c r="M20" s="711">
        <v>770.05</v>
      </c>
      <c r="N20" s="677">
        <v>5</v>
      </c>
      <c r="O20" s="712">
        <v>3</v>
      </c>
      <c r="P20" s="711">
        <v>462.03</v>
      </c>
      <c r="Q20" s="688">
        <v>0.6</v>
      </c>
      <c r="R20" s="677">
        <v>3</v>
      </c>
      <c r="S20" s="688">
        <v>0.6</v>
      </c>
      <c r="T20" s="712">
        <v>2</v>
      </c>
      <c r="U20" s="242">
        <v>0.66666666666666663</v>
      </c>
    </row>
    <row r="21" spans="1:21" ht="14.4" customHeight="1" x14ac:dyDescent="0.3">
      <c r="A21" s="686">
        <v>25</v>
      </c>
      <c r="B21" s="677" t="s">
        <v>509</v>
      </c>
      <c r="C21" s="677">
        <v>89301251</v>
      </c>
      <c r="D21" s="709" t="s">
        <v>1189</v>
      </c>
      <c r="E21" s="710" t="s">
        <v>975</v>
      </c>
      <c r="F21" s="677" t="s">
        <v>946</v>
      </c>
      <c r="G21" s="677" t="s">
        <v>1001</v>
      </c>
      <c r="H21" s="677" t="s">
        <v>508</v>
      </c>
      <c r="I21" s="677" t="s">
        <v>703</v>
      </c>
      <c r="J21" s="677" t="s">
        <v>573</v>
      </c>
      <c r="K21" s="677" t="s">
        <v>1002</v>
      </c>
      <c r="L21" s="711">
        <v>96.63</v>
      </c>
      <c r="M21" s="711">
        <v>96.63</v>
      </c>
      <c r="N21" s="677">
        <v>1</v>
      </c>
      <c r="O21" s="712">
        <v>1</v>
      </c>
      <c r="P21" s="711">
        <v>96.63</v>
      </c>
      <c r="Q21" s="688">
        <v>1</v>
      </c>
      <c r="R21" s="677">
        <v>1</v>
      </c>
      <c r="S21" s="688">
        <v>1</v>
      </c>
      <c r="T21" s="712">
        <v>1</v>
      </c>
      <c r="U21" s="242">
        <v>1</v>
      </c>
    </row>
    <row r="22" spans="1:21" ht="14.4" customHeight="1" x14ac:dyDescent="0.3">
      <c r="A22" s="686">
        <v>25</v>
      </c>
      <c r="B22" s="677" t="s">
        <v>509</v>
      </c>
      <c r="C22" s="677">
        <v>89301251</v>
      </c>
      <c r="D22" s="709" t="s">
        <v>1189</v>
      </c>
      <c r="E22" s="710" t="s">
        <v>978</v>
      </c>
      <c r="F22" s="677" t="s">
        <v>946</v>
      </c>
      <c r="G22" s="677" t="s">
        <v>988</v>
      </c>
      <c r="H22" s="677" t="s">
        <v>719</v>
      </c>
      <c r="I22" s="677" t="s">
        <v>785</v>
      </c>
      <c r="J22" s="677" t="s">
        <v>925</v>
      </c>
      <c r="K22" s="677" t="s">
        <v>926</v>
      </c>
      <c r="L22" s="711">
        <v>333.31</v>
      </c>
      <c r="M22" s="711">
        <v>999.93000000000006</v>
      </c>
      <c r="N22" s="677">
        <v>3</v>
      </c>
      <c r="O22" s="712">
        <v>3</v>
      </c>
      <c r="P22" s="711"/>
      <c r="Q22" s="688">
        <v>0</v>
      </c>
      <c r="R22" s="677"/>
      <c r="S22" s="688">
        <v>0</v>
      </c>
      <c r="T22" s="712"/>
      <c r="U22" s="242">
        <v>0</v>
      </c>
    </row>
    <row r="23" spans="1:21" ht="14.4" customHeight="1" x14ac:dyDescent="0.3">
      <c r="A23" s="686">
        <v>25</v>
      </c>
      <c r="B23" s="677" t="s">
        <v>509</v>
      </c>
      <c r="C23" s="677">
        <v>89301251</v>
      </c>
      <c r="D23" s="709" t="s">
        <v>1189</v>
      </c>
      <c r="E23" s="710" t="s">
        <v>978</v>
      </c>
      <c r="F23" s="677" t="s">
        <v>946</v>
      </c>
      <c r="G23" s="677" t="s">
        <v>1003</v>
      </c>
      <c r="H23" s="677" t="s">
        <v>508</v>
      </c>
      <c r="I23" s="677" t="s">
        <v>1004</v>
      </c>
      <c r="J23" s="677" t="s">
        <v>1005</v>
      </c>
      <c r="K23" s="677" t="s">
        <v>1006</v>
      </c>
      <c r="L23" s="711">
        <v>0</v>
      </c>
      <c r="M23" s="711">
        <v>0</v>
      </c>
      <c r="N23" s="677">
        <v>1</v>
      </c>
      <c r="O23" s="712">
        <v>1</v>
      </c>
      <c r="P23" s="711">
        <v>0</v>
      </c>
      <c r="Q23" s="688"/>
      <c r="R23" s="677">
        <v>1</v>
      </c>
      <c r="S23" s="688">
        <v>1</v>
      </c>
      <c r="T23" s="712">
        <v>1</v>
      </c>
      <c r="U23" s="242">
        <v>1</v>
      </c>
    </row>
    <row r="24" spans="1:21" ht="14.4" customHeight="1" x14ac:dyDescent="0.3">
      <c r="A24" s="686">
        <v>25</v>
      </c>
      <c r="B24" s="677" t="s">
        <v>509</v>
      </c>
      <c r="C24" s="677">
        <v>89301251</v>
      </c>
      <c r="D24" s="709" t="s">
        <v>1189</v>
      </c>
      <c r="E24" s="710" t="s">
        <v>978</v>
      </c>
      <c r="F24" s="677" t="s">
        <v>946</v>
      </c>
      <c r="G24" s="677" t="s">
        <v>995</v>
      </c>
      <c r="H24" s="677" t="s">
        <v>719</v>
      </c>
      <c r="I24" s="677" t="s">
        <v>801</v>
      </c>
      <c r="J24" s="677" t="s">
        <v>802</v>
      </c>
      <c r="K24" s="677" t="s">
        <v>803</v>
      </c>
      <c r="L24" s="711">
        <v>154.01</v>
      </c>
      <c r="M24" s="711">
        <v>154.01</v>
      </c>
      <c r="N24" s="677">
        <v>1</v>
      </c>
      <c r="O24" s="712">
        <v>1</v>
      </c>
      <c r="P24" s="711"/>
      <c r="Q24" s="688">
        <v>0</v>
      </c>
      <c r="R24" s="677"/>
      <c r="S24" s="688">
        <v>0</v>
      </c>
      <c r="T24" s="712"/>
      <c r="U24" s="242">
        <v>0</v>
      </c>
    </row>
    <row r="25" spans="1:21" ht="14.4" customHeight="1" x14ac:dyDescent="0.3">
      <c r="A25" s="686">
        <v>25</v>
      </c>
      <c r="B25" s="677" t="s">
        <v>509</v>
      </c>
      <c r="C25" s="677">
        <v>89301252</v>
      </c>
      <c r="D25" s="709" t="s">
        <v>1190</v>
      </c>
      <c r="E25" s="710" t="s">
        <v>960</v>
      </c>
      <c r="F25" s="677" t="s">
        <v>946</v>
      </c>
      <c r="G25" s="677" t="s">
        <v>988</v>
      </c>
      <c r="H25" s="677" t="s">
        <v>719</v>
      </c>
      <c r="I25" s="677" t="s">
        <v>785</v>
      </c>
      <c r="J25" s="677" t="s">
        <v>925</v>
      </c>
      <c r="K25" s="677" t="s">
        <v>926</v>
      </c>
      <c r="L25" s="711">
        <v>333.31</v>
      </c>
      <c r="M25" s="711">
        <v>1999.8600000000001</v>
      </c>
      <c r="N25" s="677">
        <v>6</v>
      </c>
      <c r="O25" s="712">
        <v>3.5</v>
      </c>
      <c r="P25" s="711">
        <v>999.93000000000006</v>
      </c>
      <c r="Q25" s="688">
        <v>0.5</v>
      </c>
      <c r="R25" s="677">
        <v>3</v>
      </c>
      <c r="S25" s="688">
        <v>0.5</v>
      </c>
      <c r="T25" s="712">
        <v>2</v>
      </c>
      <c r="U25" s="242">
        <v>0.5714285714285714</v>
      </c>
    </row>
    <row r="26" spans="1:21" ht="14.4" customHeight="1" x14ac:dyDescent="0.3">
      <c r="A26" s="686">
        <v>25</v>
      </c>
      <c r="B26" s="677" t="s">
        <v>509</v>
      </c>
      <c r="C26" s="677">
        <v>89301252</v>
      </c>
      <c r="D26" s="709" t="s">
        <v>1190</v>
      </c>
      <c r="E26" s="710" t="s">
        <v>960</v>
      </c>
      <c r="F26" s="677" t="s">
        <v>946</v>
      </c>
      <c r="G26" s="677" t="s">
        <v>1007</v>
      </c>
      <c r="H26" s="677" t="s">
        <v>719</v>
      </c>
      <c r="I26" s="677" t="s">
        <v>1008</v>
      </c>
      <c r="J26" s="677" t="s">
        <v>1009</v>
      </c>
      <c r="K26" s="677" t="s">
        <v>1010</v>
      </c>
      <c r="L26" s="711">
        <v>138.16</v>
      </c>
      <c r="M26" s="711">
        <v>276.32</v>
      </c>
      <c r="N26" s="677">
        <v>2</v>
      </c>
      <c r="O26" s="712">
        <v>1</v>
      </c>
      <c r="P26" s="711"/>
      <c r="Q26" s="688">
        <v>0</v>
      </c>
      <c r="R26" s="677"/>
      <c r="S26" s="688">
        <v>0</v>
      </c>
      <c r="T26" s="712"/>
      <c r="U26" s="242">
        <v>0</v>
      </c>
    </row>
    <row r="27" spans="1:21" ht="14.4" customHeight="1" x14ac:dyDescent="0.3">
      <c r="A27" s="686">
        <v>25</v>
      </c>
      <c r="B27" s="677" t="s">
        <v>509</v>
      </c>
      <c r="C27" s="677">
        <v>89301252</v>
      </c>
      <c r="D27" s="709" t="s">
        <v>1190</v>
      </c>
      <c r="E27" s="710" t="s">
        <v>960</v>
      </c>
      <c r="F27" s="677" t="s">
        <v>946</v>
      </c>
      <c r="G27" s="677" t="s">
        <v>991</v>
      </c>
      <c r="H27" s="677" t="s">
        <v>508</v>
      </c>
      <c r="I27" s="677" t="s">
        <v>992</v>
      </c>
      <c r="J27" s="677" t="s">
        <v>993</v>
      </c>
      <c r="K27" s="677" t="s">
        <v>994</v>
      </c>
      <c r="L27" s="711">
        <v>0</v>
      </c>
      <c r="M27" s="711">
        <v>0</v>
      </c>
      <c r="N27" s="677">
        <v>1</v>
      </c>
      <c r="O27" s="712">
        <v>1</v>
      </c>
      <c r="P27" s="711"/>
      <c r="Q27" s="688"/>
      <c r="R27" s="677"/>
      <c r="S27" s="688">
        <v>0</v>
      </c>
      <c r="T27" s="712"/>
      <c r="U27" s="242">
        <v>0</v>
      </c>
    </row>
    <row r="28" spans="1:21" ht="14.4" customHeight="1" x14ac:dyDescent="0.3">
      <c r="A28" s="686">
        <v>25</v>
      </c>
      <c r="B28" s="677" t="s">
        <v>509</v>
      </c>
      <c r="C28" s="677">
        <v>89301252</v>
      </c>
      <c r="D28" s="709" t="s">
        <v>1190</v>
      </c>
      <c r="E28" s="710" t="s">
        <v>960</v>
      </c>
      <c r="F28" s="677" t="s">
        <v>946</v>
      </c>
      <c r="G28" s="677" t="s">
        <v>1011</v>
      </c>
      <c r="H28" s="677" t="s">
        <v>508</v>
      </c>
      <c r="I28" s="677" t="s">
        <v>1012</v>
      </c>
      <c r="J28" s="677" t="s">
        <v>1013</v>
      </c>
      <c r="K28" s="677" t="s">
        <v>1014</v>
      </c>
      <c r="L28" s="711">
        <v>71.2</v>
      </c>
      <c r="M28" s="711">
        <v>213.60000000000002</v>
      </c>
      <c r="N28" s="677">
        <v>3</v>
      </c>
      <c r="O28" s="712">
        <v>2</v>
      </c>
      <c r="P28" s="711"/>
      <c r="Q28" s="688">
        <v>0</v>
      </c>
      <c r="R28" s="677"/>
      <c r="S28" s="688">
        <v>0</v>
      </c>
      <c r="T28" s="712"/>
      <c r="U28" s="242">
        <v>0</v>
      </c>
    </row>
    <row r="29" spans="1:21" ht="14.4" customHeight="1" x14ac:dyDescent="0.3">
      <c r="A29" s="686">
        <v>25</v>
      </c>
      <c r="B29" s="677" t="s">
        <v>509</v>
      </c>
      <c r="C29" s="677">
        <v>89301252</v>
      </c>
      <c r="D29" s="709" t="s">
        <v>1190</v>
      </c>
      <c r="E29" s="710" t="s">
        <v>960</v>
      </c>
      <c r="F29" s="677" t="s">
        <v>946</v>
      </c>
      <c r="G29" s="677" t="s">
        <v>1015</v>
      </c>
      <c r="H29" s="677" t="s">
        <v>508</v>
      </c>
      <c r="I29" s="677" t="s">
        <v>1016</v>
      </c>
      <c r="J29" s="677" t="s">
        <v>1017</v>
      </c>
      <c r="K29" s="677" t="s">
        <v>1018</v>
      </c>
      <c r="L29" s="711">
        <v>31.4</v>
      </c>
      <c r="M29" s="711">
        <v>94.199999999999989</v>
      </c>
      <c r="N29" s="677">
        <v>3</v>
      </c>
      <c r="O29" s="712">
        <v>3</v>
      </c>
      <c r="P29" s="711"/>
      <c r="Q29" s="688">
        <v>0</v>
      </c>
      <c r="R29" s="677"/>
      <c r="S29" s="688">
        <v>0</v>
      </c>
      <c r="T29" s="712"/>
      <c r="U29" s="242">
        <v>0</v>
      </c>
    </row>
    <row r="30" spans="1:21" ht="14.4" customHeight="1" x14ac:dyDescent="0.3">
      <c r="A30" s="686">
        <v>25</v>
      </c>
      <c r="B30" s="677" t="s">
        <v>509</v>
      </c>
      <c r="C30" s="677">
        <v>89301252</v>
      </c>
      <c r="D30" s="709" t="s">
        <v>1190</v>
      </c>
      <c r="E30" s="710" t="s">
        <v>960</v>
      </c>
      <c r="F30" s="677" t="s">
        <v>946</v>
      </c>
      <c r="G30" s="677" t="s">
        <v>995</v>
      </c>
      <c r="H30" s="677" t="s">
        <v>719</v>
      </c>
      <c r="I30" s="677" t="s">
        <v>801</v>
      </c>
      <c r="J30" s="677" t="s">
        <v>802</v>
      </c>
      <c r="K30" s="677" t="s">
        <v>803</v>
      </c>
      <c r="L30" s="711">
        <v>154.01</v>
      </c>
      <c r="M30" s="711">
        <v>1078.07</v>
      </c>
      <c r="N30" s="677">
        <v>7</v>
      </c>
      <c r="O30" s="712">
        <v>6.5</v>
      </c>
      <c r="P30" s="711">
        <v>924.06</v>
      </c>
      <c r="Q30" s="688">
        <v>0.8571428571428571</v>
      </c>
      <c r="R30" s="677">
        <v>6</v>
      </c>
      <c r="S30" s="688">
        <v>0.8571428571428571</v>
      </c>
      <c r="T30" s="712">
        <v>5.5</v>
      </c>
      <c r="U30" s="242">
        <v>0.84615384615384615</v>
      </c>
    </row>
    <row r="31" spans="1:21" ht="14.4" customHeight="1" x14ac:dyDescent="0.3">
      <c r="A31" s="686">
        <v>25</v>
      </c>
      <c r="B31" s="677" t="s">
        <v>509</v>
      </c>
      <c r="C31" s="677">
        <v>89301252</v>
      </c>
      <c r="D31" s="709" t="s">
        <v>1190</v>
      </c>
      <c r="E31" s="710" t="s">
        <v>960</v>
      </c>
      <c r="F31" s="677" t="s">
        <v>946</v>
      </c>
      <c r="G31" s="677" t="s">
        <v>995</v>
      </c>
      <c r="H31" s="677" t="s">
        <v>719</v>
      </c>
      <c r="I31" s="677" t="s">
        <v>1019</v>
      </c>
      <c r="J31" s="677" t="s">
        <v>1020</v>
      </c>
      <c r="K31" s="677" t="s">
        <v>1021</v>
      </c>
      <c r="L31" s="711">
        <v>77.010000000000005</v>
      </c>
      <c r="M31" s="711">
        <v>462.06000000000006</v>
      </c>
      <c r="N31" s="677">
        <v>6</v>
      </c>
      <c r="O31" s="712">
        <v>6</v>
      </c>
      <c r="P31" s="711">
        <v>231.03000000000003</v>
      </c>
      <c r="Q31" s="688">
        <v>0.5</v>
      </c>
      <c r="R31" s="677">
        <v>3</v>
      </c>
      <c r="S31" s="688">
        <v>0.5</v>
      </c>
      <c r="T31" s="712">
        <v>3</v>
      </c>
      <c r="U31" s="242">
        <v>0.5</v>
      </c>
    </row>
    <row r="32" spans="1:21" ht="14.4" customHeight="1" x14ac:dyDescent="0.3">
      <c r="A32" s="686">
        <v>25</v>
      </c>
      <c r="B32" s="677" t="s">
        <v>509</v>
      </c>
      <c r="C32" s="677">
        <v>89301252</v>
      </c>
      <c r="D32" s="709" t="s">
        <v>1190</v>
      </c>
      <c r="E32" s="710" t="s">
        <v>960</v>
      </c>
      <c r="F32" s="677" t="s">
        <v>946</v>
      </c>
      <c r="G32" s="677" t="s">
        <v>1022</v>
      </c>
      <c r="H32" s="677" t="s">
        <v>508</v>
      </c>
      <c r="I32" s="677" t="s">
        <v>1023</v>
      </c>
      <c r="J32" s="677" t="s">
        <v>1024</v>
      </c>
      <c r="K32" s="677" t="s">
        <v>1025</v>
      </c>
      <c r="L32" s="711">
        <v>51.62</v>
      </c>
      <c r="M32" s="711">
        <v>51.62</v>
      </c>
      <c r="N32" s="677">
        <v>1</v>
      </c>
      <c r="O32" s="712">
        <v>1</v>
      </c>
      <c r="P32" s="711"/>
      <c r="Q32" s="688">
        <v>0</v>
      </c>
      <c r="R32" s="677"/>
      <c r="S32" s="688">
        <v>0</v>
      </c>
      <c r="T32" s="712"/>
      <c r="U32" s="242">
        <v>0</v>
      </c>
    </row>
    <row r="33" spans="1:21" ht="14.4" customHeight="1" x14ac:dyDescent="0.3">
      <c r="A33" s="686">
        <v>25</v>
      </c>
      <c r="B33" s="677" t="s">
        <v>509</v>
      </c>
      <c r="C33" s="677">
        <v>89301252</v>
      </c>
      <c r="D33" s="709" t="s">
        <v>1190</v>
      </c>
      <c r="E33" s="710" t="s">
        <v>960</v>
      </c>
      <c r="F33" s="677" t="s">
        <v>946</v>
      </c>
      <c r="G33" s="677" t="s">
        <v>1001</v>
      </c>
      <c r="H33" s="677" t="s">
        <v>719</v>
      </c>
      <c r="I33" s="677" t="s">
        <v>1026</v>
      </c>
      <c r="J33" s="677" t="s">
        <v>573</v>
      </c>
      <c r="K33" s="677" t="s">
        <v>1027</v>
      </c>
      <c r="L33" s="711">
        <v>48.31</v>
      </c>
      <c r="M33" s="711">
        <v>579.72</v>
      </c>
      <c r="N33" s="677">
        <v>12</v>
      </c>
      <c r="O33" s="712">
        <v>8</v>
      </c>
      <c r="P33" s="711">
        <v>289.86</v>
      </c>
      <c r="Q33" s="688">
        <v>0.5</v>
      </c>
      <c r="R33" s="677">
        <v>6</v>
      </c>
      <c r="S33" s="688">
        <v>0.5</v>
      </c>
      <c r="T33" s="712">
        <v>3.5</v>
      </c>
      <c r="U33" s="242">
        <v>0.4375</v>
      </c>
    </row>
    <row r="34" spans="1:21" ht="14.4" customHeight="1" x14ac:dyDescent="0.3">
      <c r="A34" s="686">
        <v>25</v>
      </c>
      <c r="B34" s="677" t="s">
        <v>509</v>
      </c>
      <c r="C34" s="677">
        <v>89301252</v>
      </c>
      <c r="D34" s="709" t="s">
        <v>1190</v>
      </c>
      <c r="E34" s="710" t="s">
        <v>960</v>
      </c>
      <c r="F34" s="677" t="s">
        <v>946</v>
      </c>
      <c r="G34" s="677" t="s">
        <v>1028</v>
      </c>
      <c r="H34" s="677" t="s">
        <v>508</v>
      </c>
      <c r="I34" s="677" t="s">
        <v>1029</v>
      </c>
      <c r="J34" s="677" t="s">
        <v>1030</v>
      </c>
      <c r="K34" s="677" t="s">
        <v>1031</v>
      </c>
      <c r="L34" s="711">
        <v>0</v>
      </c>
      <c r="M34" s="711">
        <v>0</v>
      </c>
      <c r="N34" s="677">
        <v>1</v>
      </c>
      <c r="O34" s="712">
        <v>1</v>
      </c>
      <c r="P34" s="711"/>
      <c r="Q34" s="688"/>
      <c r="R34" s="677"/>
      <c r="S34" s="688">
        <v>0</v>
      </c>
      <c r="T34" s="712"/>
      <c r="U34" s="242">
        <v>0</v>
      </c>
    </row>
    <row r="35" spans="1:21" ht="14.4" customHeight="1" x14ac:dyDescent="0.3">
      <c r="A35" s="686">
        <v>25</v>
      </c>
      <c r="B35" s="677" t="s">
        <v>509</v>
      </c>
      <c r="C35" s="677">
        <v>89301252</v>
      </c>
      <c r="D35" s="709" t="s">
        <v>1190</v>
      </c>
      <c r="E35" s="710" t="s">
        <v>960</v>
      </c>
      <c r="F35" s="677" t="s">
        <v>946</v>
      </c>
      <c r="G35" s="677" t="s">
        <v>1032</v>
      </c>
      <c r="H35" s="677" t="s">
        <v>508</v>
      </c>
      <c r="I35" s="677" t="s">
        <v>1033</v>
      </c>
      <c r="J35" s="677" t="s">
        <v>1034</v>
      </c>
      <c r="K35" s="677" t="s">
        <v>1035</v>
      </c>
      <c r="L35" s="711">
        <v>0</v>
      </c>
      <c r="M35" s="711">
        <v>0</v>
      </c>
      <c r="N35" s="677">
        <v>2</v>
      </c>
      <c r="O35" s="712">
        <v>1</v>
      </c>
      <c r="P35" s="711">
        <v>0</v>
      </c>
      <c r="Q35" s="688"/>
      <c r="R35" s="677">
        <v>2</v>
      </c>
      <c r="S35" s="688">
        <v>1</v>
      </c>
      <c r="T35" s="712">
        <v>1</v>
      </c>
      <c r="U35" s="242">
        <v>1</v>
      </c>
    </row>
    <row r="36" spans="1:21" ht="14.4" customHeight="1" x14ac:dyDescent="0.3">
      <c r="A36" s="686">
        <v>25</v>
      </c>
      <c r="B36" s="677" t="s">
        <v>509</v>
      </c>
      <c r="C36" s="677">
        <v>89301252</v>
      </c>
      <c r="D36" s="709" t="s">
        <v>1190</v>
      </c>
      <c r="E36" s="710" t="s">
        <v>960</v>
      </c>
      <c r="F36" s="677" t="s">
        <v>946</v>
      </c>
      <c r="G36" s="677" t="s">
        <v>1032</v>
      </c>
      <c r="H36" s="677" t="s">
        <v>508</v>
      </c>
      <c r="I36" s="677" t="s">
        <v>1036</v>
      </c>
      <c r="J36" s="677" t="s">
        <v>1037</v>
      </c>
      <c r="K36" s="677" t="s">
        <v>1038</v>
      </c>
      <c r="L36" s="711">
        <v>0</v>
      </c>
      <c r="M36" s="711">
        <v>0</v>
      </c>
      <c r="N36" s="677">
        <v>1</v>
      </c>
      <c r="O36" s="712">
        <v>1</v>
      </c>
      <c r="P36" s="711"/>
      <c r="Q36" s="688"/>
      <c r="R36" s="677"/>
      <c r="S36" s="688">
        <v>0</v>
      </c>
      <c r="T36" s="712"/>
      <c r="U36" s="242">
        <v>0</v>
      </c>
    </row>
    <row r="37" spans="1:21" ht="14.4" customHeight="1" x14ac:dyDescent="0.3">
      <c r="A37" s="686">
        <v>25</v>
      </c>
      <c r="B37" s="677" t="s">
        <v>509</v>
      </c>
      <c r="C37" s="677">
        <v>89301252</v>
      </c>
      <c r="D37" s="709" t="s">
        <v>1190</v>
      </c>
      <c r="E37" s="710" t="s">
        <v>960</v>
      </c>
      <c r="F37" s="677" t="s">
        <v>946</v>
      </c>
      <c r="G37" s="677" t="s">
        <v>1039</v>
      </c>
      <c r="H37" s="677" t="s">
        <v>508</v>
      </c>
      <c r="I37" s="677" t="s">
        <v>1040</v>
      </c>
      <c r="J37" s="677" t="s">
        <v>1041</v>
      </c>
      <c r="K37" s="677" t="s">
        <v>601</v>
      </c>
      <c r="L37" s="711">
        <v>0</v>
      </c>
      <c r="M37" s="711">
        <v>0</v>
      </c>
      <c r="N37" s="677">
        <v>1</v>
      </c>
      <c r="O37" s="712">
        <v>1</v>
      </c>
      <c r="P37" s="711"/>
      <c r="Q37" s="688"/>
      <c r="R37" s="677"/>
      <c r="S37" s="688">
        <v>0</v>
      </c>
      <c r="T37" s="712"/>
      <c r="U37" s="242">
        <v>0</v>
      </c>
    </row>
    <row r="38" spans="1:21" ht="14.4" customHeight="1" x14ac:dyDescent="0.3">
      <c r="A38" s="686">
        <v>25</v>
      </c>
      <c r="B38" s="677" t="s">
        <v>509</v>
      </c>
      <c r="C38" s="677">
        <v>89301252</v>
      </c>
      <c r="D38" s="709" t="s">
        <v>1190</v>
      </c>
      <c r="E38" s="710" t="s">
        <v>960</v>
      </c>
      <c r="F38" s="677" t="s">
        <v>947</v>
      </c>
      <c r="G38" s="677" t="s">
        <v>1042</v>
      </c>
      <c r="H38" s="677" t="s">
        <v>508</v>
      </c>
      <c r="I38" s="677" t="s">
        <v>1043</v>
      </c>
      <c r="J38" s="677" t="s">
        <v>1044</v>
      </c>
      <c r="K38" s="677"/>
      <c r="L38" s="711">
        <v>0</v>
      </c>
      <c r="M38" s="711">
        <v>0</v>
      </c>
      <c r="N38" s="677">
        <v>1</v>
      </c>
      <c r="O38" s="712">
        <v>1</v>
      </c>
      <c r="P38" s="711"/>
      <c r="Q38" s="688"/>
      <c r="R38" s="677"/>
      <c r="S38" s="688">
        <v>0</v>
      </c>
      <c r="T38" s="712"/>
      <c r="U38" s="242">
        <v>0</v>
      </c>
    </row>
    <row r="39" spans="1:21" ht="14.4" customHeight="1" x14ac:dyDescent="0.3">
      <c r="A39" s="686">
        <v>25</v>
      </c>
      <c r="B39" s="677" t="s">
        <v>509</v>
      </c>
      <c r="C39" s="677">
        <v>89301252</v>
      </c>
      <c r="D39" s="709" t="s">
        <v>1190</v>
      </c>
      <c r="E39" s="710" t="s">
        <v>963</v>
      </c>
      <c r="F39" s="677" t="s">
        <v>946</v>
      </c>
      <c r="G39" s="677" t="s">
        <v>988</v>
      </c>
      <c r="H39" s="677" t="s">
        <v>719</v>
      </c>
      <c r="I39" s="677" t="s">
        <v>785</v>
      </c>
      <c r="J39" s="677" t="s">
        <v>925</v>
      </c>
      <c r="K39" s="677" t="s">
        <v>926</v>
      </c>
      <c r="L39" s="711">
        <v>333.31</v>
      </c>
      <c r="M39" s="711">
        <v>666.62</v>
      </c>
      <c r="N39" s="677">
        <v>2</v>
      </c>
      <c r="O39" s="712">
        <v>2</v>
      </c>
      <c r="P39" s="711"/>
      <c r="Q39" s="688">
        <v>0</v>
      </c>
      <c r="R39" s="677"/>
      <c r="S39" s="688">
        <v>0</v>
      </c>
      <c r="T39" s="712"/>
      <c r="U39" s="242">
        <v>0</v>
      </c>
    </row>
    <row r="40" spans="1:21" ht="14.4" customHeight="1" x14ac:dyDescent="0.3">
      <c r="A40" s="686">
        <v>25</v>
      </c>
      <c r="B40" s="677" t="s">
        <v>509</v>
      </c>
      <c r="C40" s="677">
        <v>89301252</v>
      </c>
      <c r="D40" s="709" t="s">
        <v>1190</v>
      </c>
      <c r="E40" s="710" t="s">
        <v>963</v>
      </c>
      <c r="F40" s="677" t="s">
        <v>946</v>
      </c>
      <c r="G40" s="677" t="s">
        <v>1045</v>
      </c>
      <c r="H40" s="677" t="s">
        <v>508</v>
      </c>
      <c r="I40" s="677" t="s">
        <v>1046</v>
      </c>
      <c r="J40" s="677" t="s">
        <v>1047</v>
      </c>
      <c r="K40" s="677" t="s">
        <v>1048</v>
      </c>
      <c r="L40" s="711">
        <v>75.36</v>
      </c>
      <c r="M40" s="711">
        <v>75.36</v>
      </c>
      <c r="N40" s="677">
        <v>1</v>
      </c>
      <c r="O40" s="712">
        <v>0.5</v>
      </c>
      <c r="P40" s="711">
        <v>75.36</v>
      </c>
      <c r="Q40" s="688">
        <v>1</v>
      </c>
      <c r="R40" s="677">
        <v>1</v>
      </c>
      <c r="S40" s="688">
        <v>1</v>
      </c>
      <c r="T40" s="712">
        <v>0.5</v>
      </c>
      <c r="U40" s="242">
        <v>1</v>
      </c>
    </row>
    <row r="41" spans="1:21" ht="14.4" customHeight="1" x14ac:dyDescent="0.3">
      <c r="A41" s="686">
        <v>25</v>
      </c>
      <c r="B41" s="677" t="s">
        <v>509</v>
      </c>
      <c r="C41" s="677">
        <v>89301252</v>
      </c>
      <c r="D41" s="709" t="s">
        <v>1190</v>
      </c>
      <c r="E41" s="710" t="s">
        <v>963</v>
      </c>
      <c r="F41" s="677" t="s">
        <v>946</v>
      </c>
      <c r="G41" s="677" t="s">
        <v>995</v>
      </c>
      <c r="H41" s="677" t="s">
        <v>719</v>
      </c>
      <c r="I41" s="677" t="s">
        <v>801</v>
      </c>
      <c r="J41" s="677" t="s">
        <v>802</v>
      </c>
      <c r="K41" s="677" t="s">
        <v>803</v>
      </c>
      <c r="L41" s="711">
        <v>154.01</v>
      </c>
      <c r="M41" s="711">
        <v>462.03</v>
      </c>
      <c r="N41" s="677">
        <v>3</v>
      </c>
      <c r="O41" s="712">
        <v>2</v>
      </c>
      <c r="P41" s="711">
        <v>154.01</v>
      </c>
      <c r="Q41" s="688">
        <v>0.33333333333333331</v>
      </c>
      <c r="R41" s="677">
        <v>1</v>
      </c>
      <c r="S41" s="688">
        <v>0.33333333333333331</v>
      </c>
      <c r="T41" s="712">
        <v>1</v>
      </c>
      <c r="U41" s="242">
        <v>0.5</v>
      </c>
    </row>
    <row r="42" spans="1:21" ht="14.4" customHeight="1" x14ac:dyDescent="0.3">
      <c r="A42" s="686">
        <v>25</v>
      </c>
      <c r="B42" s="677" t="s">
        <v>509</v>
      </c>
      <c r="C42" s="677">
        <v>89301252</v>
      </c>
      <c r="D42" s="709" t="s">
        <v>1190</v>
      </c>
      <c r="E42" s="710" t="s">
        <v>963</v>
      </c>
      <c r="F42" s="677" t="s">
        <v>946</v>
      </c>
      <c r="G42" s="677" t="s">
        <v>1049</v>
      </c>
      <c r="H42" s="677" t="s">
        <v>508</v>
      </c>
      <c r="I42" s="677" t="s">
        <v>1050</v>
      </c>
      <c r="J42" s="677" t="s">
        <v>1051</v>
      </c>
      <c r="K42" s="677" t="s">
        <v>1052</v>
      </c>
      <c r="L42" s="711">
        <v>808.29</v>
      </c>
      <c r="M42" s="711">
        <v>1616.58</v>
      </c>
      <c r="N42" s="677">
        <v>2</v>
      </c>
      <c r="O42" s="712">
        <v>2</v>
      </c>
      <c r="P42" s="711"/>
      <c r="Q42" s="688">
        <v>0</v>
      </c>
      <c r="R42" s="677"/>
      <c r="S42" s="688">
        <v>0</v>
      </c>
      <c r="T42" s="712"/>
      <c r="U42" s="242">
        <v>0</v>
      </c>
    </row>
    <row r="43" spans="1:21" ht="14.4" customHeight="1" x14ac:dyDescent="0.3">
      <c r="A43" s="686">
        <v>25</v>
      </c>
      <c r="B43" s="677" t="s">
        <v>509</v>
      </c>
      <c r="C43" s="677">
        <v>89301252</v>
      </c>
      <c r="D43" s="709" t="s">
        <v>1190</v>
      </c>
      <c r="E43" s="710" t="s">
        <v>963</v>
      </c>
      <c r="F43" s="677" t="s">
        <v>946</v>
      </c>
      <c r="G43" s="677" t="s">
        <v>1001</v>
      </c>
      <c r="H43" s="677" t="s">
        <v>719</v>
      </c>
      <c r="I43" s="677" t="s">
        <v>1026</v>
      </c>
      <c r="J43" s="677" t="s">
        <v>573</v>
      </c>
      <c r="K43" s="677" t="s">
        <v>1027</v>
      </c>
      <c r="L43" s="711">
        <v>48.31</v>
      </c>
      <c r="M43" s="711">
        <v>96.62</v>
      </c>
      <c r="N43" s="677">
        <v>2</v>
      </c>
      <c r="O43" s="712">
        <v>2</v>
      </c>
      <c r="P43" s="711"/>
      <c r="Q43" s="688">
        <v>0</v>
      </c>
      <c r="R43" s="677"/>
      <c r="S43" s="688">
        <v>0</v>
      </c>
      <c r="T43" s="712"/>
      <c r="U43" s="242">
        <v>0</v>
      </c>
    </row>
    <row r="44" spans="1:21" ht="14.4" customHeight="1" x14ac:dyDescent="0.3">
      <c r="A44" s="686">
        <v>25</v>
      </c>
      <c r="B44" s="677" t="s">
        <v>509</v>
      </c>
      <c r="C44" s="677">
        <v>89301252</v>
      </c>
      <c r="D44" s="709" t="s">
        <v>1190</v>
      </c>
      <c r="E44" s="710" t="s">
        <v>963</v>
      </c>
      <c r="F44" s="677" t="s">
        <v>946</v>
      </c>
      <c r="G44" s="677" t="s">
        <v>1053</v>
      </c>
      <c r="H44" s="677" t="s">
        <v>508</v>
      </c>
      <c r="I44" s="677" t="s">
        <v>1054</v>
      </c>
      <c r="J44" s="677" t="s">
        <v>1055</v>
      </c>
      <c r="K44" s="677" t="s">
        <v>1056</v>
      </c>
      <c r="L44" s="711">
        <v>56.69</v>
      </c>
      <c r="M44" s="711">
        <v>56.69</v>
      </c>
      <c r="N44" s="677">
        <v>1</v>
      </c>
      <c r="O44" s="712">
        <v>0.5</v>
      </c>
      <c r="P44" s="711">
        <v>56.69</v>
      </c>
      <c r="Q44" s="688">
        <v>1</v>
      </c>
      <c r="R44" s="677">
        <v>1</v>
      </c>
      <c r="S44" s="688">
        <v>1</v>
      </c>
      <c r="T44" s="712">
        <v>0.5</v>
      </c>
      <c r="U44" s="242">
        <v>1</v>
      </c>
    </row>
    <row r="45" spans="1:21" ht="14.4" customHeight="1" x14ac:dyDescent="0.3">
      <c r="A45" s="686">
        <v>25</v>
      </c>
      <c r="B45" s="677" t="s">
        <v>509</v>
      </c>
      <c r="C45" s="677">
        <v>89301252</v>
      </c>
      <c r="D45" s="709" t="s">
        <v>1190</v>
      </c>
      <c r="E45" s="710" t="s">
        <v>964</v>
      </c>
      <c r="F45" s="677" t="s">
        <v>946</v>
      </c>
      <c r="G45" s="677" t="s">
        <v>1057</v>
      </c>
      <c r="H45" s="677" t="s">
        <v>508</v>
      </c>
      <c r="I45" s="677" t="s">
        <v>1058</v>
      </c>
      <c r="J45" s="677" t="s">
        <v>1059</v>
      </c>
      <c r="K45" s="677" t="s">
        <v>1060</v>
      </c>
      <c r="L45" s="711">
        <v>0</v>
      </c>
      <c r="M45" s="711">
        <v>0</v>
      </c>
      <c r="N45" s="677">
        <v>1</v>
      </c>
      <c r="O45" s="712">
        <v>1</v>
      </c>
      <c r="P45" s="711"/>
      <c r="Q45" s="688"/>
      <c r="R45" s="677"/>
      <c r="S45" s="688">
        <v>0</v>
      </c>
      <c r="T45" s="712"/>
      <c r="U45" s="242">
        <v>0</v>
      </c>
    </row>
    <row r="46" spans="1:21" ht="14.4" customHeight="1" x14ac:dyDescent="0.3">
      <c r="A46" s="686">
        <v>25</v>
      </c>
      <c r="B46" s="677" t="s">
        <v>509</v>
      </c>
      <c r="C46" s="677">
        <v>89301252</v>
      </c>
      <c r="D46" s="709" t="s">
        <v>1190</v>
      </c>
      <c r="E46" s="710" t="s">
        <v>965</v>
      </c>
      <c r="F46" s="677" t="s">
        <v>946</v>
      </c>
      <c r="G46" s="677" t="s">
        <v>988</v>
      </c>
      <c r="H46" s="677" t="s">
        <v>719</v>
      </c>
      <c r="I46" s="677" t="s">
        <v>1061</v>
      </c>
      <c r="J46" s="677" t="s">
        <v>1062</v>
      </c>
      <c r="K46" s="677" t="s">
        <v>1063</v>
      </c>
      <c r="L46" s="711">
        <v>333.31</v>
      </c>
      <c r="M46" s="711">
        <v>3333.1000000000004</v>
      </c>
      <c r="N46" s="677">
        <v>10</v>
      </c>
      <c r="O46" s="712">
        <v>8</v>
      </c>
      <c r="P46" s="711">
        <v>1999.8600000000001</v>
      </c>
      <c r="Q46" s="688">
        <v>0.6</v>
      </c>
      <c r="R46" s="677">
        <v>6</v>
      </c>
      <c r="S46" s="688">
        <v>0.6</v>
      </c>
      <c r="T46" s="712">
        <v>4</v>
      </c>
      <c r="U46" s="242">
        <v>0.5</v>
      </c>
    </row>
    <row r="47" spans="1:21" ht="14.4" customHeight="1" x14ac:dyDescent="0.3">
      <c r="A47" s="686">
        <v>25</v>
      </c>
      <c r="B47" s="677" t="s">
        <v>509</v>
      </c>
      <c r="C47" s="677">
        <v>89301252</v>
      </c>
      <c r="D47" s="709" t="s">
        <v>1190</v>
      </c>
      <c r="E47" s="710" t="s">
        <v>965</v>
      </c>
      <c r="F47" s="677" t="s">
        <v>946</v>
      </c>
      <c r="G47" s="677" t="s">
        <v>995</v>
      </c>
      <c r="H47" s="677" t="s">
        <v>508</v>
      </c>
      <c r="I47" s="677" t="s">
        <v>1064</v>
      </c>
      <c r="J47" s="677" t="s">
        <v>802</v>
      </c>
      <c r="K47" s="677" t="s">
        <v>803</v>
      </c>
      <c r="L47" s="711">
        <v>154.01</v>
      </c>
      <c r="M47" s="711">
        <v>154.01</v>
      </c>
      <c r="N47" s="677">
        <v>1</v>
      </c>
      <c r="O47" s="712">
        <v>1</v>
      </c>
      <c r="P47" s="711"/>
      <c r="Q47" s="688">
        <v>0</v>
      </c>
      <c r="R47" s="677"/>
      <c r="S47" s="688">
        <v>0</v>
      </c>
      <c r="T47" s="712"/>
      <c r="U47" s="242">
        <v>0</v>
      </c>
    </row>
    <row r="48" spans="1:21" ht="14.4" customHeight="1" x14ac:dyDescent="0.3">
      <c r="A48" s="686">
        <v>25</v>
      </c>
      <c r="B48" s="677" t="s">
        <v>509</v>
      </c>
      <c r="C48" s="677">
        <v>89301252</v>
      </c>
      <c r="D48" s="709" t="s">
        <v>1190</v>
      </c>
      <c r="E48" s="710" t="s">
        <v>965</v>
      </c>
      <c r="F48" s="677" t="s">
        <v>946</v>
      </c>
      <c r="G48" s="677" t="s">
        <v>1001</v>
      </c>
      <c r="H48" s="677" t="s">
        <v>508</v>
      </c>
      <c r="I48" s="677" t="s">
        <v>572</v>
      </c>
      <c r="J48" s="677" t="s">
        <v>573</v>
      </c>
      <c r="K48" s="677" t="s">
        <v>1065</v>
      </c>
      <c r="L48" s="711">
        <v>48.31</v>
      </c>
      <c r="M48" s="711">
        <v>48.31</v>
      </c>
      <c r="N48" s="677">
        <v>1</v>
      </c>
      <c r="O48" s="712">
        <v>1</v>
      </c>
      <c r="P48" s="711"/>
      <c r="Q48" s="688">
        <v>0</v>
      </c>
      <c r="R48" s="677"/>
      <c r="S48" s="688">
        <v>0</v>
      </c>
      <c r="T48" s="712"/>
      <c r="U48" s="242">
        <v>0</v>
      </c>
    </row>
    <row r="49" spans="1:21" ht="14.4" customHeight="1" x14ac:dyDescent="0.3">
      <c r="A49" s="686">
        <v>25</v>
      </c>
      <c r="B49" s="677" t="s">
        <v>509</v>
      </c>
      <c r="C49" s="677">
        <v>89301252</v>
      </c>
      <c r="D49" s="709" t="s">
        <v>1190</v>
      </c>
      <c r="E49" s="710" t="s">
        <v>966</v>
      </c>
      <c r="F49" s="677" t="s">
        <v>946</v>
      </c>
      <c r="G49" s="677" t="s">
        <v>988</v>
      </c>
      <c r="H49" s="677" t="s">
        <v>719</v>
      </c>
      <c r="I49" s="677" t="s">
        <v>785</v>
      </c>
      <c r="J49" s="677" t="s">
        <v>925</v>
      </c>
      <c r="K49" s="677" t="s">
        <v>926</v>
      </c>
      <c r="L49" s="711">
        <v>333.31</v>
      </c>
      <c r="M49" s="711">
        <v>3666.41</v>
      </c>
      <c r="N49" s="677">
        <v>11</v>
      </c>
      <c r="O49" s="712">
        <v>10.5</v>
      </c>
      <c r="P49" s="711">
        <v>1999.86</v>
      </c>
      <c r="Q49" s="688">
        <v>0.54545454545454541</v>
      </c>
      <c r="R49" s="677">
        <v>6</v>
      </c>
      <c r="S49" s="688">
        <v>0.54545454545454541</v>
      </c>
      <c r="T49" s="712">
        <v>6</v>
      </c>
      <c r="U49" s="242">
        <v>0.5714285714285714</v>
      </c>
    </row>
    <row r="50" spans="1:21" ht="14.4" customHeight="1" x14ac:dyDescent="0.3">
      <c r="A50" s="686">
        <v>25</v>
      </c>
      <c r="B50" s="677" t="s">
        <v>509</v>
      </c>
      <c r="C50" s="677">
        <v>89301252</v>
      </c>
      <c r="D50" s="709" t="s">
        <v>1190</v>
      </c>
      <c r="E50" s="710" t="s">
        <v>966</v>
      </c>
      <c r="F50" s="677" t="s">
        <v>946</v>
      </c>
      <c r="G50" s="677" t="s">
        <v>1066</v>
      </c>
      <c r="H50" s="677" t="s">
        <v>508</v>
      </c>
      <c r="I50" s="677" t="s">
        <v>1067</v>
      </c>
      <c r="J50" s="677" t="s">
        <v>1068</v>
      </c>
      <c r="K50" s="677" t="s">
        <v>1069</v>
      </c>
      <c r="L50" s="711">
        <v>0</v>
      </c>
      <c r="M50" s="711">
        <v>0</v>
      </c>
      <c r="N50" s="677">
        <v>1</v>
      </c>
      <c r="O50" s="712">
        <v>0.5</v>
      </c>
      <c r="P50" s="711"/>
      <c r="Q50" s="688"/>
      <c r="R50" s="677"/>
      <c r="S50" s="688">
        <v>0</v>
      </c>
      <c r="T50" s="712"/>
      <c r="U50" s="242">
        <v>0</v>
      </c>
    </row>
    <row r="51" spans="1:21" ht="14.4" customHeight="1" x14ac:dyDescent="0.3">
      <c r="A51" s="686">
        <v>25</v>
      </c>
      <c r="B51" s="677" t="s">
        <v>509</v>
      </c>
      <c r="C51" s="677">
        <v>89301252</v>
      </c>
      <c r="D51" s="709" t="s">
        <v>1190</v>
      </c>
      <c r="E51" s="710" t="s">
        <v>966</v>
      </c>
      <c r="F51" s="677" t="s">
        <v>946</v>
      </c>
      <c r="G51" s="677" t="s">
        <v>1007</v>
      </c>
      <c r="H51" s="677" t="s">
        <v>719</v>
      </c>
      <c r="I51" s="677" t="s">
        <v>793</v>
      </c>
      <c r="J51" s="677" t="s">
        <v>794</v>
      </c>
      <c r="K51" s="677" t="s">
        <v>930</v>
      </c>
      <c r="L51" s="711">
        <v>184.22</v>
      </c>
      <c r="M51" s="711">
        <v>552.66</v>
      </c>
      <c r="N51" s="677">
        <v>3</v>
      </c>
      <c r="O51" s="712">
        <v>2.5</v>
      </c>
      <c r="P51" s="711">
        <v>184.22</v>
      </c>
      <c r="Q51" s="688">
        <v>0.33333333333333337</v>
      </c>
      <c r="R51" s="677">
        <v>1</v>
      </c>
      <c r="S51" s="688">
        <v>0.33333333333333331</v>
      </c>
      <c r="T51" s="712">
        <v>0.5</v>
      </c>
      <c r="U51" s="242">
        <v>0.2</v>
      </c>
    </row>
    <row r="52" spans="1:21" ht="14.4" customHeight="1" x14ac:dyDescent="0.3">
      <c r="A52" s="686">
        <v>25</v>
      </c>
      <c r="B52" s="677" t="s">
        <v>509</v>
      </c>
      <c r="C52" s="677">
        <v>89301252</v>
      </c>
      <c r="D52" s="709" t="s">
        <v>1190</v>
      </c>
      <c r="E52" s="710" t="s">
        <v>966</v>
      </c>
      <c r="F52" s="677" t="s">
        <v>946</v>
      </c>
      <c r="G52" s="677" t="s">
        <v>1070</v>
      </c>
      <c r="H52" s="677" t="s">
        <v>508</v>
      </c>
      <c r="I52" s="677" t="s">
        <v>1071</v>
      </c>
      <c r="J52" s="677" t="s">
        <v>1072</v>
      </c>
      <c r="K52" s="677" t="s">
        <v>1073</v>
      </c>
      <c r="L52" s="711">
        <v>75.8</v>
      </c>
      <c r="M52" s="711">
        <v>75.8</v>
      </c>
      <c r="N52" s="677">
        <v>1</v>
      </c>
      <c r="O52" s="712">
        <v>1</v>
      </c>
      <c r="P52" s="711">
        <v>75.8</v>
      </c>
      <c r="Q52" s="688">
        <v>1</v>
      </c>
      <c r="R52" s="677">
        <v>1</v>
      </c>
      <c r="S52" s="688">
        <v>1</v>
      </c>
      <c r="T52" s="712">
        <v>1</v>
      </c>
      <c r="U52" s="242">
        <v>1</v>
      </c>
    </row>
    <row r="53" spans="1:21" ht="14.4" customHeight="1" x14ac:dyDescent="0.3">
      <c r="A53" s="686">
        <v>25</v>
      </c>
      <c r="B53" s="677" t="s">
        <v>509</v>
      </c>
      <c r="C53" s="677">
        <v>89301252</v>
      </c>
      <c r="D53" s="709" t="s">
        <v>1190</v>
      </c>
      <c r="E53" s="710" t="s">
        <v>966</v>
      </c>
      <c r="F53" s="677" t="s">
        <v>946</v>
      </c>
      <c r="G53" s="677" t="s">
        <v>1074</v>
      </c>
      <c r="H53" s="677" t="s">
        <v>508</v>
      </c>
      <c r="I53" s="677" t="s">
        <v>1075</v>
      </c>
      <c r="J53" s="677" t="s">
        <v>1076</v>
      </c>
      <c r="K53" s="677" t="s">
        <v>1077</v>
      </c>
      <c r="L53" s="711">
        <v>0</v>
      </c>
      <c r="M53" s="711">
        <v>0</v>
      </c>
      <c r="N53" s="677">
        <v>3</v>
      </c>
      <c r="O53" s="712">
        <v>2</v>
      </c>
      <c r="P53" s="711">
        <v>0</v>
      </c>
      <c r="Q53" s="688"/>
      <c r="R53" s="677">
        <v>2</v>
      </c>
      <c r="S53" s="688">
        <v>0.66666666666666663</v>
      </c>
      <c r="T53" s="712">
        <v>1.5</v>
      </c>
      <c r="U53" s="242">
        <v>0.75</v>
      </c>
    </row>
    <row r="54" spans="1:21" ht="14.4" customHeight="1" x14ac:dyDescent="0.3">
      <c r="A54" s="686">
        <v>25</v>
      </c>
      <c r="B54" s="677" t="s">
        <v>509</v>
      </c>
      <c r="C54" s="677">
        <v>89301252</v>
      </c>
      <c r="D54" s="709" t="s">
        <v>1190</v>
      </c>
      <c r="E54" s="710" t="s">
        <v>966</v>
      </c>
      <c r="F54" s="677" t="s">
        <v>946</v>
      </c>
      <c r="G54" s="677" t="s">
        <v>995</v>
      </c>
      <c r="H54" s="677" t="s">
        <v>719</v>
      </c>
      <c r="I54" s="677" t="s">
        <v>801</v>
      </c>
      <c r="J54" s="677" t="s">
        <v>802</v>
      </c>
      <c r="K54" s="677" t="s">
        <v>803</v>
      </c>
      <c r="L54" s="711">
        <v>154.01</v>
      </c>
      <c r="M54" s="711">
        <v>1386.09</v>
      </c>
      <c r="N54" s="677">
        <v>9</v>
      </c>
      <c r="O54" s="712">
        <v>7</v>
      </c>
      <c r="P54" s="711">
        <v>924.06</v>
      </c>
      <c r="Q54" s="688">
        <v>0.66666666666666663</v>
      </c>
      <c r="R54" s="677">
        <v>6</v>
      </c>
      <c r="S54" s="688">
        <v>0.66666666666666663</v>
      </c>
      <c r="T54" s="712">
        <v>4</v>
      </c>
      <c r="U54" s="242">
        <v>0.5714285714285714</v>
      </c>
    </row>
    <row r="55" spans="1:21" ht="14.4" customHeight="1" x14ac:dyDescent="0.3">
      <c r="A55" s="686">
        <v>25</v>
      </c>
      <c r="B55" s="677" t="s">
        <v>509</v>
      </c>
      <c r="C55" s="677">
        <v>89301252</v>
      </c>
      <c r="D55" s="709" t="s">
        <v>1190</v>
      </c>
      <c r="E55" s="710" t="s">
        <v>966</v>
      </c>
      <c r="F55" s="677" t="s">
        <v>946</v>
      </c>
      <c r="G55" s="677" t="s">
        <v>1078</v>
      </c>
      <c r="H55" s="677" t="s">
        <v>508</v>
      </c>
      <c r="I55" s="677" t="s">
        <v>851</v>
      </c>
      <c r="J55" s="677" t="s">
        <v>852</v>
      </c>
      <c r="K55" s="677" t="s">
        <v>853</v>
      </c>
      <c r="L55" s="711">
        <v>120.37</v>
      </c>
      <c r="M55" s="711">
        <v>240.74</v>
      </c>
      <c r="N55" s="677">
        <v>2</v>
      </c>
      <c r="O55" s="712">
        <v>2</v>
      </c>
      <c r="P55" s="711">
        <v>240.74</v>
      </c>
      <c r="Q55" s="688">
        <v>1</v>
      </c>
      <c r="R55" s="677">
        <v>2</v>
      </c>
      <c r="S55" s="688">
        <v>1</v>
      </c>
      <c r="T55" s="712">
        <v>2</v>
      </c>
      <c r="U55" s="242">
        <v>1</v>
      </c>
    </row>
    <row r="56" spans="1:21" ht="14.4" customHeight="1" x14ac:dyDescent="0.3">
      <c r="A56" s="686">
        <v>25</v>
      </c>
      <c r="B56" s="677" t="s">
        <v>509</v>
      </c>
      <c r="C56" s="677">
        <v>89301252</v>
      </c>
      <c r="D56" s="709" t="s">
        <v>1190</v>
      </c>
      <c r="E56" s="710" t="s">
        <v>966</v>
      </c>
      <c r="F56" s="677" t="s">
        <v>946</v>
      </c>
      <c r="G56" s="677" t="s">
        <v>1001</v>
      </c>
      <c r="H56" s="677" t="s">
        <v>719</v>
      </c>
      <c r="I56" s="677" t="s">
        <v>725</v>
      </c>
      <c r="J56" s="677" t="s">
        <v>573</v>
      </c>
      <c r="K56" s="677" t="s">
        <v>938</v>
      </c>
      <c r="L56" s="711">
        <v>96.63</v>
      </c>
      <c r="M56" s="711">
        <v>96.63</v>
      </c>
      <c r="N56" s="677">
        <v>1</v>
      </c>
      <c r="O56" s="712">
        <v>0.5</v>
      </c>
      <c r="P56" s="711"/>
      <c r="Q56" s="688">
        <v>0</v>
      </c>
      <c r="R56" s="677"/>
      <c r="S56" s="688">
        <v>0</v>
      </c>
      <c r="T56" s="712"/>
      <c r="U56" s="242">
        <v>0</v>
      </c>
    </row>
    <row r="57" spans="1:21" ht="14.4" customHeight="1" x14ac:dyDescent="0.3">
      <c r="A57" s="686">
        <v>25</v>
      </c>
      <c r="B57" s="677" t="s">
        <v>509</v>
      </c>
      <c r="C57" s="677">
        <v>89301252</v>
      </c>
      <c r="D57" s="709" t="s">
        <v>1190</v>
      </c>
      <c r="E57" s="710" t="s">
        <v>968</v>
      </c>
      <c r="F57" s="677" t="s">
        <v>946</v>
      </c>
      <c r="G57" s="677" t="s">
        <v>988</v>
      </c>
      <c r="H57" s="677" t="s">
        <v>719</v>
      </c>
      <c r="I57" s="677" t="s">
        <v>785</v>
      </c>
      <c r="J57" s="677" t="s">
        <v>925</v>
      </c>
      <c r="K57" s="677" t="s">
        <v>926</v>
      </c>
      <c r="L57" s="711">
        <v>333.31</v>
      </c>
      <c r="M57" s="711">
        <v>6999.5100000000011</v>
      </c>
      <c r="N57" s="677">
        <v>21</v>
      </c>
      <c r="O57" s="712">
        <v>21</v>
      </c>
      <c r="P57" s="711">
        <v>5332.9600000000009</v>
      </c>
      <c r="Q57" s="688">
        <v>0.76190476190476186</v>
      </c>
      <c r="R57" s="677">
        <v>16</v>
      </c>
      <c r="S57" s="688">
        <v>0.76190476190476186</v>
      </c>
      <c r="T57" s="712">
        <v>16</v>
      </c>
      <c r="U57" s="242">
        <v>0.76190476190476186</v>
      </c>
    </row>
    <row r="58" spans="1:21" ht="14.4" customHeight="1" x14ac:dyDescent="0.3">
      <c r="A58" s="686">
        <v>25</v>
      </c>
      <c r="B58" s="677" t="s">
        <v>509</v>
      </c>
      <c r="C58" s="677">
        <v>89301252</v>
      </c>
      <c r="D58" s="709" t="s">
        <v>1190</v>
      </c>
      <c r="E58" s="710" t="s">
        <v>968</v>
      </c>
      <c r="F58" s="677" t="s">
        <v>946</v>
      </c>
      <c r="G58" s="677" t="s">
        <v>988</v>
      </c>
      <c r="H58" s="677" t="s">
        <v>508</v>
      </c>
      <c r="I58" s="677" t="s">
        <v>1079</v>
      </c>
      <c r="J58" s="677" t="s">
        <v>925</v>
      </c>
      <c r="K58" s="677" t="s">
        <v>926</v>
      </c>
      <c r="L58" s="711">
        <v>333.31</v>
      </c>
      <c r="M58" s="711">
        <v>1333.24</v>
      </c>
      <c r="N58" s="677">
        <v>4</v>
      </c>
      <c r="O58" s="712">
        <v>4</v>
      </c>
      <c r="P58" s="711">
        <v>999.93000000000006</v>
      </c>
      <c r="Q58" s="688">
        <v>0.75</v>
      </c>
      <c r="R58" s="677">
        <v>3</v>
      </c>
      <c r="S58" s="688">
        <v>0.75</v>
      </c>
      <c r="T58" s="712">
        <v>3</v>
      </c>
      <c r="U58" s="242">
        <v>0.75</v>
      </c>
    </row>
    <row r="59" spans="1:21" ht="14.4" customHeight="1" x14ac:dyDescent="0.3">
      <c r="A59" s="686">
        <v>25</v>
      </c>
      <c r="B59" s="677" t="s">
        <v>509</v>
      </c>
      <c r="C59" s="677">
        <v>89301252</v>
      </c>
      <c r="D59" s="709" t="s">
        <v>1190</v>
      </c>
      <c r="E59" s="710" t="s">
        <v>968</v>
      </c>
      <c r="F59" s="677" t="s">
        <v>946</v>
      </c>
      <c r="G59" s="677" t="s">
        <v>991</v>
      </c>
      <c r="H59" s="677" t="s">
        <v>508</v>
      </c>
      <c r="I59" s="677" t="s">
        <v>992</v>
      </c>
      <c r="J59" s="677" t="s">
        <v>993</v>
      </c>
      <c r="K59" s="677" t="s">
        <v>994</v>
      </c>
      <c r="L59" s="711">
        <v>0</v>
      </c>
      <c r="M59" s="711">
        <v>0</v>
      </c>
      <c r="N59" s="677">
        <v>1</v>
      </c>
      <c r="O59" s="712">
        <v>1</v>
      </c>
      <c r="P59" s="711"/>
      <c r="Q59" s="688"/>
      <c r="R59" s="677"/>
      <c r="S59" s="688">
        <v>0</v>
      </c>
      <c r="T59" s="712"/>
      <c r="U59" s="242">
        <v>0</v>
      </c>
    </row>
    <row r="60" spans="1:21" ht="14.4" customHeight="1" x14ac:dyDescent="0.3">
      <c r="A60" s="686">
        <v>25</v>
      </c>
      <c r="B60" s="677" t="s">
        <v>509</v>
      </c>
      <c r="C60" s="677">
        <v>89301252</v>
      </c>
      <c r="D60" s="709" t="s">
        <v>1190</v>
      </c>
      <c r="E60" s="710" t="s">
        <v>968</v>
      </c>
      <c r="F60" s="677" t="s">
        <v>946</v>
      </c>
      <c r="G60" s="677" t="s">
        <v>1011</v>
      </c>
      <c r="H60" s="677" t="s">
        <v>508</v>
      </c>
      <c r="I60" s="677" t="s">
        <v>1012</v>
      </c>
      <c r="J60" s="677" t="s">
        <v>1013</v>
      </c>
      <c r="K60" s="677" t="s">
        <v>1014</v>
      </c>
      <c r="L60" s="711">
        <v>71.2</v>
      </c>
      <c r="M60" s="711">
        <v>142.4</v>
      </c>
      <c r="N60" s="677">
        <v>2</v>
      </c>
      <c r="O60" s="712">
        <v>1</v>
      </c>
      <c r="P60" s="711"/>
      <c r="Q60" s="688">
        <v>0</v>
      </c>
      <c r="R60" s="677"/>
      <c r="S60" s="688">
        <v>0</v>
      </c>
      <c r="T60" s="712"/>
      <c r="U60" s="242">
        <v>0</v>
      </c>
    </row>
    <row r="61" spans="1:21" ht="14.4" customHeight="1" x14ac:dyDescent="0.3">
      <c r="A61" s="686">
        <v>25</v>
      </c>
      <c r="B61" s="677" t="s">
        <v>509</v>
      </c>
      <c r="C61" s="677">
        <v>89301252</v>
      </c>
      <c r="D61" s="709" t="s">
        <v>1190</v>
      </c>
      <c r="E61" s="710" t="s">
        <v>968</v>
      </c>
      <c r="F61" s="677" t="s">
        <v>946</v>
      </c>
      <c r="G61" s="677" t="s">
        <v>1015</v>
      </c>
      <c r="H61" s="677" t="s">
        <v>508</v>
      </c>
      <c r="I61" s="677" t="s">
        <v>1080</v>
      </c>
      <c r="J61" s="677" t="s">
        <v>1081</v>
      </c>
      <c r="K61" s="677" t="s">
        <v>1082</v>
      </c>
      <c r="L61" s="711">
        <v>38.549999999999997</v>
      </c>
      <c r="M61" s="711">
        <v>38.549999999999997</v>
      </c>
      <c r="N61" s="677">
        <v>1</v>
      </c>
      <c r="O61" s="712">
        <v>1</v>
      </c>
      <c r="P61" s="711">
        <v>38.549999999999997</v>
      </c>
      <c r="Q61" s="688">
        <v>1</v>
      </c>
      <c r="R61" s="677">
        <v>1</v>
      </c>
      <c r="S61" s="688">
        <v>1</v>
      </c>
      <c r="T61" s="712">
        <v>1</v>
      </c>
      <c r="U61" s="242">
        <v>1</v>
      </c>
    </row>
    <row r="62" spans="1:21" ht="14.4" customHeight="1" x14ac:dyDescent="0.3">
      <c r="A62" s="686">
        <v>25</v>
      </c>
      <c r="B62" s="677" t="s">
        <v>509</v>
      </c>
      <c r="C62" s="677">
        <v>89301252</v>
      </c>
      <c r="D62" s="709" t="s">
        <v>1190</v>
      </c>
      <c r="E62" s="710" t="s">
        <v>968</v>
      </c>
      <c r="F62" s="677" t="s">
        <v>946</v>
      </c>
      <c r="G62" s="677" t="s">
        <v>995</v>
      </c>
      <c r="H62" s="677" t="s">
        <v>719</v>
      </c>
      <c r="I62" s="677" t="s">
        <v>801</v>
      </c>
      <c r="J62" s="677" t="s">
        <v>802</v>
      </c>
      <c r="K62" s="677" t="s">
        <v>803</v>
      </c>
      <c r="L62" s="711">
        <v>154.01</v>
      </c>
      <c r="M62" s="711">
        <v>770.05</v>
      </c>
      <c r="N62" s="677">
        <v>5</v>
      </c>
      <c r="O62" s="712">
        <v>5</v>
      </c>
      <c r="P62" s="711">
        <v>616.04</v>
      </c>
      <c r="Q62" s="688">
        <v>0.8</v>
      </c>
      <c r="R62" s="677">
        <v>4</v>
      </c>
      <c r="S62" s="688">
        <v>0.8</v>
      </c>
      <c r="T62" s="712">
        <v>4</v>
      </c>
      <c r="U62" s="242">
        <v>0.8</v>
      </c>
    </row>
    <row r="63" spans="1:21" ht="14.4" customHeight="1" x14ac:dyDescent="0.3">
      <c r="A63" s="686">
        <v>25</v>
      </c>
      <c r="B63" s="677" t="s">
        <v>509</v>
      </c>
      <c r="C63" s="677">
        <v>89301252</v>
      </c>
      <c r="D63" s="709" t="s">
        <v>1190</v>
      </c>
      <c r="E63" s="710" t="s">
        <v>968</v>
      </c>
      <c r="F63" s="677" t="s">
        <v>946</v>
      </c>
      <c r="G63" s="677" t="s">
        <v>995</v>
      </c>
      <c r="H63" s="677" t="s">
        <v>719</v>
      </c>
      <c r="I63" s="677" t="s">
        <v>1019</v>
      </c>
      <c r="J63" s="677" t="s">
        <v>1020</v>
      </c>
      <c r="K63" s="677" t="s">
        <v>1021</v>
      </c>
      <c r="L63" s="711">
        <v>77.010000000000005</v>
      </c>
      <c r="M63" s="711">
        <v>385.05000000000007</v>
      </c>
      <c r="N63" s="677">
        <v>5</v>
      </c>
      <c r="O63" s="712">
        <v>2</v>
      </c>
      <c r="P63" s="711">
        <v>231.03000000000003</v>
      </c>
      <c r="Q63" s="688">
        <v>0.6</v>
      </c>
      <c r="R63" s="677">
        <v>3</v>
      </c>
      <c r="S63" s="688">
        <v>0.6</v>
      </c>
      <c r="T63" s="712">
        <v>1</v>
      </c>
      <c r="U63" s="242">
        <v>0.5</v>
      </c>
    </row>
    <row r="64" spans="1:21" ht="14.4" customHeight="1" x14ac:dyDescent="0.3">
      <c r="A64" s="686">
        <v>25</v>
      </c>
      <c r="B64" s="677" t="s">
        <v>509</v>
      </c>
      <c r="C64" s="677">
        <v>89301252</v>
      </c>
      <c r="D64" s="709" t="s">
        <v>1190</v>
      </c>
      <c r="E64" s="710" t="s">
        <v>968</v>
      </c>
      <c r="F64" s="677" t="s">
        <v>946</v>
      </c>
      <c r="G64" s="677" t="s">
        <v>1001</v>
      </c>
      <c r="H64" s="677" t="s">
        <v>719</v>
      </c>
      <c r="I64" s="677" t="s">
        <v>1026</v>
      </c>
      <c r="J64" s="677" t="s">
        <v>573</v>
      </c>
      <c r="K64" s="677" t="s">
        <v>1027</v>
      </c>
      <c r="L64" s="711">
        <v>48.31</v>
      </c>
      <c r="M64" s="711">
        <v>96.62</v>
      </c>
      <c r="N64" s="677">
        <v>2</v>
      </c>
      <c r="O64" s="712">
        <v>2</v>
      </c>
      <c r="P64" s="711">
        <v>48.31</v>
      </c>
      <c r="Q64" s="688">
        <v>0.5</v>
      </c>
      <c r="R64" s="677">
        <v>1</v>
      </c>
      <c r="S64" s="688">
        <v>0.5</v>
      </c>
      <c r="T64" s="712">
        <v>1</v>
      </c>
      <c r="U64" s="242">
        <v>0.5</v>
      </c>
    </row>
    <row r="65" spans="1:21" ht="14.4" customHeight="1" x14ac:dyDescent="0.3">
      <c r="A65" s="686">
        <v>25</v>
      </c>
      <c r="B65" s="677" t="s">
        <v>509</v>
      </c>
      <c r="C65" s="677">
        <v>89301252</v>
      </c>
      <c r="D65" s="709" t="s">
        <v>1190</v>
      </c>
      <c r="E65" s="710" t="s">
        <v>968</v>
      </c>
      <c r="F65" s="677" t="s">
        <v>946</v>
      </c>
      <c r="G65" s="677" t="s">
        <v>1001</v>
      </c>
      <c r="H65" s="677" t="s">
        <v>508</v>
      </c>
      <c r="I65" s="677" t="s">
        <v>703</v>
      </c>
      <c r="J65" s="677" t="s">
        <v>573</v>
      </c>
      <c r="K65" s="677" t="s">
        <v>1002</v>
      </c>
      <c r="L65" s="711">
        <v>96.63</v>
      </c>
      <c r="M65" s="711">
        <v>96.63</v>
      </c>
      <c r="N65" s="677">
        <v>1</v>
      </c>
      <c r="O65" s="712">
        <v>1</v>
      </c>
      <c r="P65" s="711"/>
      <c r="Q65" s="688">
        <v>0</v>
      </c>
      <c r="R65" s="677"/>
      <c r="S65" s="688">
        <v>0</v>
      </c>
      <c r="T65" s="712"/>
      <c r="U65" s="242">
        <v>0</v>
      </c>
    </row>
    <row r="66" spans="1:21" ht="14.4" customHeight="1" x14ac:dyDescent="0.3">
      <c r="A66" s="686">
        <v>25</v>
      </c>
      <c r="B66" s="677" t="s">
        <v>509</v>
      </c>
      <c r="C66" s="677">
        <v>89301252</v>
      </c>
      <c r="D66" s="709" t="s">
        <v>1190</v>
      </c>
      <c r="E66" s="710" t="s">
        <v>968</v>
      </c>
      <c r="F66" s="677" t="s">
        <v>946</v>
      </c>
      <c r="G66" s="677" t="s">
        <v>1083</v>
      </c>
      <c r="H66" s="677" t="s">
        <v>508</v>
      </c>
      <c r="I66" s="677" t="s">
        <v>1084</v>
      </c>
      <c r="J66" s="677" t="s">
        <v>1085</v>
      </c>
      <c r="K66" s="677" t="s">
        <v>1086</v>
      </c>
      <c r="L66" s="711">
        <v>22.88</v>
      </c>
      <c r="M66" s="711">
        <v>22.88</v>
      </c>
      <c r="N66" s="677">
        <v>1</v>
      </c>
      <c r="O66" s="712">
        <v>1</v>
      </c>
      <c r="P66" s="711">
        <v>22.88</v>
      </c>
      <c r="Q66" s="688">
        <v>1</v>
      </c>
      <c r="R66" s="677">
        <v>1</v>
      </c>
      <c r="S66" s="688">
        <v>1</v>
      </c>
      <c r="T66" s="712">
        <v>1</v>
      </c>
      <c r="U66" s="242">
        <v>1</v>
      </c>
    </row>
    <row r="67" spans="1:21" ht="14.4" customHeight="1" x14ac:dyDescent="0.3">
      <c r="A67" s="686">
        <v>25</v>
      </c>
      <c r="B67" s="677" t="s">
        <v>509</v>
      </c>
      <c r="C67" s="677">
        <v>89301252</v>
      </c>
      <c r="D67" s="709" t="s">
        <v>1190</v>
      </c>
      <c r="E67" s="710" t="s">
        <v>968</v>
      </c>
      <c r="F67" s="677" t="s">
        <v>947</v>
      </c>
      <c r="G67" s="677" t="s">
        <v>1042</v>
      </c>
      <c r="H67" s="677" t="s">
        <v>508</v>
      </c>
      <c r="I67" s="677" t="s">
        <v>1087</v>
      </c>
      <c r="J67" s="677" t="s">
        <v>1044</v>
      </c>
      <c r="K67" s="677"/>
      <c r="L67" s="711">
        <v>0</v>
      </c>
      <c r="M67" s="711">
        <v>0</v>
      </c>
      <c r="N67" s="677">
        <v>1</v>
      </c>
      <c r="O67" s="712">
        <v>1</v>
      </c>
      <c r="P67" s="711">
        <v>0</v>
      </c>
      <c r="Q67" s="688"/>
      <c r="R67" s="677">
        <v>1</v>
      </c>
      <c r="S67" s="688">
        <v>1</v>
      </c>
      <c r="T67" s="712">
        <v>1</v>
      </c>
      <c r="U67" s="242">
        <v>1</v>
      </c>
    </row>
    <row r="68" spans="1:21" ht="14.4" customHeight="1" x14ac:dyDescent="0.3">
      <c r="A68" s="686">
        <v>25</v>
      </c>
      <c r="B68" s="677" t="s">
        <v>509</v>
      </c>
      <c r="C68" s="677">
        <v>89301252</v>
      </c>
      <c r="D68" s="709" t="s">
        <v>1190</v>
      </c>
      <c r="E68" s="710" t="s">
        <v>969</v>
      </c>
      <c r="F68" s="677" t="s">
        <v>946</v>
      </c>
      <c r="G68" s="677" t="s">
        <v>988</v>
      </c>
      <c r="H68" s="677" t="s">
        <v>719</v>
      </c>
      <c r="I68" s="677" t="s">
        <v>785</v>
      </c>
      <c r="J68" s="677" t="s">
        <v>925</v>
      </c>
      <c r="K68" s="677" t="s">
        <v>926</v>
      </c>
      <c r="L68" s="711">
        <v>333.31</v>
      </c>
      <c r="M68" s="711">
        <v>1666.5500000000002</v>
      </c>
      <c r="N68" s="677">
        <v>5</v>
      </c>
      <c r="O68" s="712">
        <v>5</v>
      </c>
      <c r="P68" s="711">
        <v>666.62</v>
      </c>
      <c r="Q68" s="688">
        <v>0.39999999999999997</v>
      </c>
      <c r="R68" s="677">
        <v>2</v>
      </c>
      <c r="S68" s="688">
        <v>0.4</v>
      </c>
      <c r="T68" s="712">
        <v>2</v>
      </c>
      <c r="U68" s="242">
        <v>0.4</v>
      </c>
    </row>
    <row r="69" spans="1:21" ht="14.4" customHeight="1" x14ac:dyDescent="0.3">
      <c r="A69" s="686">
        <v>25</v>
      </c>
      <c r="B69" s="677" t="s">
        <v>509</v>
      </c>
      <c r="C69" s="677">
        <v>89301252</v>
      </c>
      <c r="D69" s="709" t="s">
        <v>1190</v>
      </c>
      <c r="E69" s="710" t="s">
        <v>969</v>
      </c>
      <c r="F69" s="677" t="s">
        <v>946</v>
      </c>
      <c r="G69" s="677" t="s">
        <v>995</v>
      </c>
      <c r="H69" s="677" t="s">
        <v>719</v>
      </c>
      <c r="I69" s="677" t="s">
        <v>801</v>
      </c>
      <c r="J69" s="677" t="s">
        <v>802</v>
      </c>
      <c r="K69" s="677" t="s">
        <v>803</v>
      </c>
      <c r="L69" s="711">
        <v>154.01</v>
      </c>
      <c r="M69" s="711">
        <v>462.03</v>
      </c>
      <c r="N69" s="677">
        <v>3</v>
      </c>
      <c r="O69" s="712">
        <v>3</v>
      </c>
      <c r="P69" s="711">
        <v>308.02</v>
      </c>
      <c r="Q69" s="688">
        <v>0.66666666666666663</v>
      </c>
      <c r="R69" s="677">
        <v>2</v>
      </c>
      <c r="S69" s="688">
        <v>0.66666666666666663</v>
      </c>
      <c r="T69" s="712">
        <v>2</v>
      </c>
      <c r="U69" s="242">
        <v>0.66666666666666663</v>
      </c>
    </row>
    <row r="70" spans="1:21" ht="14.4" customHeight="1" x14ac:dyDescent="0.3">
      <c r="A70" s="686">
        <v>25</v>
      </c>
      <c r="B70" s="677" t="s">
        <v>509</v>
      </c>
      <c r="C70" s="677">
        <v>89301252</v>
      </c>
      <c r="D70" s="709" t="s">
        <v>1190</v>
      </c>
      <c r="E70" s="710" t="s">
        <v>969</v>
      </c>
      <c r="F70" s="677" t="s">
        <v>946</v>
      </c>
      <c r="G70" s="677" t="s">
        <v>995</v>
      </c>
      <c r="H70" s="677" t="s">
        <v>719</v>
      </c>
      <c r="I70" s="677" t="s">
        <v>1019</v>
      </c>
      <c r="J70" s="677" t="s">
        <v>1020</v>
      </c>
      <c r="K70" s="677" t="s">
        <v>1021</v>
      </c>
      <c r="L70" s="711">
        <v>77.010000000000005</v>
      </c>
      <c r="M70" s="711">
        <v>154.02000000000001</v>
      </c>
      <c r="N70" s="677">
        <v>2</v>
      </c>
      <c r="O70" s="712">
        <v>1</v>
      </c>
      <c r="P70" s="711">
        <v>154.02000000000001</v>
      </c>
      <c r="Q70" s="688">
        <v>1</v>
      </c>
      <c r="R70" s="677">
        <v>2</v>
      </c>
      <c r="S70" s="688">
        <v>1</v>
      </c>
      <c r="T70" s="712">
        <v>1</v>
      </c>
      <c r="U70" s="242">
        <v>1</v>
      </c>
    </row>
    <row r="71" spans="1:21" ht="14.4" customHeight="1" x14ac:dyDescent="0.3">
      <c r="A71" s="686">
        <v>25</v>
      </c>
      <c r="B71" s="677" t="s">
        <v>509</v>
      </c>
      <c r="C71" s="677">
        <v>89301252</v>
      </c>
      <c r="D71" s="709" t="s">
        <v>1190</v>
      </c>
      <c r="E71" s="710" t="s">
        <v>969</v>
      </c>
      <c r="F71" s="677" t="s">
        <v>946</v>
      </c>
      <c r="G71" s="677" t="s">
        <v>1001</v>
      </c>
      <c r="H71" s="677" t="s">
        <v>719</v>
      </c>
      <c r="I71" s="677" t="s">
        <v>1026</v>
      </c>
      <c r="J71" s="677" t="s">
        <v>573</v>
      </c>
      <c r="K71" s="677" t="s">
        <v>1027</v>
      </c>
      <c r="L71" s="711">
        <v>48.31</v>
      </c>
      <c r="M71" s="711">
        <v>48.31</v>
      </c>
      <c r="N71" s="677">
        <v>1</v>
      </c>
      <c r="O71" s="712">
        <v>1</v>
      </c>
      <c r="P71" s="711"/>
      <c r="Q71" s="688">
        <v>0</v>
      </c>
      <c r="R71" s="677"/>
      <c r="S71" s="688">
        <v>0</v>
      </c>
      <c r="T71" s="712"/>
      <c r="U71" s="242">
        <v>0</v>
      </c>
    </row>
    <row r="72" spans="1:21" ht="14.4" customHeight="1" x14ac:dyDescent="0.3">
      <c r="A72" s="686">
        <v>25</v>
      </c>
      <c r="B72" s="677" t="s">
        <v>509</v>
      </c>
      <c r="C72" s="677">
        <v>89301252</v>
      </c>
      <c r="D72" s="709" t="s">
        <v>1190</v>
      </c>
      <c r="E72" s="710" t="s">
        <v>969</v>
      </c>
      <c r="F72" s="677" t="s">
        <v>946</v>
      </c>
      <c r="G72" s="677" t="s">
        <v>1001</v>
      </c>
      <c r="H72" s="677" t="s">
        <v>508</v>
      </c>
      <c r="I72" s="677" t="s">
        <v>572</v>
      </c>
      <c r="J72" s="677" t="s">
        <v>573</v>
      </c>
      <c r="K72" s="677" t="s">
        <v>1065</v>
      </c>
      <c r="L72" s="711">
        <v>48.31</v>
      </c>
      <c r="M72" s="711">
        <v>144.93</v>
      </c>
      <c r="N72" s="677">
        <v>3</v>
      </c>
      <c r="O72" s="712">
        <v>3</v>
      </c>
      <c r="P72" s="711">
        <v>96.62</v>
      </c>
      <c r="Q72" s="688">
        <v>0.66666666666666663</v>
      </c>
      <c r="R72" s="677">
        <v>2</v>
      </c>
      <c r="S72" s="688">
        <v>0.66666666666666663</v>
      </c>
      <c r="T72" s="712">
        <v>2</v>
      </c>
      <c r="U72" s="242">
        <v>0.66666666666666663</v>
      </c>
    </row>
    <row r="73" spans="1:21" ht="14.4" customHeight="1" x14ac:dyDescent="0.3">
      <c r="A73" s="686">
        <v>25</v>
      </c>
      <c r="B73" s="677" t="s">
        <v>509</v>
      </c>
      <c r="C73" s="677">
        <v>89301252</v>
      </c>
      <c r="D73" s="709" t="s">
        <v>1190</v>
      </c>
      <c r="E73" s="710" t="s">
        <v>969</v>
      </c>
      <c r="F73" s="677" t="s">
        <v>946</v>
      </c>
      <c r="G73" s="677" t="s">
        <v>1088</v>
      </c>
      <c r="H73" s="677" t="s">
        <v>508</v>
      </c>
      <c r="I73" s="677" t="s">
        <v>580</v>
      </c>
      <c r="J73" s="677" t="s">
        <v>1089</v>
      </c>
      <c r="K73" s="677" t="s">
        <v>1090</v>
      </c>
      <c r="L73" s="711">
        <v>0</v>
      </c>
      <c r="M73" s="711">
        <v>0</v>
      </c>
      <c r="N73" s="677">
        <v>1</v>
      </c>
      <c r="O73" s="712">
        <v>1</v>
      </c>
      <c r="P73" s="711">
        <v>0</v>
      </c>
      <c r="Q73" s="688"/>
      <c r="R73" s="677">
        <v>1</v>
      </c>
      <c r="S73" s="688">
        <v>1</v>
      </c>
      <c r="T73" s="712">
        <v>1</v>
      </c>
      <c r="U73" s="242">
        <v>1</v>
      </c>
    </row>
    <row r="74" spans="1:21" ht="14.4" customHeight="1" x14ac:dyDescent="0.3">
      <c r="A74" s="686">
        <v>25</v>
      </c>
      <c r="B74" s="677" t="s">
        <v>509</v>
      </c>
      <c r="C74" s="677">
        <v>89301252</v>
      </c>
      <c r="D74" s="709" t="s">
        <v>1190</v>
      </c>
      <c r="E74" s="710" t="s">
        <v>971</v>
      </c>
      <c r="F74" s="677" t="s">
        <v>946</v>
      </c>
      <c r="G74" s="677" t="s">
        <v>988</v>
      </c>
      <c r="H74" s="677" t="s">
        <v>719</v>
      </c>
      <c r="I74" s="677" t="s">
        <v>785</v>
      </c>
      <c r="J74" s="677" t="s">
        <v>925</v>
      </c>
      <c r="K74" s="677" t="s">
        <v>926</v>
      </c>
      <c r="L74" s="711">
        <v>333.31</v>
      </c>
      <c r="M74" s="711">
        <v>999.93000000000006</v>
      </c>
      <c r="N74" s="677">
        <v>3</v>
      </c>
      <c r="O74" s="712">
        <v>3</v>
      </c>
      <c r="P74" s="711">
        <v>666.62</v>
      </c>
      <c r="Q74" s="688">
        <v>0.66666666666666663</v>
      </c>
      <c r="R74" s="677">
        <v>2</v>
      </c>
      <c r="S74" s="688">
        <v>0.66666666666666663</v>
      </c>
      <c r="T74" s="712">
        <v>2</v>
      </c>
      <c r="U74" s="242">
        <v>0.66666666666666663</v>
      </c>
    </row>
    <row r="75" spans="1:21" ht="14.4" customHeight="1" x14ac:dyDescent="0.3">
      <c r="A75" s="686">
        <v>25</v>
      </c>
      <c r="B75" s="677" t="s">
        <v>509</v>
      </c>
      <c r="C75" s="677">
        <v>89301252</v>
      </c>
      <c r="D75" s="709" t="s">
        <v>1190</v>
      </c>
      <c r="E75" s="710" t="s">
        <v>971</v>
      </c>
      <c r="F75" s="677" t="s">
        <v>946</v>
      </c>
      <c r="G75" s="677" t="s">
        <v>1091</v>
      </c>
      <c r="H75" s="677" t="s">
        <v>508</v>
      </c>
      <c r="I75" s="677" t="s">
        <v>1092</v>
      </c>
      <c r="J75" s="677" t="s">
        <v>1093</v>
      </c>
      <c r="K75" s="677" t="s">
        <v>1094</v>
      </c>
      <c r="L75" s="711">
        <v>0</v>
      </c>
      <c r="M75" s="711">
        <v>0</v>
      </c>
      <c r="N75" s="677">
        <v>1</v>
      </c>
      <c r="O75" s="712">
        <v>1</v>
      </c>
      <c r="P75" s="711"/>
      <c r="Q75" s="688"/>
      <c r="R75" s="677"/>
      <c r="S75" s="688">
        <v>0</v>
      </c>
      <c r="T75" s="712"/>
      <c r="U75" s="242">
        <v>0</v>
      </c>
    </row>
    <row r="76" spans="1:21" ht="14.4" customHeight="1" x14ac:dyDescent="0.3">
      <c r="A76" s="686">
        <v>25</v>
      </c>
      <c r="B76" s="677" t="s">
        <v>509</v>
      </c>
      <c r="C76" s="677">
        <v>89301252</v>
      </c>
      <c r="D76" s="709" t="s">
        <v>1190</v>
      </c>
      <c r="E76" s="710" t="s">
        <v>971</v>
      </c>
      <c r="F76" s="677" t="s">
        <v>946</v>
      </c>
      <c r="G76" s="677" t="s">
        <v>1095</v>
      </c>
      <c r="H76" s="677" t="s">
        <v>719</v>
      </c>
      <c r="I76" s="677" t="s">
        <v>1096</v>
      </c>
      <c r="J76" s="677" t="s">
        <v>1097</v>
      </c>
      <c r="K76" s="677" t="s">
        <v>1098</v>
      </c>
      <c r="L76" s="711">
        <v>3127.19</v>
      </c>
      <c r="M76" s="711">
        <v>3127.19</v>
      </c>
      <c r="N76" s="677">
        <v>1</v>
      </c>
      <c r="O76" s="712">
        <v>1</v>
      </c>
      <c r="P76" s="711">
        <v>3127.19</v>
      </c>
      <c r="Q76" s="688">
        <v>1</v>
      </c>
      <c r="R76" s="677">
        <v>1</v>
      </c>
      <c r="S76" s="688">
        <v>1</v>
      </c>
      <c r="T76" s="712">
        <v>1</v>
      </c>
      <c r="U76" s="242">
        <v>1</v>
      </c>
    </row>
    <row r="77" spans="1:21" ht="14.4" customHeight="1" x14ac:dyDescent="0.3">
      <c r="A77" s="686">
        <v>25</v>
      </c>
      <c r="B77" s="677" t="s">
        <v>509</v>
      </c>
      <c r="C77" s="677">
        <v>89301252</v>
      </c>
      <c r="D77" s="709" t="s">
        <v>1190</v>
      </c>
      <c r="E77" s="710" t="s">
        <v>971</v>
      </c>
      <c r="F77" s="677" t="s">
        <v>946</v>
      </c>
      <c r="G77" s="677" t="s">
        <v>1099</v>
      </c>
      <c r="H77" s="677" t="s">
        <v>508</v>
      </c>
      <c r="I77" s="677" t="s">
        <v>1100</v>
      </c>
      <c r="J77" s="677" t="s">
        <v>1101</v>
      </c>
      <c r="K77" s="677" t="s">
        <v>1102</v>
      </c>
      <c r="L77" s="711">
        <v>0</v>
      </c>
      <c r="M77" s="711">
        <v>0</v>
      </c>
      <c r="N77" s="677">
        <v>1</v>
      </c>
      <c r="O77" s="712">
        <v>1</v>
      </c>
      <c r="P77" s="711"/>
      <c r="Q77" s="688"/>
      <c r="R77" s="677"/>
      <c r="S77" s="688">
        <v>0</v>
      </c>
      <c r="T77" s="712"/>
      <c r="U77" s="242">
        <v>0</v>
      </c>
    </row>
    <row r="78" spans="1:21" ht="14.4" customHeight="1" x14ac:dyDescent="0.3">
      <c r="A78" s="686">
        <v>25</v>
      </c>
      <c r="B78" s="677" t="s">
        <v>509</v>
      </c>
      <c r="C78" s="677">
        <v>89301252</v>
      </c>
      <c r="D78" s="709" t="s">
        <v>1190</v>
      </c>
      <c r="E78" s="710" t="s">
        <v>971</v>
      </c>
      <c r="F78" s="677" t="s">
        <v>946</v>
      </c>
      <c r="G78" s="677" t="s">
        <v>1103</v>
      </c>
      <c r="H78" s="677" t="s">
        <v>508</v>
      </c>
      <c r="I78" s="677" t="s">
        <v>1104</v>
      </c>
      <c r="J78" s="677" t="s">
        <v>1105</v>
      </c>
      <c r="K78" s="677" t="s">
        <v>853</v>
      </c>
      <c r="L78" s="711">
        <v>283.5</v>
      </c>
      <c r="M78" s="711">
        <v>850.5</v>
      </c>
      <c r="N78" s="677">
        <v>3</v>
      </c>
      <c r="O78" s="712">
        <v>0.5</v>
      </c>
      <c r="P78" s="711">
        <v>850.5</v>
      </c>
      <c r="Q78" s="688">
        <v>1</v>
      </c>
      <c r="R78" s="677">
        <v>3</v>
      </c>
      <c r="S78" s="688">
        <v>1</v>
      </c>
      <c r="T78" s="712">
        <v>0.5</v>
      </c>
      <c r="U78" s="242">
        <v>1</v>
      </c>
    </row>
    <row r="79" spans="1:21" ht="14.4" customHeight="1" x14ac:dyDescent="0.3">
      <c r="A79" s="686">
        <v>25</v>
      </c>
      <c r="B79" s="677" t="s">
        <v>509</v>
      </c>
      <c r="C79" s="677">
        <v>89301252</v>
      </c>
      <c r="D79" s="709" t="s">
        <v>1190</v>
      </c>
      <c r="E79" s="710" t="s">
        <v>971</v>
      </c>
      <c r="F79" s="677" t="s">
        <v>946</v>
      </c>
      <c r="G79" s="677" t="s">
        <v>995</v>
      </c>
      <c r="H79" s="677" t="s">
        <v>719</v>
      </c>
      <c r="I79" s="677" t="s">
        <v>801</v>
      </c>
      <c r="J79" s="677" t="s">
        <v>802</v>
      </c>
      <c r="K79" s="677" t="s">
        <v>803</v>
      </c>
      <c r="L79" s="711">
        <v>154.01</v>
      </c>
      <c r="M79" s="711">
        <v>616.04</v>
      </c>
      <c r="N79" s="677">
        <v>4</v>
      </c>
      <c r="O79" s="712">
        <v>3</v>
      </c>
      <c r="P79" s="711">
        <v>462.03</v>
      </c>
      <c r="Q79" s="688">
        <v>0.75</v>
      </c>
      <c r="R79" s="677">
        <v>3</v>
      </c>
      <c r="S79" s="688">
        <v>0.75</v>
      </c>
      <c r="T79" s="712">
        <v>2</v>
      </c>
      <c r="U79" s="242">
        <v>0.66666666666666663</v>
      </c>
    </row>
    <row r="80" spans="1:21" ht="14.4" customHeight="1" x14ac:dyDescent="0.3">
      <c r="A80" s="686">
        <v>25</v>
      </c>
      <c r="B80" s="677" t="s">
        <v>509</v>
      </c>
      <c r="C80" s="677">
        <v>89301252</v>
      </c>
      <c r="D80" s="709" t="s">
        <v>1190</v>
      </c>
      <c r="E80" s="710" t="s">
        <v>971</v>
      </c>
      <c r="F80" s="677" t="s">
        <v>946</v>
      </c>
      <c r="G80" s="677" t="s">
        <v>1106</v>
      </c>
      <c r="H80" s="677" t="s">
        <v>508</v>
      </c>
      <c r="I80" s="677" t="s">
        <v>1107</v>
      </c>
      <c r="J80" s="677" t="s">
        <v>1108</v>
      </c>
      <c r="K80" s="677" t="s">
        <v>1109</v>
      </c>
      <c r="L80" s="711">
        <v>200.07</v>
      </c>
      <c r="M80" s="711">
        <v>200.07</v>
      </c>
      <c r="N80" s="677">
        <v>1</v>
      </c>
      <c r="O80" s="712">
        <v>0.5</v>
      </c>
      <c r="P80" s="711">
        <v>200.07</v>
      </c>
      <c r="Q80" s="688">
        <v>1</v>
      </c>
      <c r="R80" s="677">
        <v>1</v>
      </c>
      <c r="S80" s="688">
        <v>1</v>
      </c>
      <c r="T80" s="712">
        <v>0.5</v>
      </c>
      <c r="U80" s="242">
        <v>1</v>
      </c>
    </row>
    <row r="81" spans="1:21" ht="14.4" customHeight="1" x14ac:dyDescent="0.3">
      <c r="A81" s="686">
        <v>25</v>
      </c>
      <c r="B81" s="677" t="s">
        <v>509</v>
      </c>
      <c r="C81" s="677">
        <v>89301252</v>
      </c>
      <c r="D81" s="709" t="s">
        <v>1190</v>
      </c>
      <c r="E81" s="710" t="s">
        <v>971</v>
      </c>
      <c r="F81" s="677" t="s">
        <v>946</v>
      </c>
      <c r="G81" s="677" t="s">
        <v>1057</v>
      </c>
      <c r="H81" s="677" t="s">
        <v>508</v>
      </c>
      <c r="I81" s="677" t="s">
        <v>1058</v>
      </c>
      <c r="J81" s="677" t="s">
        <v>1059</v>
      </c>
      <c r="K81" s="677" t="s">
        <v>1060</v>
      </c>
      <c r="L81" s="711">
        <v>0</v>
      </c>
      <c r="M81" s="711">
        <v>0</v>
      </c>
      <c r="N81" s="677">
        <v>2</v>
      </c>
      <c r="O81" s="712">
        <v>0.5</v>
      </c>
      <c r="P81" s="711"/>
      <c r="Q81" s="688"/>
      <c r="R81" s="677"/>
      <c r="S81" s="688">
        <v>0</v>
      </c>
      <c r="T81" s="712"/>
      <c r="U81" s="242">
        <v>0</v>
      </c>
    </row>
    <row r="82" spans="1:21" ht="14.4" customHeight="1" x14ac:dyDescent="0.3">
      <c r="A82" s="686">
        <v>25</v>
      </c>
      <c r="B82" s="677" t="s">
        <v>509</v>
      </c>
      <c r="C82" s="677">
        <v>89301252</v>
      </c>
      <c r="D82" s="709" t="s">
        <v>1190</v>
      </c>
      <c r="E82" s="710" t="s">
        <v>971</v>
      </c>
      <c r="F82" s="677" t="s">
        <v>946</v>
      </c>
      <c r="G82" s="677" t="s">
        <v>1001</v>
      </c>
      <c r="H82" s="677" t="s">
        <v>719</v>
      </c>
      <c r="I82" s="677" t="s">
        <v>1026</v>
      </c>
      <c r="J82" s="677" t="s">
        <v>573</v>
      </c>
      <c r="K82" s="677" t="s">
        <v>1027</v>
      </c>
      <c r="L82" s="711">
        <v>48.31</v>
      </c>
      <c r="M82" s="711">
        <v>144.93</v>
      </c>
      <c r="N82" s="677">
        <v>3</v>
      </c>
      <c r="O82" s="712">
        <v>2.5</v>
      </c>
      <c r="P82" s="711"/>
      <c r="Q82" s="688">
        <v>0</v>
      </c>
      <c r="R82" s="677"/>
      <c r="S82" s="688">
        <v>0</v>
      </c>
      <c r="T82" s="712"/>
      <c r="U82" s="242">
        <v>0</v>
      </c>
    </row>
    <row r="83" spans="1:21" ht="14.4" customHeight="1" x14ac:dyDescent="0.3">
      <c r="A83" s="686">
        <v>25</v>
      </c>
      <c r="B83" s="677" t="s">
        <v>509</v>
      </c>
      <c r="C83" s="677">
        <v>89301252</v>
      </c>
      <c r="D83" s="709" t="s">
        <v>1190</v>
      </c>
      <c r="E83" s="710" t="s">
        <v>972</v>
      </c>
      <c r="F83" s="677" t="s">
        <v>946</v>
      </c>
      <c r="G83" s="677" t="s">
        <v>988</v>
      </c>
      <c r="H83" s="677" t="s">
        <v>508</v>
      </c>
      <c r="I83" s="677" t="s">
        <v>989</v>
      </c>
      <c r="J83" s="677" t="s">
        <v>925</v>
      </c>
      <c r="K83" s="677" t="s">
        <v>990</v>
      </c>
      <c r="L83" s="711">
        <v>0</v>
      </c>
      <c r="M83" s="711">
        <v>0</v>
      </c>
      <c r="N83" s="677">
        <v>1</v>
      </c>
      <c r="O83" s="712">
        <v>1</v>
      </c>
      <c r="P83" s="711"/>
      <c r="Q83" s="688"/>
      <c r="R83" s="677"/>
      <c r="S83" s="688">
        <v>0</v>
      </c>
      <c r="T83" s="712"/>
      <c r="U83" s="242">
        <v>0</v>
      </c>
    </row>
    <row r="84" spans="1:21" ht="14.4" customHeight="1" x14ac:dyDescent="0.3">
      <c r="A84" s="686">
        <v>25</v>
      </c>
      <c r="B84" s="677" t="s">
        <v>509</v>
      </c>
      <c r="C84" s="677">
        <v>89301252</v>
      </c>
      <c r="D84" s="709" t="s">
        <v>1190</v>
      </c>
      <c r="E84" s="710" t="s">
        <v>972</v>
      </c>
      <c r="F84" s="677" t="s">
        <v>946</v>
      </c>
      <c r="G84" s="677" t="s">
        <v>988</v>
      </c>
      <c r="H84" s="677" t="s">
        <v>719</v>
      </c>
      <c r="I84" s="677" t="s">
        <v>785</v>
      </c>
      <c r="J84" s="677" t="s">
        <v>925</v>
      </c>
      <c r="K84" s="677" t="s">
        <v>926</v>
      </c>
      <c r="L84" s="711">
        <v>333.31</v>
      </c>
      <c r="M84" s="711">
        <v>6666.2</v>
      </c>
      <c r="N84" s="677">
        <v>20</v>
      </c>
      <c r="O84" s="712">
        <v>20</v>
      </c>
      <c r="P84" s="711">
        <v>2999.79</v>
      </c>
      <c r="Q84" s="688">
        <v>0.45</v>
      </c>
      <c r="R84" s="677">
        <v>9</v>
      </c>
      <c r="S84" s="688">
        <v>0.45</v>
      </c>
      <c r="T84" s="712">
        <v>9</v>
      </c>
      <c r="U84" s="242">
        <v>0.45</v>
      </c>
    </row>
    <row r="85" spans="1:21" ht="14.4" customHeight="1" x14ac:dyDescent="0.3">
      <c r="A85" s="686">
        <v>25</v>
      </c>
      <c r="B85" s="677" t="s">
        <v>509</v>
      </c>
      <c r="C85" s="677">
        <v>89301252</v>
      </c>
      <c r="D85" s="709" t="s">
        <v>1190</v>
      </c>
      <c r="E85" s="710" t="s">
        <v>972</v>
      </c>
      <c r="F85" s="677" t="s">
        <v>946</v>
      </c>
      <c r="G85" s="677" t="s">
        <v>1007</v>
      </c>
      <c r="H85" s="677" t="s">
        <v>508</v>
      </c>
      <c r="I85" s="677" t="s">
        <v>1110</v>
      </c>
      <c r="J85" s="677" t="s">
        <v>1111</v>
      </c>
      <c r="K85" s="677" t="s">
        <v>1112</v>
      </c>
      <c r="L85" s="711">
        <v>0</v>
      </c>
      <c r="M85" s="711">
        <v>0</v>
      </c>
      <c r="N85" s="677">
        <v>2</v>
      </c>
      <c r="O85" s="712">
        <v>1</v>
      </c>
      <c r="P85" s="711"/>
      <c r="Q85" s="688"/>
      <c r="R85" s="677"/>
      <c r="S85" s="688">
        <v>0</v>
      </c>
      <c r="T85" s="712"/>
      <c r="U85" s="242">
        <v>0</v>
      </c>
    </row>
    <row r="86" spans="1:21" ht="14.4" customHeight="1" x14ac:dyDescent="0.3">
      <c r="A86" s="686">
        <v>25</v>
      </c>
      <c r="B86" s="677" t="s">
        <v>509</v>
      </c>
      <c r="C86" s="677">
        <v>89301252</v>
      </c>
      <c r="D86" s="709" t="s">
        <v>1190</v>
      </c>
      <c r="E86" s="710" t="s">
        <v>972</v>
      </c>
      <c r="F86" s="677" t="s">
        <v>946</v>
      </c>
      <c r="G86" s="677" t="s">
        <v>995</v>
      </c>
      <c r="H86" s="677" t="s">
        <v>719</v>
      </c>
      <c r="I86" s="677" t="s">
        <v>801</v>
      </c>
      <c r="J86" s="677" t="s">
        <v>802</v>
      </c>
      <c r="K86" s="677" t="s">
        <v>803</v>
      </c>
      <c r="L86" s="711">
        <v>154.01</v>
      </c>
      <c r="M86" s="711">
        <v>1386.09</v>
      </c>
      <c r="N86" s="677">
        <v>9</v>
      </c>
      <c r="O86" s="712">
        <v>8</v>
      </c>
      <c r="P86" s="711">
        <v>1078.07</v>
      </c>
      <c r="Q86" s="688">
        <v>0.77777777777777779</v>
      </c>
      <c r="R86" s="677">
        <v>7</v>
      </c>
      <c r="S86" s="688">
        <v>0.77777777777777779</v>
      </c>
      <c r="T86" s="712">
        <v>6</v>
      </c>
      <c r="U86" s="242">
        <v>0.75</v>
      </c>
    </row>
    <row r="87" spans="1:21" ht="14.4" customHeight="1" x14ac:dyDescent="0.3">
      <c r="A87" s="686">
        <v>25</v>
      </c>
      <c r="B87" s="677" t="s">
        <v>509</v>
      </c>
      <c r="C87" s="677">
        <v>89301252</v>
      </c>
      <c r="D87" s="709" t="s">
        <v>1190</v>
      </c>
      <c r="E87" s="710" t="s">
        <v>972</v>
      </c>
      <c r="F87" s="677" t="s">
        <v>946</v>
      </c>
      <c r="G87" s="677" t="s">
        <v>1001</v>
      </c>
      <c r="H87" s="677" t="s">
        <v>508</v>
      </c>
      <c r="I87" s="677" t="s">
        <v>572</v>
      </c>
      <c r="J87" s="677" t="s">
        <v>573</v>
      </c>
      <c r="K87" s="677" t="s">
        <v>1065</v>
      </c>
      <c r="L87" s="711">
        <v>48.31</v>
      </c>
      <c r="M87" s="711">
        <v>48.31</v>
      </c>
      <c r="N87" s="677">
        <v>1</v>
      </c>
      <c r="O87" s="712">
        <v>1</v>
      </c>
      <c r="P87" s="711">
        <v>48.31</v>
      </c>
      <c r="Q87" s="688">
        <v>1</v>
      </c>
      <c r="R87" s="677">
        <v>1</v>
      </c>
      <c r="S87" s="688">
        <v>1</v>
      </c>
      <c r="T87" s="712">
        <v>1</v>
      </c>
      <c r="U87" s="242">
        <v>1</v>
      </c>
    </row>
    <row r="88" spans="1:21" ht="14.4" customHeight="1" x14ac:dyDescent="0.3">
      <c r="A88" s="686">
        <v>25</v>
      </c>
      <c r="B88" s="677" t="s">
        <v>509</v>
      </c>
      <c r="C88" s="677">
        <v>89301252</v>
      </c>
      <c r="D88" s="709" t="s">
        <v>1190</v>
      </c>
      <c r="E88" s="710" t="s">
        <v>972</v>
      </c>
      <c r="F88" s="677" t="s">
        <v>946</v>
      </c>
      <c r="G88" s="677" t="s">
        <v>1113</v>
      </c>
      <c r="H88" s="677" t="s">
        <v>508</v>
      </c>
      <c r="I88" s="677" t="s">
        <v>1114</v>
      </c>
      <c r="J88" s="677" t="s">
        <v>1115</v>
      </c>
      <c r="K88" s="677" t="s">
        <v>1116</v>
      </c>
      <c r="L88" s="711">
        <v>0</v>
      </c>
      <c r="M88" s="711">
        <v>0</v>
      </c>
      <c r="N88" s="677">
        <v>1</v>
      </c>
      <c r="O88" s="712">
        <v>1</v>
      </c>
      <c r="P88" s="711">
        <v>0</v>
      </c>
      <c r="Q88" s="688"/>
      <c r="R88" s="677">
        <v>1</v>
      </c>
      <c r="S88" s="688">
        <v>1</v>
      </c>
      <c r="T88" s="712">
        <v>1</v>
      </c>
      <c r="U88" s="242">
        <v>1</v>
      </c>
    </row>
    <row r="89" spans="1:21" ht="14.4" customHeight="1" x14ac:dyDescent="0.3">
      <c r="A89" s="686">
        <v>25</v>
      </c>
      <c r="B89" s="677" t="s">
        <v>509</v>
      </c>
      <c r="C89" s="677">
        <v>89301252</v>
      </c>
      <c r="D89" s="709" t="s">
        <v>1190</v>
      </c>
      <c r="E89" s="710" t="s">
        <v>974</v>
      </c>
      <c r="F89" s="677" t="s">
        <v>946</v>
      </c>
      <c r="G89" s="677" t="s">
        <v>988</v>
      </c>
      <c r="H89" s="677" t="s">
        <v>719</v>
      </c>
      <c r="I89" s="677" t="s">
        <v>785</v>
      </c>
      <c r="J89" s="677" t="s">
        <v>925</v>
      </c>
      <c r="K89" s="677" t="s">
        <v>926</v>
      </c>
      <c r="L89" s="711">
        <v>333.31</v>
      </c>
      <c r="M89" s="711">
        <v>5999.58</v>
      </c>
      <c r="N89" s="677">
        <v>18</v>
      </c>
      <c r="O89" s="712">
        <v>14</v>
      </c>
      <c r="P89" s="711">
        <v>3999.72</v>
      </c>
      <c r="Q89" s="688">
        <v>0.66666666666666663</v>
      </c>
      <c r="R89" s="677">
        <v>12</v>
      </c>
      <c r="S89" s="688">
        <v>0.66666666666666663</v>
      </c>
      <c r="T89" s="712">
        <v>11</v>
      </c>
      <c r="U89" s="242">
        <v>0.7857142857142857</v>
      </c>
    </row>
    <row r="90" spans="1:21" ht="14.4" customHeight="1" x14ac:dyDescent="0.3">
      <c r="A90" s="686">
        <v>25</v>
      </c>
      <c r="B90" s="677" t="s">
        <v>509</v>
      </c>
      <c r="C90" s="677">
        <v>89301252</v>
      </c>
      <c r="D90" s="709" t="s">
        <v>1190</v>
      </c>
      <c r="E90" s="710" t="s">
        <v>974</v>
      </c>
      <c r="F90" s="677" t="s">
        <v>946</v>
      </c>
      <c r="G90" s="677" t="s">
        <v>1117</v>
      </c>
      <c r="H90" s="677" t="s">
        <v>719</v>
      </c>
      <c r="I90" s="677" t="s">
        <v>1118</v>
      </c>
      <c r="J90" s="677" t="s">
        <v>1119</v>
      </c>
      <c r="K90" s="677" t="s">
        <v>1120</v>
      </c>
      <c r="L90" s="711">
        <v>41.55</v>
      </c>
      <c r="M90" s="711">
        <v>83.1</v>
      </c>
      <c r="N90" s="677">
        <v>2</v>
      </c>
      <c r="O90" s="712">
        <v>2</v>
      </c>
      <c r="P90" s="711">
        <v>83.1</v>
      </c>
      <c r="Q90" s="688">
        <v>1</v>
      </c>
      <c r="R90" s="677">
        <v>2</v>
      </c>
      <c r="S90" s="688">
        <v>1</v>
      </c>
      <c r="T90" s="712">
        <v>2</v>
      </c>
      <c r="U90" s="242">
        <v>1</v>
      </c>
    </row>
    <row r="91" spans="1:21" ht="14.4" customHeight="1" x14ac:dyDescent="0.3">
      <c r="A91" s="686">
        <v>25</v>
      </c>
      <c r="B91" s="677" t="s">
        <v>509</v>
      </c>
      <c r="C91" s="677">
        <v>89301252</v>
      </c>
      <c r="D91" s="709" t="s">
        <v>1190</v>
      </c>
      <c r="E91" s="710" t="s">
        <v>974</v>
      </c>
      <c r="F91" s="677" t="s">
        <v>946</v>
      </c>
      <c r="G91" s="677" t="s">
        <v>1015</v>
      </c>
      <c r="H91" s="677" t="s">
        <v>508</v>
      </c>
      <c r="I91" s="677" t="s">
        <v>1121</v>
      </c>
      <c r="J91" s="677" t="s">
        <v>1081</v>
      </c>
      <c r="K91" s="677" t="s">
        <v>1122</v>
      </c>
      <c r="L91" s="711">
        <v>77.08</v>
      </c>
      <c r="M91" s="711">
        <v>154.16</v>
      </c>
      <c r="N91" s="677">
        <v>2</v>
      </c>
      <c r="O91" s="712">
        <v>2</v>
      </c>
      <c r="P91" s="711"/>
      <c r="Q91" s="688">
        <v>0</v>
      </c>
      <c r="R91" s="677"/>
      <c r="S91" s="688">
        <v>0</v>
      </c>
      <c r="T91" s="712"/>
      <c r="U91" s="242">
        <v>0</v>
      </c>
    </row>
    <row r="92" spans="1:21" ht="14.4" customHeight="1" x14ac:dyDescent="0.3">
      <c r="A92" s="686">
        <v>25</v>
      </c>
      <c r="B92" s="677" t="s">
        <v>509</v>
      </c>
      <c r="C92" s="677">
        <v>89301252</v>
      </c>
      <c r="D92" s="709" t="s">
        <v>1190</v>
      </c>
      <c r="E92" s="710" t="s">
        <v>974</v>
      </c>
      <c r="F92" s="677" t="s">
        <v>946</v>
      </c>
      <c r="G92" s="677" t="s">
        <v>995</v>
      </c>
      <c r="H92" s="677" t="s">
        <v>719</v>
      </c>
      <c r="I92" s="677" t="s">
        <v>801</v>
      </c>
      <c r="J92" s="677" t="s">
        <v>802</v>
      </c>
      <c r="K92" s="677" t="s">
        <v>803</v>
      </c>
      <c r="L92" s="711">
        <v>154.01</v>
      </c>
      <c r="M92" s="711">
        <v>770.05</v>
      </c>
      <c r="N92" s="677">
        <v>5</v>
      </c>
      <c r="O92" s="712">
        <v>2</v>
      </c>
      <c r="P92" s="711">
        <v>308.02</v>
      </c>
      <c r="Q92" s="688">
        <v>0.4</v>
      </c>
      <c r="R92" s="677">
        <v>2</v>
      </c>
      <c r="S92" s="688">
        <v>0.4</v>
      </c>
      <c r="T92" s="712">
        <v>1</v>
      </c>
      <c r="U92" s="242">
        <v>0.5</v>
      </c>
    </row>
    <row r="93" spans="1:21" ht="14.4" customHeight="1" x14ac:dyDescent="0.3">
      <c r="A93" s="686">
        <v>25</v>
      </c>
      <c r="B93" s="677" t="s">
        <v>509</v>
      </c>
      <c r="C93" s="677">
        <v>89301252</v>
      </c>
      <c r="D93" s="709" t="s">
        <v>1190</v>
      </c>
      <c r="E93" s="710" t="s">
        <v>974</v>
      </c>
      <c r="F93" s="677" t="s">
        <v>946</v>
      </c>
      <c r="G93" s="677" t="s">
        <v>1001</v>
      </c>
      <c r="H93" s="677" t="s">
        <v>719</v>
      </c>
      <c r="I93" s="677" t="s">
        <v>1026</v>
      </c>
      <c r="J93" s="677" t="s">
        <v>573</v>
      </c>
      <c r="K93" s="677" t="s">
        <v>1027</v>
      </c>
      <c r="L93" s="711">
        <v>48.31</v>
      </c>
      <c r="M93" s="711">
        <v>48.31</v>
      </c>
      <c r="N93" s="677">
        <v>1</v>
      </c>
      <c r="O93" s="712">
        <v>1</v>
      </c>
      <c r="P93" s="711"/>
      <c r="Q93" s="688">
        <v>0</v>
      </c>
      <c r="R93" s="677"/>
      <c r="S93" s="688">
        <v>0</v>
      </c>
      <c r="T93" s="712"/>
      <c r="U93" s="242">
        <v>0</v>
      </c>
    </row>
    <row r="94" spans="1:21" ht="14.4" customHeight="1" x14ac:dyDescent="0.3">
      <c r="A94" s="686">
        <v>25</v>
      </c>
      <c r="B94" s="677" t="s">
        <v>509</v>
      </c>
      <c r="C94" s="677">
        <v>89301252</v>
      </c>
      <c r="D94" s="709" t="s">
        <v>1190</v>
      </c>
      <c r="E94" s="710" t="s">
        <v>974</v>
      </c>
      <c r="F94" s="677" t="s">
        <v>946</v>
      </c>
      <c r="G94" s="677" t="s">
        <v>1123</v>
      </c>
      <c r="H94" s="677" t="s">
        <v>508</v>
      </c>
      <c r="I94" s="677" t="s">
        <v>1124</v>
      </c>
      <c r="J94" s="677" t="s">
        <v>1125</v>
      </c>
      <c r="K94" s="677" t="s">
        <v>1126</v>
      </c>
      <c r="L94" s="711">
        <v>0</v>
      </c>
      <c r="M94" s="711">
        <v>0</v>
      </c>
      <c r="N94" s="677">
        <v>1</v>
      </c>
      <c r="O94" s="712">
        <v>1</v>
      </c>
      <c r="P94" s="711">
        <v>0</v>
      </c>
      <c r="Q94" s="688"/>
      <c r="R94" s="677">
        <v>1</v>
      </c>
      <c r="S94" s="688">
        <v>1</v>
      </c>
      <c r="T94" s="712">
        <v>1</v>
      </c>
      <c r="U94" s="242">
        <v>1</v>
      </c>
    </row>
    <row r="95" spans="1:21" ht="14.4" customHeight="1" x14ac:dyDescent="0.3">
      <c r="A95" s="686">
        <v>25</v>
      </c>
      <c r="B95" s="677" t="s">
        <v>509</v>
      </c>
      <c r="C95" s="677">
        <v>89301252</v>
      </c>
      <c r="D95" s="709" t="s">
        <v>1190</v>
      </c>
      <c r="E95" s="710" t="s">
        <v>974</v>
      </c>
      <c r="F95" s="677" t="s">
        <v>946</v>
      </c>
      <c r="G95" s="677" t="s">
        <v>1053</v>
      </c>
      <c r="H95" s="677" t="s">
        <v>508</v>
      </c>
      <c r="I95" s="677" t="s">
        <v>1127</v>
      </c>
      <c r="J95" s="677" t="s">
        <v>1055</v>
      </c>
      <c r="K95" s="677" t="s">
        <v>1128</v>
      </c>
      <c r="L95" s="711">
        <v>113.37</v>
      </c>
      <c r="M95" s="711">
        <v>226.74</v>
      </c>
      <c r="N95" s="677">
        <v>2</v>
      </c>
      <c r="O95" s="712">
        <v>2</v>
      </c>
      <c r="P95" s="711"/>
      <c r="Q95" s="688">
        <v>0</v>
      </c>
      <c r="R95" s="677"/>
      <c r="S95" s="688">
        <v>0</v>
      </c>
      <c r="T95" s="712"/>
      <c r="U95" s="242">
        <v>0</v>
      </c>
    </row>
    <row r="96" spans="1:21" ht="14.4" customHeight="1" x14ac:dyDescent="0.3">
      <c r="A96" s="686">
        <v>25</v>
      </c>
      <c r="B96" s="677" t="s">
        <v>509</v>
      </c>
      <c r="C96" s="677">
        <v>89301252</v>
      </c>
      <c r="D96" s="709" t="s">
        <v>1190</v>
      </c>
      <c r="E96" s="710" t="s">
        <v>974</v>
      </c>
      <c r="F96" s="677" t="s">
        <v>946</v>
      </c>
      <c r="G96" s="677" t="s">
        <v>1028</v>
      </c>
      <c r="H96" s="677" t="s">
        <v>508</v>
      </c>
      <c r="I96" s="677" t="s">
        <v>1129</v>
      </c>
      <c r="J96" s="677" t="s">
        <v>1030</v>
      </c>
      <c r="K96" s="677" t="s">
        <v>1130</v>
      </c>
      <c r="L96" s="711">
        <v>64.13</v>
      </c>
      <c r="M96" s="711">
        <v>64.13</v>
      </c>
      <c r="N96" s="677">
        <v>1</v>
      </c>
      <c r="O96" s="712">
        <v>1</v>
      </c>
      <c r="P96" s="711"/>
      <c r="Q96" s="688">
        <v>0</v>
      </c>
      <c r="R96" s="677"/>
      <c r="S96" s="688">
        <v>0</v>
      </c>
      <c r="T96" s="712"/>
      <c r="U96" s="242">
        <v>0</v>
      </c>
    </row>
    <row r="97" spans="1:21" ht="14.4" customHeight="1" x14ac:dyDescent="0.3">
      <c r="A97" s="686">
        <v>25</v>
      </c>
      <c r="B97" s="677" t="s">
        <v>509</v>
      </c>
      <c r="C97" s="677">
        <v>89301252</v>
      </c>
      <c r="D97" s="709" t="s">
        <v>1190</v>
      </c>
      <c r="E97" s="710" t="s">
        <v>975</v>
      </c>
      <c r="F97" s="677" t="s">
        <v>946</v>
      </c>
      <c r="G97" s="677" t="s">
        <v>988</v>
      </c>
      <c r="H97" s="677" t="s">
        <v>719</v>
      </c>
      <c r="I97" s="677" t="s">
        <v>785</v>
      </c>
      <c r="J97" s="677" t="s">
        <v>925</v>
      </c>
      <c r="K97" s="677" t="s">
        <v>926</v>
      </c>
      <c r="L97" s="711">
        <v>333.31</v>
      </c>
      <c r="M97" s="711">
        <v>1666.55</v>
      </c>
      <c r="N97" s="677">
        <v>5</v>
      </c>
      <c r="O97" s="712">
        <v>2.5</v>
      </c>
      <c r="P97" s="711">
        <v>1333.24</v>
      </c>
      <c r="Q97" s="688">
        <v>0.8</v>
      </c>
      <c r="R97" s="677">
        <v>4</v>
      </c>
      <c r="S97" s="688">
        <v>0.8</v>
      </c>
      <c r="T97" s="712">
        <v>1.5</v>
      </c>
      <c r="U97" s="242">
        <v>0.6</v>
      </c>
    </row>
    <row r="98" spans="1:21" ht="14.4" customHeight="1" x14ac:dyDescent="0.3">
      <c r="A98" s="686">
        <v>25</v>
      </c>
      <c r="B98" s="677" t="s">
        <v>509</v>
      </c>
      <c r="C98" s="677">
        <v>89301252</v>
      </c>
      <c r="D98" s="709" t="s">
        <v>1190</v>
      </c>
      <c r="E98" s="710" t="s">
        <v>975</v>
      </c>
      <c r="F98" s="677" t="s">
        <v>946</v>
      </c>
      <c r="G98" s="677" t="s">
        <v>1007</v>
      </c>
      <c r="H98" s="677" t="s">
        <v>719</v>
      </c>
      <c r="I98" s="677" t="s">
        <v>793</v>
      </c>
      <c r="J98" s="677" t="s">
        <v>794</v>
      </c>
      <c r="K98" s="677" t="s">
        <v>930</v>
      </c>
      <c r="L98" s="711">
        <v>184.22</v>
      </c>
      <c r="M98" s="711">
        <v>368.44</v>
      </c>
      <c r="N98" s="677">
        <v>2</v>
      </c>
      <c r="O98" s="712">
        <v>2</v>
      </c>
      <c r="P98" s="711">
        <v>184.22</v>
      </c>
      <c r="Q98" s="688">
        <v>0.5</v>
      </c>
      <c r="R98" s="677">
        <v>1</v>
      </c>
      <c r="S98" s="688">
        <v>0.5</v>
      </c>
      <c r="T98" s="712">
        <v>1</v>
      </c>
      <c r="U98" s="242">
        <v>0.5</v>
      </c>
    </row>
    <row r="99" spans="1:21" ht="14.4" customHeight="1" x14ac:dyDescent="0.3">
      <c r="A99" s="686">
        <v>25</v>
      </c>
      <c r="B99" s="677" t="s">
        <v>509</v>
      </c>
      <c r="C99" s="677">
        <v>89301252</v>
      </c>
      <c r="D99" s="709" t="s">
        <v>1190</v>
      </c>
      <c r="E99" s="710" t="s">
        <v>975</v>
      </c>
      <c r="F99" s="677" t="s">
        <v>946</v>
      </c>
      <c r="G99" s="677" t="s">
        <v>1095</v>
      </c>
      <c r="H99" s="677" t="s">
        <v>719</v>
      </c>
      <c r="I99" s="677" t="s">
        <v>1131</v>
      </c>
      <c r="J99" s="677" t="s">
        <v>1097</v>
      </c>
      <c r="K99" s="677" t="s">
        <v>1132</v>
      </c>
      <c r="L99" s="711">
        <v>782.22</v>
      </c>
      <c r="M99" s="711">
        <v>782.22</v>
      </c>
      <c r="N99" s="677">
        <v>1</v>
      </c>
      <c r="O99" s="712">
        <v>1</v>
      </c>
      <c r="P99" s="711"/>
      <c r="Q99" s="688">
        <v>0</v>
      </c>
      <c r="R99" s="677"/>
      <c r="S99" s="688">
        <v>0</v>
      </c>
      <c r="T99" s="712"/>
      <c r="U99" s="242">
        <v>0</v>
      </c>
    </row>
    <row r="100" spans="1:21" ht="14.4" customHeight="1" x14ac:dyDescent="0.3">
      <c r="A100" s="686">
        <v>25</v>
      </c>
      <c r="B100" s="677" t="s">
        <v>509</v>
      </c>
      <c r="C100" s="677">
        <v>89301252</v>
      </c>
      <c r="D100" s="709" t="s">
        <v>1190</v>
      </c>
      <c r="E100" s="710" t="s">
        <v>975</v>
      </c>
      <c r="F100" s="677" t="s">
        <v>946</v>
      </c>
      <c r="G100" s="677" t="s">
        <v>1095</v>
      </c>
      <c r="H100" s="677" t="s">
        <v>719</v>
      </c>
      <c r="I100" s="677" t="s">
        <v>1133</v>
      </c>
      <c r="J100" s="677" t="s">
        <v>1134</v>
      </c>
      <c r="K100" s="677" t="s">
        <v>1135</v>
      </c>
      <c r="L100" s="711">
        <v>181.01</v>
      </c>
      <c r="M100" s="711">
        <v>543.03</v>
      </c>
      <c r="N100" s="677">
        <v>3</v>
      </c>
      <c r="O100" s="712">
        <v>0.5</v>
      </c>
      <c r="P100" s="711">
        <v>543.03</v>
      </c>
      <c r="Q100" s="688">
        <v>1</v>
      </c>
      <c r="R100" s="677">
        <v>3</v>
      </c>
      <c r="S100" s="688">
        <v>1</v>
      </c>
      <c r="T100" s="712">
        <v>0.5</v>
      </c>
      <c r="U100" s="242">
        <v>1</v>
      </c>
    </row>
    <row r="101" spans="1:21" ht="14.4" customHeight="1" x14ac:dyDescent="0.3">
      <c r="A101" s="686">
        <v>25</v>
      </c>
      <c r="B101" s="677" t="s">
        <v>509</v>
      </c>
      <c r="C101" s="677">
        <v>89301252</v>
      </c>
      <c r="D101" s="709" t="s">
        <v>1190</v>
      </c>
      <c r="E101" s="710" t="s">
        <v>975</v>
      </c>
      <c r="F101" s="677" t="s">
        <v>946</v>
      </c>
      <c r="G101" s="677" t="s">
        <v>995</v>
      </c>
      <c r="H101" s="677" t="s">
        <v>719</v>
      </c>
      <c r="I101" s="677" t="s">
        <v>801</v>
      </c>
      <c r="J101" s="677" t="s">
        <v>802</v>
      </c>
      <c r="K101" s="677" t="s">
        <v>803</v>
      </c>
      <c r="L101" s="711">
        <v>154.01</v>
      </c>
      <c r="M101" s="711">
        <v>308.02</v>
      </c>
      <c r="N101" s="677">
        <v>2</v>
      </c>
      <c r="O101" s="712">
        <v>2</v>
      </c>
      <c r="P101" s="711">
        <v>308.02</v>
      </c>
      <c r="Q101" s="688">
        <v>1</v>
      </c>
      <c r="R101" s="677">
        <v>2</v>
      </c>
      <c r="S101" s="688">
        <v>1</v>
      </c>
      <c r="T101" s="712">
        <v>2</v>
      </c>
      <c r="U101" s="242">
        <v>1</v>
      </c>
    </row>
    <row r="102" spans="1:21" ht="14.4" customHeight="1" x14ac:dyDescent="0.3">
      <c r="A102" s="686">
        <v>25</v>
      </c>
      <c r="B102" s="677" t="s">
        <v>509</v>
      </c>
      <c r="C102" s="677">
        <v>89301252</v>
      </c>
      <c r="D102" s="709" t="s">
        <v>1190</v>
      </c>
      <c r="E102" s="710" t="s">
        <v>975</v>
      </c>
      <c r="F102" s="677" t="s">
        <v>946</v>
      </c>
      <c r="G102" s="677" t="s">
        <v>1001</v>
      </c>
      <c r="H102" s="677" t="s">
        <v>719</v>
      </c>
      <c r="I102" s="677" t="s">
        <v>725</v>
      </c>
      <c r="J102" s="677" t="s">
        <v>573</v>
      </c>
      <c r="K102" s="677" t="s">
        <v>938</v>
      </c>
      <c r="L102" s="711">
        <v>96.63</v>
      </c>
      <c r="M102" s="711">
        <v>193.26</v>
      </c>
      <c r="N102" s="677">
        <v>2</v>
      </c>
      <c r="O102" s="712">
        <v>2</v>
      </c>
      <c r="P102" s="711">
        <v>193.26</v>
      </c>
      <c r="Q102" s="688">
        <v>1</v>
      </c>
      <c r="R102" s="677">
        <v>2</v>
      </c>
      <c r="S102" s="688">
        <v>1</v>
      </c>
      <c r="T102" s="712">
        <v>2</v>
      </c>
      <c r="U102" s="242">
        <v>1</v>
      </c>
    </row>
    <row r="103" spans="1:21" ht="14.4" customHeight="1" x14ac:dyDescent="0.3">
      <c r="A103" s="686">
        <v>25</v>
      </c>
      <c r="B103" s="677" t="s">
        <v>509</v>
      </c>
      <c r="C103" s="677">
        <v>89301252</v>
      </c>
      <c r="D103" s="709" t="s">
        <v>1190</v>
      </c>
      <c r="E103" s="710" t="s">
        <v>975</v>
      </c>
      <c r="F103" s="677" t="s">
        <v>946</v>
      </c>
      <c r="G103" s="677" t="s">
        <v>1123</v>
      </c>
      <c r="H103" s="677" t="s">
        <v>508</v>
      </c>
      <c r="I103" s="677" t="s">
        <v>1136</v>
      </c>
      <c r="J103" s="677" t="s">
        <v>1137</v>
      </c>
      <c r="K103" s="677" t="s">
        <v>1138</v>
      </c>
      <c r="L103" s="711">
        <v>314.89999999999998</v>
      </c>
      <c r="M103" s="711">
        <v>314.89999999999998</v>
      </c>
      <c r="N103" s="677">
        <v>1</v>
      </c>
      <c r="O103" s="712">
        <v>1</v>
      </c>
      <c r="P103" s="711">
        <v>314.89999999999998</v>
      </c>
      <c r="Q103" s="688">
        <v>1</v>
      </c>
      <c r="R103" s="677">
        <v>1</v>
      </c>
      <c r="S103" s="688">
        <v>1</v>
      </c>
      <c r="T103" s="712">
        <v>1</v>
      </c>
      <c r="U103" s="242">
        <v>1</v>
      </c>
    </row>
    <row r="104" spans="1:21" ht="14.4" customHeight="1" x14ac:dyDescent="0.3">
      <c r="A104" s="686">
        <v>25</v>
      </c>
      <c r="B104" s="677" t="s">
        <v>509</v>
      </c>
      <c r="C104" s="677">
        <v>89301252</v>
      </c>
      <c r="D104" s="709" t="s">
        <v>1190</v>
      </c>
      <c r="E104" s="710" t="s">
        <v>975</v>
      </c>
      <c r="F104" s="677" t="s">
        <v>946</v>
      </c>
      <c r="G104" s="677" t="s">
        <v>1139</v>
      </c>
      <c r="H104" s="677" t="s">
        <v>508</v>
      </c>
      <c r="I104" s="677" t="s">
        <v>1140</v>
      </c>
      <c r="J104" s="677" t="s">
        <v>1141</v>
      </c>
      <c r="K104" s="677" t="s">
        <v>1142</v>
      </c>
      <c r="L104" s="711">
        <v>0</v>
      </c>
      <c r="M104" s="711">
        <v>0</v>
      </c>
      <c r="N104" s="677">
        <v>1</v>
      </c>
      <c r="O104" s="712">
        <v>1</v>
      </c>
      <c r="P104" s="711">
        <v>0</v>
      </c>
      <c r="Q104" s="688"/>
      <c r="R104" s="677">
        <v>1</v>
      </c>
      <c r="S104" s="688">
        <v>1</v>
      </c>
      <c r="T104" s="712">
        <v>1</v>
      </c>
      <c r="U104" s="242">
        <v>1</v>
      </c>
    </row>
    <row r="105" spans="1:21" ht="14.4" customHeight="1" x14ac:dyDescent="0.3">
      <c r="A105" s="686">
        <v>25</v>
      </c>
      <c r="B105" s="677" t="s">
        <v>509</v>
      </c>
      <c r="C105" s="677">
        <v>89301252</v>
      </c>
      <c r="D105" s="709" t="s">
        <v>1190</v>
      </c>
      <c r="E105" s="710" t="s">
        <v>976</v>
      </c>
      <c r="F105" s="677" t="s">
        <v>946</v>
      </c>
      <c r="G105" s="677" t="s">
        <v>988</v>
      </c>
      <c r="H105" s="677" t="s">
        <v>719</v>
      </c>
      <c r="I105" s="677" t="s">
        <v>785</v>
      </c>
      <c r="J105" s="677" t="s">
        <v>925</v>
      </c>
      <c r="K105" s="677" t="s">
        <v>926</v>
      </c>
      <c r="L105" s="711">
        <v>333.31</v>
      </c>
      <c r="M105" s="711">
        <v>3333.1</v>
      </c>
      <c r="N105" s="677">
        <v>10</v>
      </c>
      <c r="O105" s="712">
        <v>10</v>
      </c>
      <c r="P105" s="711">
        <v>1666.55</v>
      </c>
      <c r="Q105" s="688">
        <v>0.5</v>
      </c>
      <c r="R105" s="677">
        <v>5</v>
      </c>
      <c r="S105" s="688">
        <v>0.5</v>
      </c>
      <c r="T105" s="712">
        <v>5</v>
      </c>
      <c r="U105" s="242">
        <v>0.5</v>
      </c>
    </row>
    <row r="106" spans="1:21" ht="14.4" customHeight="1" x14ac:dyDescent="0.3">
      <c r="A106" s="686">
        <v>25</v>
      </c>
      <c r="B106" s="677" t="s">
        <v>509</v>
      </c>
      <c r="C106" s="677">
        <v>89301252</v>
      </c>
      <c r="D106" s="709" t="s">
        <v>1190</v>
      </c>
      <c r="E106" s="710" t="s">
        <v>976</v>
      </c>
      <c r="F106" s="677" t="s">
        <v>946</v>
      </c>
      <c r="G106" s="677" t="s">
        <v>1007</v>
      </c>
      <c r="H106" s="677" t="s">
        <v>719</v>
      </c>
      <c r="I106" s="677" t="s">
        <v>793</v>
      </c>
      <c r="J106" s="677" t="s">
        <v>794</v>
      </c>
      <c r="K106" s="677" t="s">
        <v>930</v>
      </c>
      <c r="L106" s="711">
        <v>184.22</v>
      </c>
      <c r="M106" s="711">
        <v>552.66</v>
      </c>
      <c r="N106" s="677">
        <v>3</v>
      </c>
      <c r="O106" s="712">
        <v>1.5</v>
      </c>
      <c r="P106" s="711">
        <v>184.22</v>
      </c>
      <c r="Q106" s="688">
        <v>0.33333333333333337</v>
      </c>
      <c r="R106" s="677">
        <v>1</v>
      </c>
      <c r="S106" s="688">
        <v>0.33333333333333331</v>
      </c>
      <c r="T106" s="712">
        <v>0.5</v>
      </c>
      <c r="U106" s="242">
        <v>0.33333333333333331</v>
      </c>
    </row>
    <row r="107" spans="1:21" ht="14.4" customHeight="1" x14ac:dyDescent="0.3">
      <c r="A107" s="686">
        <v>25</v>
      </c>
      <c r="B107" s="677" t="s">
        <v>509</v>
      </c>
      <c r="C107" s="677">
        <v>89301252</v>
      </c>
      <c r="D107" s="709" t="s">
        <v>1190</v>
      </c>
      <c r="E107" s="710" t="s">
        <v>976</v>
      </c>
      <c r="F107" s="677" t="s">
        <v>946</v>
      </c>
      <c r="G107" s="677" t="s">
        <v>1143</v>
      </c>
      <c r="H107" s="677" t="s">
        <v>508</v>
      </c>
      <c r="I107" s="677" t="s">
        <v>1144</v>
      </c>
      <c r="J107" s="677" t="s">
        <v>1145</v>
      </c>
      <c r="K107" s="677" t="s">
        <v>1146</v>
      </c>
      <c r="L107" s="711">
        <v>128.9</v>
      </c>
      <c r="M107" s="711">
        <v>128.9</v>
      </c>
      <c r="N107" s="677">
        <v>1</v>
      </c>
      <c r="O107" s="712">
        <v>0.5</v>
      </c>
      <c r="P107" s="711">
        <v>128.9</v>
      </c>
      <c r="Q107" s="688">
        <v>1</v>
      </c>
      <c r="R107" s="677">
        <v>1</v>
      </c>
      <c r="S107" s="688">
        <v>1</v>
      </c>
      <c r="T107" s="712">
        <v>0.5</v>
      </c>
      <c r="U107" s="242">
        <v>1</v>
      </c>
    </row>
    <row r="108" spans="1:21" ht="14.4" customHeight="1" x14ac:dyDescent="0.3">
      <c r="A108" s="686">
        <v>25</v>
      </c>
      <c r="B108" s="677" t="s">
        <v>509</v>
      </c>
      <c r="C108" s="677">
        <v>89301252</v>
      </c>
      <c r="D108" s="709" t="s">
        <v>1190</v>
      </c>
      <c r="E108" s="710" t="s">
        <v>976</v>
      </c>
      <c r="F108" s="677" t="s">
        <v>946</v>
      </c>
      <c r="G108" s="677" t="s">
        <v>995</v>
      </c>
      <c r="H108" s="677" t="s">
        <v>719</v>
      </c>
      <c r="I108" s="677" t="s">
        <v>801</v>
      </c>
      <c r="J108" s="677" t="s">
        <v>802</v>
      </c>
      <c r="K108" s="677" t="s">
        <v>803</v>
      </c>
      <c r="L108" s="711">
        <v>154.01</v>
      </c>
      <c r="M108" s="711">
        <v>616.04</v>
      </c>
      <c r="N108" s="677">
        <v>4</v>
      </c>
      <c r="O108" s="712">
        <v>4</v>
      </c>
      <c r="P108" s="711">
        <v>308.02</v>
      </c>
      <c r="Q108" s="688">
        <v>0.5</v>
      </c>
      <c r="R108" s="677">
        <v>2</v>
      </c>
      <c r="S108" s="688">
        <v>0.5</v>
      </c>
      <c r="T108" s="712">
        <v>2</v>
      </c>
      <c r="U108" s="242">
        <v>0.5</v>
      </c>
    </row>
    <row r="109" spans="1:21" ht="14.4" customHeight="1" x14ac:dyDescent="0.3">
      <c r="A109" s="686">
        <v>25</v>
      </c>
      <c r="B109" s="677" t="s">
        <v>509</v>
      </c>
      <c r="C109" s="677">
        <v>89301252</v>
      </c>
      <c r="D109" s="709" t="s">
        <v>1190</v>
      </c>
      <c r="E109" s="710" t="s">
        <v>976</v>
      </c>
      <c r="F109" s="677" t="s">
        <v>946</v>
      </c>
      <c r="G109" s="677" t="s">
        <v>1001</v>
      </c>
      <c r="H109" s="677" t="s">
        <v>508</v>
      </c>
      <c r="I109" s="677" t="s">
        <v>1147</v>
      </c>
      <c r="J109" s="677" t="s">
        <v>1148</v>
      </c>
      <c r="K109" s="677" t="s">
        <v>1149</v>
      </c>
      <c r="L109" s="711">
        <v>0</v>
      </c>
      <c r="M109" s="711">
        <v>0</v>
      </c>
      <c r="N109" s="677">
        <v>1</v>
      </c>
      <c r="O109" s="712">
        <v>1</v>
      </c>
      <c r="P109" s="711"/>
      <c r="Q109" s="688"/>
      <c r="R109" s="677"/>
      <c r="S109" s="688">
        <v>0</v>
      </c>
      <c r="T109" s="712"/>
      <c r="U109" s="242">
        <v>0</v>
      </c>
    </row>
    <row r="110" spans="1:21" ht="14.4" customHeight="1" x14ac:dyDescent="0.3">
      <c r="A110" s="686">
        <v>25</v>
      </c>
      <c r="B110" s="677" t="s">
        <v>509</v>
      </c>
      <c r="C110" s="677">
        <v>89301252</v>
      </c>
      <c r="D110" s="709" t="s">
        <v>1190</v>
      </c>
      <c r="E110" s="710" t="s">
        <v>976</v>
      </c>
      <c r="F110" s="677" t="s">
        <v>946</v>
      </c>
      <c r="G110" s="677" t="s">
        <v>1032</v>
      </c>
      <c r="H110" s="677" t="s">
        <v>508</v>
      </c>
      <c r="I110" s="677" t="s">
        <v>1033</v>
      </c>
      <c r="J110" s="677" t="s">
        <v>1034</v>
      </c>
      <c r="K110" s="677" t="s">
        <v>1035</v>
      </c>
      <c r="L110" s="711">
        <v>0</v>
      </c>
      <c r="M110" s="711">
        <v>0</v>
      </c>
      <c r="N110" s="677">
        <v>4</v>
      </c>
      <c r="O110" s="712">
        <v>1</v>
      </c>
      <c r="P110" s="711"/>
      <c r="Q110" s="688"/>
      <c r="R110" s="677"/>
      <c r="S110" s="688">
        <v>0</v>
      </c>
      <c r="T110" s="712"/>
      <c r="U110" s="242">
        <v>0</v>
      </c>
    </row>
    <row r="111" spans="1:21" ht="14.4" customHeight="1" x14ac:dyDescent="0.3">
      <c r="A111" s="686">
        <v>25</v>
      </c>
      <c r="B111" s="677" t="s">
        <v>509</v>
      </c>
      <c r="C111" s="677">
        <v>89301252</v>
      </c>
      <c r="D111" s="709" t="s">
        <v>1190</v>
      </c>
      <c r="E111" s="710" t="s">
        <v>977</v>
      </c>
      <c r="F111" s="677" t="s">
        <v>946</v>
      </c>
      <c r="G111" s="677" t="s">
        <v>1150</v>
      </c>
      <c r="H111" s="677" t="s">
        <v>508</v>
      </c>
      <c r="I111" s="677" t="s">
        <v>1151</v>
      </c>
      <c r="J111" s="677" t="s">
        <v>1152</v>
      </c>
      <c r="K111" s="677" t="s">
        <v>1153</v>
      </c>
      <c r="L111" s="711">
        <v>0</v>
      </c>
      <c r="M111" s="711">
        <v>0</v>
      </c>
      <c r="N111" s="677">
        <v>1</v>
      </c>
      <c r="O111" s="712">
        <v>1</v>
      </c>
      <c r="P111" s="711"/>
      <c r="Q111" s="688"/>
      <c r="R111" s="677"/>
      <c r="S111" s="688">
        <v>0</v>
      </c>
      <c r="T111" s="712"/>
      <c r="U111" s="242">
        <v>0</v>
      </c>
    </row>
    <row r="112" spans="1:21" ht="14.4" customHeight="1" x14ac:dyDescent="0.3">
      <c r="A112" s="686">
        <v>25</v>
      </c>
      <c r="B112" s="677" t="s">
        <v>509</v>
      </c>
      <c r="C112" s="677">
        <v>89301252</v>
      </c>
      <c r="D112" s="709" t="s">
        <v>1190</v>
      </c>
      <c r="E112" s="710" t="s">
        <v>977</v>
      </c>
      <c r="F112" s="677" t="s">
        <v>946</v>
      </c>
      <c r="G112" s="677" t="s">
        <v>988</v>
      </c>
      <c r="H112" s="677" t="s">
        <v>508</v>
      </c>
      <c r="I112" s="677" t="s">
        <v>989</v>
      </c>
      <c r="J112" s="677" t="s">
        <v>925</v>
      </c>
      <c r="K112" s="677" t="s">
        <v>990</v>
      </c>
      <c r="L112" s="711">
        <v>0</v>
      </c>
      <c r="M112" s="711">
        <v>0</v>
      </c>
      <c r="N112" s="677">
        <v>6</v>
      </c>
      <c r="O112" s="712">
        <v>4.5</v>
      </c>
      <c r="P112" s="711">
        <v>0</v>
      </c>
      <c r="Q112" s="688"/>
      <c r="R112" s="677">
        <v>5</v>
      </c>
      <c r="S112" s="688">
        <v>0.83333333333333337</v>
      </c>
      <c r="T112" s="712">
        <v>4</v>
      </c>
      <c r="U112" s="242">
        <v>0.88888888888888884</v>
      </c>
    </row>
    <row r="113" spans="1:21" ht="14.4" customHeight="1" x14ac:dyDescent="0.3">
      <c r="A113" s="686">
        <v>25</v>
      </c>
      <c r="B113" s="677" t="s">
        <v>509</v>
      </c>
      <c r="C113" s="677">
        <v>89301252</v>
      </c>
      <c r="D113" s="709" t="s">
        <v>1190</v>
      </c>
      <c r="E113" s="710" t="s">
        <v>977</v>
      </c>
      <c r="F113" s="677" t="s">
        <v>946</v>
      </c>
      <c r="G113" s="677" t="s">
        <v>1154</v>
      </c>
      <c r="H113" s="677" t="s">
        <v>508</v>
      </c>
      <c r="I113" s="677" t="s">
        <v>1155</v>
      </c>
      <c r="J113" s="677" t="s">
        <v>1156</v>
      </c>
      <c r="K113" s="677" t="s">
        <v>1157</v>
      </c>
      <c r="L113" s="711">
        <v>0</v>
      </c>
      <c r="M113" s="711">
        <v>0</v>
      </c>
      <c r="N113" s="677">
        <v>1</v>
      </c>
      <c r="O113" s="712">
        <v>1</v>
      </c>
      <c r="P113" s="711">
        <v>0</v>
      </c>
      <c r="Q113" s="688"/>
      <c r="R113" s="677">
        <v>1</v>
      </c>
      <c r="S113" s="688">
        <v>1</v>
      </c>
      <c r="T113" s="712">
        <v>1</v>
      </c>
      <c r="U113" s="242">
        <v>1</v>
      </c>
    </row>
    <row r="114" spans="1:21" ht="14.4" customHeight="1" x14ac:dyDescent="0.3">
      <c r="A114" s="686">
        <v>25</v>
      </c>
      <c r="B114" s="677" t="s">
        <v>509</v>
      </c>
      <c r="C114" s="677">
        <v>89301252</v>
      </c>
      <c r="D114" s="709" t="s">
        <v>1190</v>
      </c>
      <c r="E114" s="710" t="s">
        <v>977</v>
      </c>
      <c r="F114" s="677" t="s">
        <v>946</v>
      </c>
      <c r="G114" s="677" t="s">
        <v>1001</v>
      </c>
      <c r="H114" s="677" t="s">
        <v>508</v>
      </c>
      <c r="I114" s="677" t="s">
        <v>1158</v>
      </c>
      <c r="J114" s="677" t="s">
        <v>573</v>
      </c>
      <c r="K114" s="677" t="s">
        <v>1159</v>
      </c>
      <c r="L114" s="711">
        <v>0</v>
      </c>
      <c r="M114" s="711">
        <v>0</v>
      </c>
      <c r="N114" s="677">
        <v>1</v>
      </c>
      <c r="O114" s="712">
        <v>0.5</v>
      </c>
      <c r="P114" s="711"/>
      <c r="Q114" s="688"/>
      <c r="R114" s="677"/>
      <c r="S114" s="688">
        <v>0</v>
      </c>
      <c r="T114" s="712"/>
      <c r="U114" s="242">
        <v>0</v>
      </c>
    </row>
    <row r="115" spans="1:21" ht="14.4" customHeight="1" x14ac:dyDescent="0.3">
      <c r="A115" s="686">
        <v>25</v>
      </c>
      <c r="B115" s="677" t="s">
        <v>509</v>
      </c>
      <c r="C115" s="677">
        <v>89301252</v>
      </c>
      <c r="D115" s="709" t="s">
        <v>1190</v>
      </c>
      <c r="E115" s="710" t="s">
        <v>977</v>
      </c>
      <c r="F115" s="677" t="s">
        <v>946</v>
      </c>
      <c r="G115" s="677" t="s">
        <v>1001</v>
      </c>
      <c r="H115" s="677" t="s">
        <v>508</v>
      </c>
      <c r="I115" s="677" t="s">
        <v>1160</v>
      </c>
      <c r="J115" s="677" t="s">
        <v>573</v>
      </c>
      <c r="K115" s="677" t="s">
        <v>1120</v>
      </c>
      <c r="L115" s="711">
        <v>0</v>
      </c>
      <c r="M115" s="711">
        <v>0</v>
      </c>
      <c r="N115" s="677">
        <v>1</v>
      </c>
      <c r="O115" s="712">
        <v>0.5</v>
      </c>
      <c r="P115" s="711">
        <v>0</v>
      </c>
      <c r="Q115" s="688"/>
      <c r="R115" s="677">
        <v>1</v>
      </c>
      <c r="S115" s="688">
        <v>1</v>
      </c>
      <c r="T115" s="712">
        <v>0.5</v>
      </c>
      <c r="U115" s="242">
        <v>1</v>
      </c>
    </row>
    <row r="116" spans="1:21" ht="14.4" customHeight="1" x14ac:dyDescent="0.3">
      <c r="A116" s="686">
        <v>25</v>
      </c>
      <c r="B116" s="677" t="s">
        <v>509</v>
      </c>
      <c r="C116" s="677">
        <v>89301252</v>
      </c>
      <c r="D116" s="709" t="s">
        <v>1190</v>
      </c>
      <c r="E116" s="710" t="s">
        <v>977</v>
      </c>
      <c r="F116" s="677" t="s">
        <v>946</v>
      </c>
      <c r="G116" s="677" t="s">
        <v>1001</v>
      </c>
      <c r="H116" s="677" t="s">
        <v>508</v>
      </c>
      <c r="I116" s="677" t="s">
        <v>572</v>
      </c>
      <c r="J116" s="677" t="s">
        <v>573</v>
      </c>
      <c r="K116" s="677" t="s">
        <v>1065</v>
      </c>
      <c r="L116" s="711">
        <v>48.31</v>
      </c>
      <c r="M116" s="711">
        <v>48.31</v>
      </c>
      <c r="N116" s="677">
        <v>1</v>
      </c>
      <c r="O116" s="712">
        <v>0.5</v>
      </c>
      <c r="P116" s="711">
        <v>48.31</v>
      </c>
      <c r="Q116" s="688">
        <v>1</v>
      </c>
      <c r="R116" s="677">
        <v>1</v>
      </c>
      <c r="S116" s="688">
        <v>1</v>
      </c>
      <c r="T116" s="712">
        <v>0.5</v>
      </c>
      <c r="U116" s="242">
        <v>1</v>
      </c>
    </row>
    <row r="117" spans="1:21" ht="14.4" customHeight="1" x14ac:dyDescent="0.3">
      <c r="A117" s="686">
        <v>25</v>
      </c>
      <c r="B117" s="677" t="s">
        <v>509</v>
      </c>
      <c r="C117" s="677">
        <v>89301252</v>
      </c>
      <c r="D117" s="709" t="s">
        <v>1190</v>
      </c>
      <c r="E117" s="710" t="s">
        <v>978</v>
      </c>
      <c r="F117" s="677" t="s">
        <v>946</v>
      </c>
      <c r="G117" s="677" t="s">
        <v>988</v>
      </c>
      <c r="H117" s="677" t="s">
        <v>719</v>
      </c>
      <c r="I117" s="677" t="s">
        <v>785</v>
      </c>
      <c r="J117" s="677" t="s">
        <v>925</v>
      </c>
      <c r="K117" s="677" t="s">
        <v>926</v>
      </c>
      <c r="L117" s="711">
        <v>333.31</v>
      </c>
      <c r="M117" s="711">
        <v>333.31</v>
      </c>
      <c r="N117" s="677">
        <v>1</v>
      </c>
      <c r="O117" s="712">
        <v>1</v>
      </c>
      <c r="P117" s="711"/>
      <c r="Q117" s="688">
        <v>0</v>
      </c>
      <c r="R117" s="677"/>
      <c r="S117" s="688">
        <v>0</v>
      </c>
      <c r="T117" s="712"/>
      <c r="U117" s="242">
        <v>0</v>
      </c>
    </row>
    <row r="118" spans="1:21" ht="14.4" customHeight="1" x14ac:dyDescent="0.3">
      <c r="A118" s="686">
        <v>25</v>
      </c>
      <c r="B118" s="677" t="s">
        <v>509</v>
      </c>
      <c r="C118" s="677">
        <v>89301252</v>
      </c>
      <c r="D118" s="709" t="s">
        <v>1190</v>
      </c>
      <c r="E118" s="710" t="s">
        <v>978</v>
      </c>
      <c r="F118" s="677" t="s">
        <v>946</v>
      </c>
      <c r="G118" s="677" t="s">
        <v>1161</v>
      </c>
      <c r="H118" s="677" t="s">
        <v>719</v>
      </c>
      <c r="I118" s="677" t="s">
        <v>1162</v>
      </c>
      <c r="J118" s="677" t="s">
        <v>1163</v>
      </c>
      <c r="K118" s="677" t="s">
        <v>1164</v>
      </c>
      <c r="L118" s="711">
        <v>216.16</v>
      </c>
      <c r="M118" s="711">
        <v>216.16</v>
      </c>
      <c r="N118" s="677">
        <v>1</v>
      </c>
      <c r="O118" s="712">
        <v>1</v>
      </c>
      <c r="P118" s="711">
        <v>216.16</v>
      </c>
      <c r="Q118" s="688">
        <v>1</v>
      </c>
      <c r="R118" s="677">
        <v>1</v>
      </c>
      <c r="S118" s="688">
        <v>1</v>
      </c>
      <c r="T118" s="712">
        <v>1</v>
      </c>
      <c r="U118" s="242">
        <v>1</v>
      </c>
    </row>
    <row r="119" spans="1:21" ht="14.4" customHeight="1" x14ac:dyDescent="0.3">
      <c r="A119" s="686">
        <v>25</v>
      </c>
      <c r="B119" s="677" t="s">
        <v>509</v>
      </c>
      <c r="C119" s="677">
        <v>89301252</v>
      </c>
      <c r="D119" s="709" t="s">
        <v>1190</v>
      </c>
      <c r="E119" s="710" t="s">
        <v>978</v>
      </c>
      <c r="F119" s="677" t="s">
        <v>946</v>
      </c>
      <c r="G119" s="677" t="s">
        <v>1045</v>
      </c>
      <c r="H119" s="677" t="s">
        <v>508</v>
      </c>
      <c r="I119" s="677" t="s">
        <v>1165</v>
      </c>
      <c r="J119" s="677" t="s">
        <v>1166</v>
      </c>
      <c r="K119" s="677" t="s">
        <v>1167</v>
      </c>
      <c r="L119" s="711">
        <v>0</v>
      </c>
      <c r="M119" s="711">
        <v>0</v>
      </c>
      <c r="N119" s="677">
        <v>1</v>
      </c>
      <c r="O119" s="712">
        <v>0.5</v>
      </c>
      <c r="P119" s="711"/>
      <c r="Q119" s="688"/>
      <c r="R119" s="677"/>
      <c r="S119" s="688">
        <v>0</v>
      </c>
      <c r="T119" s="712"/>
      <c r="U119" s="242">
        <v>0</v>
      </c>
    </row>
    <row r="120" spans="1:21" ht="14.4" customHeight="1" x14ac:dyDescent="0.3">
      <c r="A120" s="686">
        <v>25</v>
      </c>
      <c r="B120" s="677" t="s">
        <v>509</v>
      </c>
      <c r="C120" s="677">
        <v>89301252</v>
      </c>
      <c r="D120" s="709" t="s">
        <v>1190</v>
      </c>
      <c r="E120" s="710" t="s">
        <v>978</v>
      </c>
      <c r="F120" s="677" t="s">
        <v>946</v>
      </c>
      <c r="G120" s="677" t="s">
        <v>1003</v>
      </c>
      <c r="H120" s="677" t="s">
        <v>508</v>
      </c>
      <c r="I120" s="677" t="s">
        <v>1004</v>
      </c>
      <c r="J120" s="677" t="s">
        <v>1005</v>
      </c>
      <c r="K120" s="677" t="s">
        <v>1006</v>
      </c>
      <c r="L120" s="711">
        <v>0</v>
      </c>
      <c r="M120" s="711">
        <v>0</v>
      </c>
      <c r="N120" s="677">
        <v>1</v>
      </c>
      <c r="O120" s="712">
        <v>0.5</v>
      </c>
      <c r="P120" s="711"/>
      <c r="Q120" s="688"/>
      <c r="R120" s="677"/>
      <c r="S120" s="688">
        <v>0</v>
      </c>
      <c r="T120" s="712"/>
      <c r="U120" s="242">
        <v>0</v>
      </c>
    </row>
    <row r="121" spans="1:21" ht="14.4" customHeight="1" x14ac:dyDescent="0.3">
      <c r="A121" s="686">
        <v>25</v>
      </c>
      <c r="B121" s="677" t="s">
        <v>509</v>
      </c>
      <c r="C121" s="677">
        <v>89301252</v>
      </c>
      <c r="D121" s="709" t="s">
        <v>1190</v>
      </c>
      <c r="E121" s="710" t="s">
        <v>978</v>
      </c>
      <c r="F121" s="677" t="s">
        <v>946</v>
      </c>
      <c r="G121" s="677" t="s">
        <v>995</v>
      </c>
      <c r="H121" s="677" t="s">
        <v>719</v>
      </c>
      <c r="I121" s="677" t="s">
        <v>801</v>
      </c>
      <c r="J121" s="677" t="s">
        <v>802</v>
      </c>
      <c r="K121" s="677" t="s">
        <v>803</v>
      </c>
      <c r="L121" s="711">
        <v>154.01</v>
      </c>
      <c r="M121" s="711">
        <v>308.02</v>
      </c>
      <c r="N121" s="677">
        <v>2</v>
      </c>
      <c r="O121" s="712">
        <v>1</v>
      </c>
      <c r="P121" s="711"/>
      <c r="Q121" s="688">
        <v>0</v>
      </c>
      <c r="R121" s="677"/>
      <c r="S121" s="688">
        <v>0</v>
      </c>
      <c r="T121" s="712"/>
      <c r="U121" s="242">
        <v>0</v>
      </c>
    </row>
    <row r="122" spans="1:21" ht="14.4" customHeight="1" x14ac:dyDescent="0.3">
      <c r="A122" s="686">
        <v>25</v>
      </c>
      <c r="B122" s="677" t="s">
        <v>509</v>
      </c>
      <c r="C122" s="677">
        <v>89301252</v>
      </c>
      <c r="D122" s="709" t="s">
        <v>1190</v>
      </c>
      <c r="E122" s="710" t="s">
        <v>980</v>
      </c>
      <c r="F122" s="677" t="s">
        <v>946</v>
      </c>
      <c r="G122" s="677" t="s">
        <v>988</v>
      </c>
      <c r="H122" s="677" t="s">
        <v>719</v>
      </c>
      <c r="I122" s="677" t="s">
        <v>785</v>
      </c>
      <c r="J122" s="677" t="s">
        <v>925</v>
      </c>
      <c r="K122" s="677" t="s">
        <v>926</v>
      </c>
      <c r="L122" s="711">
        <v>333.31</v>
      </c>
      <c r="M122" s="711">
        <v>666.62</v>
      </c>
      <c r="N122" s="677">
        <v>2</v>
      </c>
      <c r="O122" s="712">
        <v>2</v>
      </c>
      <c r="P122" s="711">
        <v>333.31</v>
      </c>
      <c r="Q122" s="688">
        <v>0.5</v>
      </c>
      <c r="R122" s="677">
        <v>1</v>
      </c>
      <c r="S122" s="688">
        <v>0.5</v>
      </c>
      <c r="T122" s="712">
        <v>1</v>
      </c>
      <c r="U122" s="242">
        <v>0.5</v>
      </c>
    </row>
    <row r="123" spans="1:21" ht="14.4" customHeight="1" x14ac:dyDescent="0.3">
      <c r="A123" s="686">
        <v>25</v>
      </c>
      <c r="B123" s="677" t="s">
        <v>509</v>
      </c>
      <c r="C123" s="677">
        <v>89301252</v>
      </c>
      <c r="D123" s="709" t="s">
        <v>1190</v>
      </c>
      <c r="E123" s="710" t="s">
        <v>980</v>
      </c>
      <c r="F123" s="677" t="s">
        <v>946</v>
      </c>
      <c r="G123" s="677" t="s">
        <v>1143</v>
      </c>
      <c r="H123" s="677" t="s">
        <v>508</v>
      </c>
      <c r="I123" s="677" t="s">
        <v>1168</v>
      </c>
      <c r="J123" s="677" t="s">
        <v>1145</v>
      </c>
      <c r="K123" s="677" t="s">
        <v>1169</v>
      </c>
      <c r="L123" s="711">
        <v>386.72</v>
      </c>
      <c r="M123" s="711">
        <v>386.72</v>
      </c>
      <c r="N123" s="677">
        <v>1</v>
      </c>
      <c r="O123" s="712">
        <v>1</v>
      </c>
      <c r="P123" s="711">
        <v>386.72</v>
      </c>
      <c r="Q123" s="688">
        <v>1</v>
      </c>
      <c r="R123" s="677">
        <v>1</v>
      </c>
      <c r="S123" s="688">
        <v>1</v>
      </c>
      <c r="T123" s="712">
        <v>1</v>
      </c>
      <c r="U123" s="242">
        <v>1</v>
      </c>
    </row>
    <row r="124" spans="1:21" ht="14.4" customHeight="1" x14ac:dyDescent="0.3">
      <c r="A124" s="686">
        <v>25</v>
      </c>
      <c r="B124" s="677" t="s">
        <v>509</v>
      </c>
      <c r="C124" s="677">
        <v>89301252</v>
      </c>
      <c r="D124" s="709" t="s">
        <v>1190</v>
      </c>
      <c r="E124" s="710" t="s">
        <v>980</v>
      </c>
      <c r="F124" s="677" t="s">
        <v>946</v>
      </c>
      <c r="G124" s="677" t="s">
        <v>995</v>
      </c>
      <c r="H124" s="677" t="s">
        <v>719</v>
      </c>
      <c r="I124" s="677" t="s">
        <v>801</v>
      </c>
      <c r="J124" s="677" t="s">
        <v>802</v>
      </c>
      <c r="K124" s="677" t="s">
        <v>803</v>
      </c>
      <c r="L124" s="711">
        <v>154.01</v>
      </c>
      <c r="M124" s="711">
        <v>308.02</v>
      </c>
      <c r="N124" s="677">
        <v>2</v>
      </c>
      <c r="O124" s="712">
        <v>1</v>
      </c>
      <c r="P124" s="711">
        <v>308.02</v>
      </c>
      <c r="Q124" s="688">
        <v>1</v>
      </c>
      <c r="R124" s="677">
        <v>2</v>
      </c>
      <c r="S124" s="688">
        <v>1</v>
      </c>
      <c r="T124" s="712">
        <v>1</v>
      </c>
      <c r="U124" s="242">
        <v>1</v>
      </c>
    </row>
    <row r="125" spans="1:21" ht="14.4" customHeight="1" x14ac:dyDescent="0.3">
      <c r="A125" s="686">
        <v>25</v>
      </c>
      <c r="B125" s="677" t="s">
        <v>509</v>
      </c>
      <c r="C125" s="677">
        <v>89305252</v>
      </c>
      <c r="D125" s="709" t="s">
        <v>1191</v>
      </c>
      <c r="E125" s="710" t="s">
        <v>960</v>
      </c>
      <c r="F125" s="677" t="s">
        <v>946</v>
      </c>
      <c r="G125" s="677" t="s">
        <v>988</v>
      </c>
      <c r="H125" s="677" t="s">
        <v>719</v>
      </c>
      <c r="I125" s="677" t="s">
        <v>785</v>
      </c>
      <c r="J125" s="677" t="s">
        <v>925</v>
      </c>
      <c r="K125" s="677" t="s">
        <v>926</v>
      </c>
      <c r="L125" s="711">
        <v>333.31</v>
      </c>
      <c r="M125" s="711">
        <v>333.31</v>
      </c>
      <c r="N125" s="677">
        <v>1</v>
      </c>
      <c r="O125" s="712">
        <v>0.5</v>
      </c>
      <c r="P125" s="711">
        <v>333.31</v>
      </c>
      <c r="Q125" s="688">
        <v>1</v>
      </c>
      <c r="R125" s="677">
        <v>1</v>
      </c>
      <c r="S125" s="688">
        <v>1</v>
      </c>
      <c r="T125" s="712">
        <v>0.5</v>
      </c>
      <c r="U125" s="242">
        <v>1</v>
      </c>
    </row>
    <row r="126" spans="1:21" ht="14.4" customHeight="1" x14ac:dyDescent="0.3">
      <c r="A126" s="686">
        <v>25</v>
      </c>
      <c r="B126" s="677" t="s">
        <v>509</v>
      </c>
      <c r="C126" s="677">
        <v>89305252</v>
      </c>
      <c r="D126" s="709" t="s">
        <v>1191</v>
      </c>
      <c r="E126" s="710" t="s">
        <v>960</v>
      </c>
      <c r="F126" s="677" t="s">
        <v>946</v>
      </c>
      <c r="G126" s="677" t="s">
        <v>1001</v>
      </c>
      <c r="H126" s="677" t="s">
        <v>719</v>
      </c>
      <c r="I126" s="677" t="s">
        <v>1026</v>
      </c>
      <c r="J126" s="677" t="s">
        <v>573</v>
      </c>
      <c r="K126" s="677" t="s">
        <v>1027</v>
      </c>
      <c r="L126" s="711">
        <v>48.31</v>
      </c>
      <c r="M126" s="711">
        <v>48.31</v>
      </c>
      <c r="N126" s="677">
        <v>1</v>
      </c>
      <c r="O126" s="712">
        <v>0.5</v>
      </c>
      <c r="P126" s="711">
        <v>48.31</v>
      </c>
      <c r="Q126" s="688">
        <v>1</v>
      </c>
      <c r="R126" s="677">
        <v>1</v>
      </c>
      <c r="S126" s="688">
        <v>1</v>
      </c>
      <c r="T126" s="712">
        <v>0.5</v>
      </c>
      <c r="U126" s="242">
        <v>1</v>
      </c>
    </row>
    <row r="127" spans="1:21" ht="14.4" customHeight="1" x14ac:dyDescent="0.3">
      <c r="A127" s="686">
        <v>25</v>
      </c>
      <c r="B127" s="677" t="s">
        <v>509</v>
      </c>
      <c r="C127" s="677">
        <v>89305252</v>
      </c>
      <c r="D127" s="709" t="s">
        <v>1191</v>
      </c>
      <c r="E127" s="710" t="s">
        <v>963</v>
      </c>
      <c r="F127" s="677" t="s">
        <v>946</v>
      </c>
      <c r="G127" s="677" t="s">
        <v>988</v>
      </c>
      <c r="H127" s="677" t="s">
        <v>719</v>
      </c>
      <c r="I127" s="677" t="s">
        <v>785</v>
      </c>
      <c r="J127" s="677" t="s">
        <v>925</v>
      </c>
      <c r="K127" s="677" t="s">
        <v>926</v>
      </c>
      <c r="L127" s="711">
        <v>333.31</v>
      </c>
      <c r="M127" s="711">
        <v>999.93000000000006</v>
      </c>
      <c r="N127" s="677">
        <v>3</v>
      </c>
      <c r="O127" s="712">
        <v>2.5</v>
      </c>
      <c r="P127" s="711">
        <v>333.31</v>
      </c>
      <c r="Q127" s="688">
        <v>0.33333333333333331</v>
      </c>
      <c r="R127" s="677">
        <v>1</v>
      </c>
      <c r="S127" s="688">
        <v>0.33333333333333331</v>
      </c>
      <c r="T127" s="712">
        <v>0.5</v>
      </c>
      <c r="U127" s="242">
        <v>0.2</v>
      </c>
    </row>
    <row r="128" spans="1:21" ht="14.4" customHeight="1" x14ac:dyDescent="0.3">
      <c r="A128" s="686">
        <v>25</v>
      </c>
      <c r="B128" s="677" t="s">
        <v>509</v>
      </c>
      <c r="C128" s="677">
        <v>89305252</v>
      </c>
      <c r="D128" s="709" t="s">
        <v>1191</v>
      </c>
      <c r="E128" s="710" t="s">
        <v>963</v>
      </c>
      <c r="F128" s="677" t="s">
        <v>946</v>
      </c>
      <c r="G128" s="677" t="s">
        <v>995</v>
      </c>
      <c r="H128" s="677" t="s">
        <v>719</v>
      </c>
      <c r="I128" s="677" t="s">
        <v>801</v>
      </c>
      <c r="J128" s="677" t="s">
        <v>802</v>
      </c>
      <c r="K128" s="677" t="s">
        <v>803</v>
      </c>
      <c r="L128" s="711">
        <v>154.01</v>
      </c>
      <c r="M128" s="711">
        <v>154.01</v>
      </c>
      <c r="N128" s="677">
        <v>1</v>
      </c>
      <c r="O128" s="712">
        <v>1</v>
      </c>
      <c r="P128" s="711"/>
      <c r="Q128" s="688">
        <v>0</v>
      </c>
      <c r="R128" s="677"/>
      <c r="S128" s="688">
        <v>0</v>
      </c>
      <c r="T128" s="712"/>
      <c r="U128" s="242">
        <v>0</v>
      </c>
    </row>
    <row r="129" spans="1:21" ht="14.4" customHeight="1" x14ac:dyDescent="0.3">
      <c r="A129" s="686">
        <v>25</v>
      </c>
      <c r="B129" s="677" t="s">
        <v>509</v>
      </c>
      <c r="C129" s="677">
        <v>89305252</v>
      </c>
      <c r="D129" s="709" t="s">
        <v>1191</v>
      </c>
      <c r="E129" s="710" t="s">
        <v>963</v>
      </c>
      <c r="F129" s="677" t="s">
        <v>946</v>
      </c>
      <c r="G129" s="677" t="s">
        <v>1001</v>
      </c>
      <c r="H129" s="677" t="s">
        <v>719</v>
      </c>
      <c r="I129" s="677" t="s">
        <v>1026</v>
      </c>
      <c r="J129" s="677" t="s">
        <v>573</v>
      </c>
      <c r="K129" s="677" t="s">
        <v>1027</v>
      </c>
      <c r="L129" s="711">
        <v>48.31</v>
      </c>
      <c r="M129" s="711">
        <v>48.31</v>
      </c>
      <c r="N129" s="677">
        <v>1</v>
      </c>
      <c r="O129" s="712">
        <v>1</v>
      </c>
      <c r="P129" s="711"/>
      <c r="Q129" s="688">
        <v>0</v>
      </c>
      <c r="R129" s="677"/>
      <c r="S129" s="688">
        <v>0</v>
      </c>
      <c r="T129" s="712"/>
      <c r="U129" s="242">
        <v>0</v>
      </c>
    </row>
    <row r="130" spans="1:21" ht="14.4" customHeight="1" x14ac:dyDescent="0.3">
      <c r="A130" s="686">
        <v>25</v>
      </c>
      <c r="B130" s="677" t="s">
        <v>509</v>
      </c>
      <c r="C130" s="677">
        <v>89305252</v>
      </c>
      <c r="D130" s="709" t="s">
        <v>1191</v>
      </c>
      <c r="E130" s="710" t="s">
        <v>963</v>
      </c>
      <c r="F130" s="677" t="s">
        <v>946</v>
      </c>
      <c r="G130" s="677" t="s">
        <v>1053</v>
      </c>
      <c r="H130" s="677" t="s">
        <v>508</v>
      </c>
      <c r="I130" s="677" t="s">
        <v>1054</v>
      </c>
      <c r="J130" s="677" t="s">
        <v>1055</v>
      </c>
      <c r="K130" s="677" t="s">
        <v>1056</v>
      </c>
      <c r="L130" s="711">
        <v>56.69</v>
      </c>
      <c r="M130" s="711">
        <v>56.69</v>
      </c>
      <c r="N130" s="677">
        <v>1</v>
      </c>
      <c r="O130" s="712">
        <v>0.5</v>
      </c>
      <c r="P130" s="711">
        <v>56.69</v>
      </c>
      <c r="Q130" s="688">
        <v>1</v>
      </c>
      <c r="R130" s="677">
        <v>1</v>
      </c>
      <c r="S130" s="688">
        <v>1</v>
      </c>
      <c r="T130" s="712">
        <v>0.5</v>
      </c>
      <c r="U130" s="242">
        <v>1</v>
      </c>
    </row>
    <row r="131" spans="1:21" ht="14.4" customHeight="1" x14ac:dyDescent="0.3">
      <c r="A131" s="686">
        <v>25</v>
      </c>
      <c r="B131" s="677" t="s">
        <v>509</v>
      </c>
      <c r="C131" s="677">
        <v>89305252</v>
      </c>
      <c r="D131" s="709" t="s">
        <v>1191</v>
      </c>
      <c r="E131" s="710" t="s">
        <v>966</v>
      </c>
      <c r="F131" s="677" t="s">
        <v>946</v>
      </c>
      <c r="G131" s="677" t="s">
        <v>988</v>
      </c>
      <c r="H131" s="677" t="s">
        <v>719</v>
      </c>
      <c r="I131" s="677" t="s">
        <v>785</v>
      </c>
      <c r="J131" s="677" t="s">
        <v>925</v>
      </c>
      <c r="K131" s="677" t="s">
        <v>926</v>
      </c>
      <c r="L131" s="711">
        <v>333.31</v>
      </c>
      <c r="M131" s="711">
        <v>666.62</v>
      </c>
      <c r="N131" s="677">
        <v>2</v>
      </c>
      <c r="O131" s="712">
        <v>2</v>
      </c>
      <c r="P131" s="711">
        <v>333.31</v>
      </c>
      <c r="Q131" s="688">
        <v>0.5</v>
      </c>
      <c r="R131" s="677">
        <v>1</v>
      </c>
      <c r="S131" s="688">
        <v>0.5</v>
      </c>
      <c r="T131" s="712">
        <v>1</v>
      </c>
      <c r="U131" s="242">
        <v>0.5</v>
      </c>
    </row>
    <row r="132" spans="1:21" ht="14.4" customHeight="1" x14ac:dyDescent="0.3">
      <c r="A132" s="686">
        <v>25</v>
      </c>
      <c r="B132" s="677" t="s">
        <v>509</v>
      </c>
      <c r="C132" s="677">
        <v>89305252</v>
      </c>
      <c r="D132" s="709" t="s">
        <v>1191</v>
      </c>
      <c r="E132" s="710" t="s">
        <v>966</v>
      </c>
      <c r="F132" s="677" t="s">
        <v>946</v>
      </c>
      <c r="G132" s="677" t="s">
        <v>995</v>
      </c>
      <c r="H132" s="677" t="s">
        <v>719</v>
      </c>
      <c r="I132" s="677" t="s">
        <v>801</v>
      </c>
      <c r="J132" s="677" t="s">
        <v>802</v>
      </c>
      <c r="K132" s="677" t="s">
        <v>803</v>
      </c>
      <c r="L132" s="711">
        <v>154.01</v>
      </c>
      <c r="M132" s="711">
        <v>154.01</v>
      </c>
      <c r="N132" s="677">
        <v>1</v>
      </c>
      <c r="O132" s="712">
        <v>1</v>
      </c>
      <c r="P132" s="711">
        <v>154.01</v>
      </c>
      <c r="Q132" s="688">
        <v>1</v>
      </c>
      <c r="R132" s="677">
        <v>1</v>
      </c>
      <c r="S132" s="688">
        <v>1</v>
      </c>
      <c r="T132" s="712">
        <v>1</v>
      </c>
      <c r="U132" s="242">
        <v>1</v>
      </c>
    </row>
    <row r="133" spans="1:21" ht="14.4" customHeight="1" x14ac:dyDescent="0.3">
      <c r="A133" s="686">
        <v>25</v>
      </c>
      <c r="B133" s="677" t="s">
        <v>509</v>
      </c>
      <c r="C133" s="677">
        <v>89305252</v>
      </c>
      <c r="D133" s="709" t="s">
        <v>1191</v>
      </c>
      <c r="E133" s="710" t="s">
        <v>969</v>
      </c>
      <c r="F133" s="677" t="s">
        <v>946</v>
      </c>
      <c r="G133" s="677" t="s">
        <v>988</v>
      </c>
      <c r="H133" s="677" t="s">
        <v>719</v>
      </c>
      <c r="I133" s="677" t="s">
        <v>785</v>
      </c>
      <c r="J133" s="677" t="s">
        <v>925</v>
      </c>
      <c r="K133" s="677" t="s">
        <v>926</v>
      </c>
      <c r="L133" s="711">
        <v>333.31</v>
      </c>
      <c r="M133" s="711">
        <v>333.31</v>
      </c>
      <c r="N133" s="677">
        <v>1</v>
      </c>
      <c r="O133" s="712">
        <v>1</v>
      </c>
      <c r="P133" s="711"/>
      <c r="Q133" s="688">
        <v>0</v>
      </c>
      <c r="R133" s="677"/>
      <c r="S133" s="688">
        <v>0</v>
      </c>
      <c r="T133" s="712"/>
      <c r="U133" s="242">
        <v>0</v>
      </c>
    </row>
    <row r="134" spans="1:21" ht="14.4" customHeight="1" x14ac:dyDescent="0.3">
      <c r="A134" s="686">
        <v>25</v>
      </c>
      <c r="B134" s="677" t="s">
        <v>509</v>
      </c>
      <c r="C134" s="677">
        <v>89305252</v>
      </c>
      <c r="D134" s="709" t="s">
        <v>1191</v>
      </c>
      <c r="E134" s="710" t="s">
        <v>975</v>
      </c>
      <c r="F134" s="677" t="s">
        <v>946</v>
      </c>
      <c r="G134" s="677" t="s">
        <v>988</v>
      </c>
      <c r="H134" s="677" t="s">
        <v>719</v>
      </c>
      <c r="I134" s="677" t="s">
        <v>785</v>
      </c>
      <c r="J134" s="677" t="s">
        <v>925</v>
      </c>
      <c r="K134" s="677" t="s">
        <v>926</v>
      </c>
      <c r="L134" s="711">
        <v>333.31</v>
      </c>
      <c r="M134" s="711">
        <v>333.31</v>
      </c>
      <c r="N134" s="677">
        <v>1</v>
      </c>
      <c r="O134" s="712">
        <v>1</v>
      </c>
      <c r="P134" s="711">
        <v>333.31</v>
      </c>
      <c r="Q134" s="688">
        <v>1</v>
      </c>
      <c r="R134" s="677">
        <v>1</v>
      </c>
      <c r="S134" s="688">
        <v>1</v>
      </c>
      <c r="T134" s="712">
        <v>1</v>
      </c>
      <c r="U134" s="242">
        <v>1</v>
      </c>
    </row>
    <row r="135" spans="1:21" ht="14.4" customHeight="1" x14ac:dyDescent="0.3">
      <c r="A135" s="686">
        <v>25</v>
      </c>
      <c r="B135" s="677" t="s">
        <v>509</v>
      </c>
      <c r="C135" s="677">
        <v>89305252</v>
      </c>
      <c r="D135" s="709" t="s">
        <v>1191</v>
      </c>
      <c r="E135" s="710" t="s">
        <v>976</v>
      </c>
      <c r="F135" s="677" t="s">
        <v>946</v>
      </c>
      <c r="G135" s="677" t="s">
        <v>988</v>
      </c>
      <c r="H135" s="677" t="s">
        <v>719</v>
      </c>
      <c r="I135" s="677" t="s">
        <v>785</v>
      </c>
      <c r="J135" s="677" t="s">
        <v>925</v>
      </c>
      <c r="K135" s="677" t="s">
        <v>926</v>
      </c>
      <c r="L135" s="711">
        <v>333.31</v>
      </c>
      <c r="M135" s="711">
        <v>1333.24</v>
      </c>
      <c r="N135" s="677">
        <v>4</v>
      </c>
      <c r="O135" s="712">
        <v>3</v>
      </c>
      <c r="P135" s="711">
        <v>999.93000000000006</v>
      </c>
      <c r="Q135" s="688">
        <v>0.75</v>
      </c>
      <c r="R135" s="677">
        <v>3</v>
      </c>
      <c r="S135" s="688">
        <v>0.75</v>
      </c>
      <c r="T135" s="712">
        <v>2</v>
      </c>
      <c r="U135" s="242">
        <v>0.66666666666666663</v>
      </c>
    </row>
    <row r="136" spans="1:21" ht="14.4" customHeight="1" x14ac:dyDescent="0.3">
      <c r="A136" s="686">
        <v>25</v>
      </c>
      <c r="B136" s="677" t="s">
        <v>509</v>
      </c>
      <c r="C136" s="677">
        <v>89305252</v>
      </c>
      <c r="D136" s="709" t="s">
        <v>1191</v>
      </c>
      <c r="E136" s="710" t="s">
        <v>976</v>
      </c>
      <c r="F136" s="677" t="s">
        <v>946</v>
      </c>
      <c r="G136" s="677" t="s">
        <v>1007</v>
      </c>
      <c r="H136" s="677" t="s">
        <v>719</v>
      </c>
      <c r="I136" s="677" t="s">
        <v>793</v>
      </c>
      <c r="J136" s="677" t="s">
        <v>794</v>
      </c>
      <c r="K136" s="677" t="s">
        <v>930</v>
      </c>
      <c r="L136" s="711">
        <v>184.22</v>
      </c>
      <c r="M136" s="711">
        <v>368.44</v>
      </c>
      <c r="N136" s="677">
        <v>2</v>
      </c>
      <c r="O136" s="712">
        <v>2</v>
      </c>
      <c r="P136" s="711">
        <v>184.22</v>
      </c>
      <c r="Q136" s="688">
        <v>0.5</v>
      </c>
      <c r="R136" s="677">
        <v>1</v>
      </c>
      <c r="S136" s="688">
        <v>0.5</v>
      </c>
      <c r="T136" s="712">
        <v>1</v>
      </c>
      <c r="U136" s="242">
        <v>0.5</v>
      </c>
    </row>
    <row r="137" spans="1:21" ht="14.4" customHeight="1" x14ac:dyDescent="0.3">
      <c r="A137" s="686">
        <v>25</v>
      </c>
      <c r="B137" s="677" t="s">
        <v>509</v>
      </c>
      <c r="C137" s="677">
        <v>89305252</v>
      </c>
      <c r="D137" s="709" t="s">
        <v>1191</v>
      </c>
      <c r="E137" s="710" t="s">
        <v>976</v>
      </c>
      <c r="F137" s="677" t="s">
        <v>946</v>
      </c>
      <c r="G137" s="677" t="s">
        <v>1001</v>
      </c>
      <c r="H137" s="677" t="s">
        <v>719</v>
      </c>
      <c r="I137" s="677" t="s">
        <v>1026</v>
      </c>
      <c r="J137" s="677" t="s">
        <v>573</v>
      </c>
      <c r="K137" s="677" t="s">
        <v>1027</v>
      </c>
      <c r="L137" s="711">
        <v>48.31</v>
      </c>
      <c r="M137" s="711">
        <v>48.31</v>
      </c>
      <c r="N137" s="677">
        <v>1</v>
      </c>
      <c r="O137" s="712">
        <v>0.5</v>
      </c>
      <c r="P137" s="711">
        <v>48.31</v>
      </c>
      <c r="Q137" s="688">
        <v>1</v>
      </c>
      <c r="R137" s="677">
        <v>1</v>
      </c>
      <c r="S137" s="688">
        <v>1</v>
      </c>
      <c r="T137" s="712">
        <v>0.5</v>
      </c>
      <c r="U137" s="242">
        <v>1</v>
      </c>
    </row>
    <row r="138" spans="1:21" ht="14.4" customHeight="1" x14ac:dyDescent="0.3">
      <c r="A138" s="686">
        <v>25</v>
      </c>
      <c r="B138" s="677" t="s">
        <v>509</v>
      </c>
      <c r="C138" s="677">
        <v>89305252</v>
      </c>
      <c r="D138" s="709" t="s">
        <v>1191</v>
      </c>
      <c r="E138" s="710" t="s">
        <v>976</v>
      </c>
      <c r="F138" s="677" t="s">
        <v>946</v>
      </c>
      <c r="G138" s="677" t="s">
        <v>1001</v>
      </c>
      <c r="H138" s="677" t="s">
        <v>508</v>
      </c>
      <c r="I138" s="677" t="s">
        <v>1147</v>
      </c>
      <c r="J138" s="677" t="s">
        <v>1148</v>
      </c>
      <c r="K138" s="677" t="s">
        <v>1149</v>
      </c>
      <c r="L138" s="711">
        <v>0</v>
      </c>
      <c r="M138" s="711">
        <v>0</v>
      </c>
      <c r="N138" s="677">
        <v>1</v>
      </c>
      <c r="O138" s="712">
        <v>0.5</v>
      </c>
      <c r="P138" s="711">
        <v>0</v>
      </c>
      <c r="Q138" s="688"/>
      <c r="R138" s="677">
        <v>1</v>
      </c>
      <c r="S138" s="688">
        <v>1</v>
      </c>
      <c r="T138" s="712">
        <v>0.5</v>
      </c>
      <c r="U138" s="242">
        <v>1</v>
      </c>
    </row>
    <row r="139" spans="1:21" ht="14.4" customHeight="1" x14ac:dyDescent="0.3">
      <c r="A139" s="686">
        <v>25</v>
      </c>
      <c r="B139" s="677" t="s">
        <v>509</v>
      </c>
      <c r="C139" s="677">
        <v>89305252</v>
      </c>
      <c r="D139" s="709" t="s">
        <v>1191</v>
      </c>
      <c r="E139" s="710" t="s">
        <v>980</v>
      </c>
      <c r="F139" s="677" t="s">
        <v>946</v>
      </c>
      <c r="G139" s="677" t="s">
        <v>995</v>
      </c>
      <c r="H139" s="677" t="s">
        <v>719</v>
      </c>
      <c r="I139" s="677" t="s">
        <v>1019</v>
      </c>
      <c r="J139" s="677" t="s">
        <v>1020</v>
      </c>
      <c r="K139" s="677" t="s">
        <v>1021</v>
      </c>
      <c r="L139" s="711">
        <v>77.010000000000005</v>
      </c>
      <c r="M139" s="711">
        <v>77.010000000000005</v>
      </c>
      <c r="N139" s="677">
        <v>1</v>
      </c>
      <c r="O139" s="712">
        <v>1</v>
      </c>
      <c r="P139" s="711">
        <v>77.010000000000005</v>
      </c>
      <c r="Q139" s="688">
        <v>1</v>
      </c>
      <c r="R139" s="677">
        <v>1</v>
      </c>
      <c r="S139" s="688">
        <v>1</v>
      </c>
      <c r="T139" s="712">
        <v>1</v>
      </c>
      <c r="U139" s="242">
        <v>1</v>
      </c>
    </row>
    <row r="140" spans="1:21" ht="14.4" customHeight="1" x14ac:dyDescent="0.3">
      <c r="A140" s="686">
        <v>25</v>
      </c>
      <c r="B140" s="677" t="s">
        <v>509</v>
      </c>
      <c r="C140" s="677">
        <v>89870255</v>
      </c>
      <c r="D140" s="709" t="s">
        <v>1192</v>
      </c>
      <c r="E140" s="710" t="s">
        <v>957</v>
      </c>
      <c r="F140" s="677" t="s">
        <v>946</v>
      </c>
      <c r="G140" s="677" t="s">
        <v>988</v>
      </c>
      <c r="H140" s="677" t="s">
        <v>719</v>
      </c>
      <c r="I140" s="677" t="s">
        <v>785</v>
      </c>
      <c r="J140" s="677" t="s">
        <v>925</v>
      </c>
      <c r="K140" s="677" t="s">
        <v>926</v>
      </c>
      <c r="L140" s="711">
        <v>333.31</v>
      </c>
      <c r="M140" s="711">
        <v>1999.86</v>
      </c>
      <c r="N140" s="677">
        <v>6</v>
      </c>
      <c r="O140" s="712">
        <v>6</v>
      </c>
      <c r="P140" s="711"/>
      <c r="Q140" s="688">
        <v>0</v>
      </c>
      <c r="R140" s="677"/>
      <c r="S140" s="688">
        <v>0</v>
      </c>
      <c r="T140" s="712"/>
      <c r="U140" s="242">
        <v>0</v>
      </c>
    </row>
    <row r="141" spans="1:21" ht="14.4" customHeight="1" x14ac:dyDescent="0.3">
      <c r="A141" s="686">
        <v>25</v>
      </c>
      <c r="B141" s="677" t="s">
        <v>509</v>
      </c>
      <c r="C141" s="677">
        <v>89870255</v>
      </c>
      <c r="D141" s="709" t="s">
        <v>1192</v>
      </c>
      <c r="E141" s="710" t="s">
        <v>957</v>
      </c>
      <c r="F141" s="677" t="s">
        <v>946</v>
      </c>
      <c r="G141" s="677" t="s">
        <v>988</v>
      </c>
      <c r="H141" s="677" t="s">
        <v>719</v>
      </c>
      <c r="I141" s="677" t="s">
        <v>1170</v>
      </c>
      <c r="J141" s="677" t="s">
        <v>1171</v>
      </c>
      <c r="K141" s="677" t="s">
        <v>1172</v>
      </c>
      <c r="L141" s="711">
        <v>79.36</v>
      </c>
      <c r="M141" s="711">
        <v>79.36</v>
      </c>
      <c r="N141" s="677">
        <v>1</v>
      </c>
      <c r="O141" s="712">
        <v>1</v>
      </c>
      <c r="P141" s="711"/>
      <c r="Q141" s="688">
        <v>0</v>
      </c>
      <c r="R141" s="677"/>
      <c r="S141" s="688">
        <v>0</v>
      </c>
      <c r="T141" s="712"/>
      <c r="U141" s="242">
        <v>0</v>
      </c>
    </row>
    <row r="142" spans="1:21" ht="14.4" customHeight="1" x14ac:dyDescent="0.3">
      <c r="A142" s="686">
        <v>25</v>
      </c>
      <c r="B142" s="677" t="s">
        <v>509</v>
      </c>
      <c r="C142" s="677">
        <v>89870255</v>
      </c>
      <c r="D142" s="709" t="s">
        <v>1192</v>
      </c>
      <c r="E142" s="710" t="s">
        <v>957</v>
      </c>
      <c r="F142" s="677" t="s">
        <v>946</v>
      </c>
      <c r="G142" s="677" t="s">
        <v>1007</v>
      </c>
      <c r="H142" s="677" t="s">
        <v>719</v>
      </c>
      <c r="I142" s="677" t="s">
        <v>793</v>
      </c>
      <c r="J142" s="677" t="s">
        <v>794</v>
      </c>
      <c r="K142" s="677" t="s">
        <v>930</v>
      </c>
      <c r="L142" s="711">
        <v>184.22</v>
      </c>
      <c r="M142" s="711">
        <v>184.22</v>
      </c>
      <c r="N142" s="677">
        <v>1</v>
      </c>
      <c r="O142" s="712">
        <v>1</v>
      </c>
      <c r="P142" s="711"/>
      <c r="Q142" s="688">
        <v>0</v>
      </c>
      <c r="R142" s="677"/>
      <c r="S142" s="688">
        <v>0</v>
      </c>
      <c r="T142" s="712"/>
      <c r="U142" s="242">
        <v>0</v>
      </c>
    </row>
    <row r="143" spans="1:21" ht="14.4" customHeight="1" x14ac:dyDescent="0.3">
      <c r="A143" s="686">
        <v>25</v>
      </c>
      <c r="B143" s="677" t="s">
        <v>509</v>
      </c>
      <c r="C143" s="677">
        <v>89870255</v>
      </c>
      <c r="D143" s="709" t="s">
        <v>1192</v>
      </c>
      <c r="E143" s="710" t="s">
        <v>958</v>
      </c>
      <c r="F143" s="677" t="s">
        <v>946</v>
      </c>
      <c r="G143" s="677" t="s">
        <v>988</v>
      </c>
      <c r="H143" s="677" t="s">
        <v>719</v>
      </c>
      <c r="I143" s="677" t="s">
        <v>785</v>
      </c>
      <c r="J143" s="677" t="s">
        <v>925</v>
      </c>
      <c r="K143" s="677" t="s">
        <v>926</v>
      </c>
      <c r="L143" s="711">
        <v>333.31</v>
      </c>
      <c r="M143" s="711">
        <v>1333.24</v>
      </c>
      <c r="N143" s="677">
        <v>4</v>
      </c>
      <c r="O143" s="712">
        <v>4</v>
      </c>
      <c r="P143" s="711"/>
      <c r="Q143" s="688">
        <v>0</v>
      </c>
      <c r="R143" s="677"/>
      <c r="S143" s="688">
        <v>0</v>
      </c>
      <c r="T143" s="712"/>
      <c r="U143" s="242">
        <v>0</v>
      </c>
    </row>
    <row r="144" spans="1:21" ht="14.4" customHeight="1" x14ac:dyDescent="0.3">
      <c r="A144" s="686">
        <v>25</v>
      </c>
      <c r="B144" s="677" t="s">
        <v>509</v>
      </c>
      <c r="C144" s="677">
        <v>89870255</v>
      </c>
      <c r="D144" s="709" t="s">
        <v>1192</v>
      </c>
      <c r="E144" s="710" t="s">
        <v>959</v>
      </c>
      <c r="F144" s="677" t="s">
        <v>946</v>
      </c>
      <c r="G144" s="677" t="s">
        <v>988</v>
      </c>
      <c r="H144" s="677" t="s">
        <v>719</v>
      </c>
      <c r="I144" s="677" t="s">
        <v>785</v>
      </c>
      <c r="J144" s="677" t="s">
        <v>925</v>
      </c>
      <c r="K144" s="677" t="s">
        <v>926</v>
      </c>
      <c r="L144" s="711">
        <v>333.31</v>
      </c>
      <c r="M144" s="711">
        <v>2666.48</v>
      </c>
      <c r="N144" s="677">
        <v>8</v>
      </c>
      <c r="O144" s="712">
        <v>1</v>
      </c>
      <c r="P144" s="711"/>
      <c r="Q144" s="688">
        <v>0</v>
      </c>
      <c r="R144" s="677"/>
      <c r="S144" s="688">
        <v>0</v>
      </c>
      <c r="T144" s="712"/>
      <c r="U144" s="242">
        <v>0</v>
      </c>
    </row>
    <row r="145" spans="1:21" ht="14.4" customHeight="1" x14ac:dyDescent="0.3">
      <c r="A145" s="686">
        <v>25</v>
      </c>
      <c r="B145" s="677" t="s">
        <v>509</v>
      </c>
      <c r="C145" s="677">
        <v>89870255</v>
      </c>
      <c r="D145" s="709" t="s">
        <v>1192</v>
      </c>
      <c r="E145" s="710" t="s">
        <v>959</v>
      </c>
      <c r="F145" s="677" t="s">
        <v>946</v>
      </c>
      <c r="G145" s="677" t="s">
        <v>995</v>
      </c>
      <c r="H145" s="677" t="s">
        <v>719</v>
      </c>
      <c r="I145" s="677" t="s">
        <v>801</v>
      </c>
      <c r="J145" s="677" t="s">
        <v>802</v>
      </c>
      <c r="K145" s="677" t="s">
        <v>803</v>
      </c>
      <c r="L145" s="711">
        <v>154.01</v>
      </c>
      <c r="M145" s="711">
        <v>308.02</v>
      </c>
      <c r="N145" s="677">
        <v>2</v>
      </c>
      <c r="O145" s="712"/>
      <c r="P145" s="711"/>
      <c r="Q145" s="688">
        <v>0</v>
      </c>
      <c r="R145" s="677"/>
      <c r="S145" s="688">
        <v>0</v>
      </c>
      <c r="T145" s="712"/>
      <c r="U145" s="242"/>
    </row>
    <row r="146" spans="1:21" ht="14.4" customHeight="1" x14ac:dyDescent="0.3">
      <c r="A146" s="686">
        <v>25</v>
      </c>
      <c r="B146" s="677" t="s">
        <v>509</v>
      </c>
      <c r="C146" s="677">
        <v>89870255</v>
      </c>
      <c r="D146" s="709" t="s">
        <v>1192</v>
      </c>
      <c r="E146" s="710" t="s">
        <v>960</v>
      </c>
      <c r="F146" s="677" t="s">
        <v>946</v>
      </c>
      <c r="G146" s="677" t="s">
        <v>988</v>
      </c>
      <c r="H146" s="677" t="s">
        <v>719</v>
      </c>
      <c r="I146" s="677" t="s">
        <v>785</v>
      </c>
      <c r="J146" s="677" t="s">
        <v>925</v>
      </c>
      <c r="K146" s="677" t="s">
        <v>926</v>
      </c>
      <c r="L146" s="711">
        <v>333.31</v>
      </c>
      <c r="M146" s="711">
        <v>3333.1</v>
      </c>
      <c r="N146" s="677">
        <v>10</v>
      </c>
      <c r="O146" s="712">
        <v>7.5</v>
      </c>
      <c r="P146" s="711"/>
      <c r="Q146" s="688">
        <v>0</v>
      </c>
      <c r="R146" s="677"/>
      <c r="S146" s="688">
        <v>0</v>
      </c>
      <c r="T146" s="712"/>
      <c r="U146" s="242">
        <v>0</v>
      </c>
    </row>
    <row r="147" spans="1:21" ht="14.4" customHeight="1" x14ac:dyDescent="0.3">
      <c r="A147" s="686">
        <v>25</v>
      </c>
      <c r="B147" s="677" t="s">
        <v>509</v>
      </c>
      <c r="C147" s="677">
        <v>89870255</v>
      </c>
      <c r="D147" s="709" t="s">
        <v>1192</v>
      </c>
      <c r="E147" s="710" t="s">
        <v>960</v>
      </c>
      <c r="F147" s="677" t="s">
        <v>946</v>
      </c>
      <c r="G147" s="677" t="s">
        <v>988</v>
      </c>
      <c r="H147" s="677" t="s">
        <v>719</v>
      </c>
      <c r="I147" s="677" t="s">
        <v>1061</v>
      </c>
      <c r="J147" s="677" t="s">
        <v>1062</v>
      </c>
      <c r="K147" s="677" t="s">
        <v>1063</v>
      </c>
      <c r="L147" s="711">
        <v>333.31</v>
      </c>
      <c r="M147" s="711">
        <v>333.31</v>
      </c>
      <c r="N147" s="677">
        <v>1</v>
      </c>
      <c r="O147" s="712">
        <v>1</v>
      </c>
      <c r="P147" s="711"/>
      <c r="Q147" s="688">
        <v>0</v>
      </c>
      <c r="R147" s="677"/>
      <c r="S147" s="688">
        <v>0</v>
      </c>
      <c r="T147" s="712"/>
      <c r="U147" s="242">
        <v>0</v>
      </c>
    </row>
    <row r="148" spans="1:21" ht="14.4" customHeight="1" x14ac:dyDescent="0.3">
      <c r="A148" s="686">
        <v>25</v>
      </c>
      <c r="B148" s="677" t="s">
        <v>509</v>
      </c>
      <c r="C148" s="677">
        <v>89870255</v>
      </c>
      <c r="D148" s="709" t="s">
        <v>1192</v>
      </c>
      <c r="E148" s="710" t="s">
        <v>960</v>
      </c>
      <c r="F148" s="677" t="s">
        <v>946</v>
      </c>
      <c r="G148" s="677" t="s">
        <v>995</v>
      </c>
      <c r="H148" s="677" t="s">
        <v>719</v>
      </c>
      <c r="I148" s="677" t="s">
        <v>801</v>
      </c>
      <c r="J148" s="677" t="s">
        <v>802</v>
      </c>
      <c r="K148" s="677" t="s">
        <v>803</v>
      </c>
      <c r="L148" s="711">
        <v>154.01</v>
      </c>
      <c r="M148" s="711">
        <v>308.02</v>
      </c>
      <c r="N148" s="677">
        <v>2</v>
      </c>
      <c r="O148" s="712">
        <v>2</v>
      </c>
      <c r="P148" s="711"/>
      <c r="Q148" s="688">
        <v>0</v>
      </c>
      <c r="R148" s="677"/>
      <c r="S148" s="688">
        <v>0</v>
      </c>
      <c r="T148" s="712"/>
      <c r="U148" s="242">
        <v>0</v>
      </c>
    </row>
    <row r="149" spans="1:21" ht="14.4" customHeight="1" x14ac:dyDescent="0.3">
      <c r="A149" s="686">
        <v>25</v>
      </c>
      <c r="B149" s="677" t="s">
        <v>509</v>
      </c>
      <c r="C149" s="677">
        <v>89870255</v>
      </c>
      <c r="D149" s="709" t="s">
        <v>1192</v>
      </c>
      <c r="E149" s="710" t="s">
        <v>960</v>
      </c>
      <c r="F149" s="677" t="s">
        <v>946</v>
      </c>
      <c r="G149" s="677" t="s">
        <v>1001</v>
      </c>
      <c r="H149" s="677" t="s">
        <v>719</v>
      </c>
      <c r="I149" s="677" t="s">
        <v>1026</v>
      </c>
      <c r="J149" s="677" t="s">
        <v>573</v>
      </c>
      <c r="K149" s="677" t="s">
        <v>1027</v>
      </c>
      <c r="L149" s="711">
        <v>48.31</v>
      </c>
      <c r="M149" s="711">
        <v>386.48</v>
      </c>
      <c r="N149" s="677">
        <v>8</v>
      </c>
      <c r="O149" s="712">
        <v>6.5</v>
      </c>
      <c r="P149" s="711"/>
      <c r="Q149" s="688">
        <v>0</v>
      </c>
      <c r="R149" s="677"/>
      <c r="S149" s="688">
        <v>0</v>
      </c>
      <c r="T149" s="712"/>
      <c r="U149" s="242">
        <v>0</v>
      </c>
    </row>
    <row r="150" spans="1:21" ht="14.4" customHeight="1" x14ac:dyDescent="0.3">
      <c r="A150" s="686">
        <v>25</v>
      </c>
      <c r="B150" s="677" t="s">
        <v>509</v>
      </c>
      <c r="C150" s="677">
        <v>89870255</v>
      </c>
      <c r="D150" s="709" t="s">
        <v>1192</v>
      </c>
      <c r="E150" s="710" t="s">
        <v>961</v>
      </c>
      <c r="F150" s="677" t="s">
        <v>946</v>
      </c>
      <c r="G150" s="677" t="s">
        <v>988</v>
      </c>
      <c r="H150" s="677" t="s">
        <v>719</v>
      </c>
      <c r="I150" s="677" t="s">
        <v>785</v>
      </c>
      <c r="J150" s="677" t="s">
        <v>925</v>
      </c>
      <c r="K150" s="677" t="s">
        <v>926</v>
      </c>
      <c r="L150" s="711">
        <v>333.31</v>
      </c>
      <c r="M150" s="711">
        <v>333.31</v>
      </c>
      <c r="N150" s="677">
        <v>1</v>
      </c>
      <c r="O150" s="712">
        <v>1</v>
      </c>
      <c r="P150" s="711"/>
      <c r="Q150" s="688">
        <v>0</v>
      </c>
      <c r="R150" s="677"/>
      <c r="S150" s="688">
        <v>0</v>
      </c>
      <c r="T150" s="712"/>
      <c r="U150" s="242">
        <v>0</v>
      </c>
    </row>
    <row r="151" spans="1:21" ht="14.4" customHeight="1" x14ac:dyDescent="0.3">
      <c r="A151" s="686">
        <v>25</v>
      </c>
      <c r="B151" s="677" t="s">
        <v>509</v>
      </c>
      <c r="C151" s="677">
        <v>89870255</v>
      </c>
      <c r="D151" s="709" t="s">
        <v>1192</v>
      </c>
      <c r="E151" s="710" t="s">
        <v>962</v>
      </c>
      <c r="F151" s="677" t="s">
        <v>946</v>
      </c>
      <c r="G151" s="677" t="s">
        <v>1150</v>
      </c>
      <c r="H151" s="677" t="s">
        <v>508</v>
      </c>
      <c r="I151" s="677" t="s">
        <v>1151</v>
      </c>
      <c r="J151" s="677" t="s">
        <v>1152</v>
      </c>
      <c r="K151" s="677" t="s">
        <v>1153</v>
      </c>
      <c r="L151" s="711">
        <v>0</v>
      </c>
      <c r="M151" s="711">
        <v>0</v>
      </c>
      <c r="N151" s="677">
        <v>1</v>
      </c>
      <c r="O151" s="712">
        <v>0.5</v>
      </c>
      <c r="P151" s="711"/>
      <c r="Q151" s="688"/>
      <c r="R151" s="677"/>
      <c r="S151" s="688">
        <v>0</v>
      </c>
      <c r="T151" s="712"/>
      <c r="U151" s="242">
        <v>0</v>
      </c>
    </row>
    <row r="152" spans="1:21" ht="14.4" customHeight="1" x14ac:dyDescent="0.3">
      <c r="A152" s="686">
        <v>25</v>
      </c>
      <c r="B152" s="677" t="s">
        <v>509</v>
      </c>
      <c r="C152" s="677">
        <v>89870255</v>
      </c>
      <c r="D152" s="709" t="s">
        <v>1192</v>
      </c>
      <c r="E152" s="710" t="s">
        <v>962</v>
      </c>
      <c r="F152" s="677" t="s">
        <v>946</v>
      </c>
      <c r="G152" s="677" t="s">
        <v>988</v>
      </c>
      <c r="H152" s="677" t="s">
        <v>719</v>
      </c>
      <c r="I152" s="677" t="s">
        <v>785</v>
      </c>
      <c r="J152" s="677" t="s">
        <v>925</v>
      </c>
      <c r="K152" s="677" t="s">
        <v>926</v>
      </c>
      <c r="L152" s="711">
        <v>333.31</v>
      </c>
      <c r="M152" s="711">
        <v>333.31</v>
      </c>
      <c r="N152" s="677">
        <v>1</v>
      </c>
      <c r="O152" s="712">
        <v>1</v>
      </c>
      <c r="P152" s="711"/>
      <c r="Q152" s="688">
        <v>0</v>
      </c>
      <c r="R152" s="677"/>
      <c r="S152" s="688">
        <v>0</v>
      </c>
      <c r="T152" s="712"/>
      <c r="U152" s="242">
        <v>0</v>
      </c>
    </row>
    <row r="153" spans="1:21" ht="14.4" customHeight="1" x14ac:dyDescent="0.3">
      <c r="A153" s="686">
        <v>25</v>
      </c>
      <c r="B153" s="677" t="s">
        <v>509</v>
      </c>
      <c r="C153" s="677">
        <v>89870255</v>
      </c>
      <c r="D153" s="709" t="s">
        <v>1192</v>
      </c>
      <c r="E153" s="710" t="s">
        <v>962</v>
      </c>
      <c r="F153" s="677" t="s">
        <v>946</v>
      </c>
      <c r="G153" s="677" t="s">
        <v>988</v>
      </c>
      <c r="H153" s="677" t="s">
        <v>719</v>
      </c>
      <c r="I153" s="677" t="s">
        <v>1173</v>
      </c>
      <c r="J153" s="677" t="s">
        <v>1174</v>
      </c>
      <c r="K153" s="677" t="s">
        <v>1175</v>
      </c>
      <c r="L153" s="711">
        <v>333.31</v>
      </c>
      <c r="M153" s="711">
        <v>333.31</v>
      </c>
      <c r="N153" s="677">
        <v>1</v>
      </c>
      <c r="O153" s="712">
        <v>1</v>
      </c>
      <c r="P153" s="711"/>
      <c r="Q153" s="688">
        <v>0</v>
      </c>
      <c r="R153" s="677"/>
      <c r="S153" s="688">
        <v>0</v>
      </c>
      <c r="T153" s="712"/>
      <c r="U153" s="242">
        <v>0</v>
      </c>
    </row>
    <row r="154" spans="1:21" ht="14.4" customHeight="1" x14ac:dyDescent="0.3">
      <c r="A154" s="686">
        <v>25</v>
      </c>
      <c r="B154" s="677" t="s">
        <v>509</v>
      </c>
      <c r="C154" s="677">
        <v>89870255</v>
      </c>
      <c r="D154" s="709" t="s">
        <v>1192</v>
      </c>
      <c r="E154" s="710" t="s">
        <v>962</v>
      </c>
      <c r="F154" s="677" t="s">
        <v>946</v>
      </c>
      <c r="G154" s="677" t="s">
        <v>995</v>
      </c>
      <c r="H154" s="677" t="s">
        <v>508</v>
      </c>
      <c r="I154" s="677" t="s">
        <v>1064</v>
      </c>
      <c r="J154" s="677" t="s">
        <v>802</v>
      </c>
      <c r="K154" s="677" t="s">
        <v>803</v>
      </c>
      <c r="L154" s="711">
        <v>154.01</v>
      </c>
      <c r="M154" s="711">
        <v>154.01</v>
      </c>
      <c r="N154" s="677">
        <v>1</v>
      </c>
      <c r="O154" s="712">
        <v>0.5</v>
      </c>
      <c r="P154" s="711"/>
      <c r="Q154" s="688">
        <v>0</v>
      </c>
      <c r="R154" s="677"/>
      <c r="S154" s="688">
        <v>0</v>
      </c>
      <c r="T154" s="712"/>
      <c r="U154" s="242">
        <v>0</v>
      </c>
    </row>
    <row r="155" spans="1:21" ht="14.4" customHeight="1" x14ac:dyDescent="0.3">
      <c r="A155" s="686">
        <v>25</v>
      </c>
      <c r="B155" s="677" t="s">
        <v>509</v>
      </c>
      <c r="C155" s="677">
        <v>89870255</v>
      </c>
      <c r="D155" s="709" t="s">
        <v>1192</v>
      </c>
      <c r="E155" s="710" t="s">
        <v>966</v>
      </c>
      <c r="F155" s="677" t="s">
        <v>946</v>
      </c>
      <c r="G155" s="677" t="s">
        <v>988</v>
      </c>
      <c r="H155" s="677" t="s">
        <v>719</v>
      </c>
      <c r="I155" s="677" t="s">
        <v>785</v>
      </c>
      <c r="J155" s="677" t="s">
        <v>925</v>
      </c>
      <c r="K155" s="677" t="s">
        <v>926</v>
      </c>
      <c r="L155" s="711">
        <v>333.31</v>
      </c>
      <c r="M155" s="711">
        <v>4333.03</v>
      </c>
      <c r="N155" s="677">
        <v>13</v>
      </c>
      <c r="O155" s="712">
        <v>13</v>
      </c>
      <c r="P155" s="711">
        <v>333.31</v>
      </c>
      <c r="Q155" s="688">
        <v>7.6923076923076927E-2</v>
      </c>
      <c r="R155" s="677">
        <v>1</v>
      </c>
      <c r="S155" s="688">
        <v>7.6923076923076927E-2</v>
      </c>
      <c r="T155" s="712">
        <v>1</v>
      </c>
      <c r="U155" s="242">
        <v>7.6923076923076927E-2</v>
      </c>
    </row>
    <row r="156" spans="1:21" ht="14.4" customHeight="1" x14ac:dyDescent="0.3">
      <c r="A156" s="686">
        <v>25</v>
      </c>
      <c r="B156" s="677" t="s">
        <v>509</v>
      </c>
      <c r="C156" s="677">
        <v>89870255</v>
      </c>
      <c r="D156" s="709" t="s">
        <v>1192</v>
      </c>
      <c r="E156" s="710" t="s">
        <v>966</v>
      </c>
      <c r="F156" s="677" t="s">
        <v>946</v>
      </c>
      <c r="G156" s="677" t="s">
        <v>995</v>
      </c>
      <c r="H156" s="677" t="s">
        <v>719</v>
      </c>
      <c r="I156" s="677" t="s">
        <v>801</v>
      </c>
      <c r="J156" s="677" t="s">
        <v>802</v>
      </c>
      <c r="K156" s="677" t="s">
        <v>803</v>
      </c>
      <c r="L156" s="711">
        <v>154.01</v>
      </c>
      <c r="M156" s="711">
        <v>308.02</v>
      </c>
      <c r="N156" s="677">
        <v>2</v>
      </c>
      <c r="O156" s="712">
        <v>2</v>
      </c>
      <c r="P156" s="711"/>
      <c r="Q156" s="688">
        <v>0</v>
      </c>
      <c r="R156" s="677"/>
      <c r="S156" s="688">
        <v>0</v>
      </c>
      <c r="T156" s="712"/>
      <c r="U156" s="242">
        <v>0</v>
      </c>
    </row>
    <row r="157" spans="1:21" ht="14.4" customHeight="1" x14ac:dyDescent="0.3">
      <c r="A157" s="686">
        <v>25</v>
      </c>
      <c r="B157" s="677" t="s">
        <v>509</v>
      </c>
      <c r="C157" s="677">
        <v>89870255</v>
      </c>
      <c r="D157" s="709" t="s">
        <v>1192</v>
      </c>
      <c r="E157" s="710" t="s">
        <v>967</v>
      </c>
      <c r="F157" s="677" t="s">
        <v>946</v>
      </c>
      <c r="G157" s="677" t="s">
        <v>988</v>
      </c>
      <c r="H157" s="677" t="s">
        <v>719</v>
      </c>
      <c r="I157" s="677" t="s">
        <v>785</v>
      </c>
      <c r="J157" s="677" t="s">
        <v>925</v>
      </c>
      <c r="K157" s="677" t="s">
        <v>926</v>
      </c>
      <c r="L157" s="711">
        <v>333.31</v>
      </c>
      <c r="M157" s="711">
        <v>999.93000000000006</v>
      </c>
      <c r="N157" s="677">
        <v>3</v>
      </c>
      <c r="O157" s="712">
        <v>3</v>
      </c>
      <c r="P157" s="711"/>
      <c r="Q157" s="688">
        <v>0</v>
      </c>
      <c r="R157" s="677"/>
      <c r="S157" s="688">
        <v>0</v>
      </c>
      <c r="T157" s="712"/>
      <c r="U157" s="242">
        <v>0</v>
      </c>
    </row>
    <row r="158" spans="1:21" ht="14.4" customHeight="1" x14ac:dyDescent="0.3">
      <c r="A158" s="686">
        <v>25</v>
      </c>
      <c r="B158" s="677" t="s">
        <v>509</v>
      </c>
      <c r="C158" s="677">
        <v>89870255</v>
      </c>
      <c r="D158" s="709" t="s">
        <v>1192</v>
      </c>
      <c r="E158" s="710" t="s">
        <v>967</v>
      </c>
      <c r="F158" s="677" t="s">
        <v>946</v>
      </c>
      <c r="G158" s="677" t="s">
        <v>988</v>
      </c>
      <c r="H158" s="677" t="s">
        <v>508</v>
      </c>
      <c r="I158" s="677" t="s">
        <v>1079</v>
      </c>
      <c r="J158" s="677" t="s">
        <v>925</v>
      </c>
      <c r="K158" s="677" t="s">
        <v>926</v>
      </c>
      <c r="L158" s="711">
        <v>333.31</v>
      </c>
      <c r="M158" s="711">
        <v>666.62</v>
      </c>
      <c r="N158" s="677">
        <v>2</v>
      </c>
      <c r="O158" s="712">
        <v>2</v>
      </c>
      <c r="P158" s="711"/>
      <c r="Q158" s="688">
        <v>0</v>
      </c>
      <c r="R158" s="677"/>
      <c r="S158" s="688">
        <v>0</v>
      </c>
      <c r="T158" s="712"/>
      <c r="U158" s="242">
        <v>0</v>
      </c>
    </row>
    <row r="159" spans="1:21" ht="14.4" customHeight="1" x14ac:dyDescent="0.3">
      <c r="A159" s="686">
        <v>25</v>
      </c>
      <c r="B159" s="677" t="s">
        <v>509</v>
      </c>
      <c r="C159" s="677">
        <v>89870255</v>
      </c>
      <c r="D159" s="709" t="s">
        <v>1192</v>
      </c>
      <c r="E159" s="710" t="s">
        <v>967</v>
      </c>
      <c r="F159" s="677" t="s">
        <v>946</v>
      </c>
      <c r="G159" s="677" t="s">
        <v>995</v>
      </c>
      <c r="H159" s="677" t="s">
        <v>719</v>
      </c>
      <c r="I159" s="677" t="s">
        <v>801</v>
      </c>
      <c r="J159" s="677" t="s">
        <v>802</v>
      </c>
      <c r="K159" s="677" t="s">
        <v>803</v>
      </c>
      <c r="L159" s="711">
        <v>154.01</v>
      </c>
      <c r="M159" s="711">
        <v>154.01</v>
      </c>
      <c r="N159" s="677">
        <v>1</v>
      </c>
      <c r="O159" s="712">
        <v>1</v>
      </c>
      <c r="P159" s="711"/>
      <c r="Q159" s="688">
        <v>0</v>
      </c>
      <c r="R159" s="677"/>
      <c r="S159" s="688">
        <v>0</v>
      </c>
      <c r="T159" s="712"/>
      <c r="U159" s="242">
        <v>0</v>
      </c>
    </row>
    <row r="160" spans="1:21" ht="14.4" customHeight="1" x14ac:dyDescent="0.3">
      <c r="A160" s="686">
        <v>25</v>
      </c>
      <c r="B160" s="677" t="s">
        <v>509</v>
      </c>
      <c r="C160" s="677">
        <v>89870255</v>
      </c>
      <c r="D160" s="709" t="s">
        <v>1192</v>
      </c>
      <c r="E160" s="710" t="s">
        <v>968</v>
      </c>
      <c r="F160" s="677" t="s">
        <v>946</v>
      </c>
      <c r="G160" s="677" t="s">
        <v>988</v>
      </c>
      <c r="H160" s="677" t="s">
        <v>719</v>
      </c>
      <c r="I160" s="677" t="s">
        <v>785</v>
      </c>
      <c r="J160" s="677" t="s">
        <v>925</v>
      </c>
      <c r="K160" s="677" t="s">
        <v>926</v>
      </c>
      <c r="L160" s="711">
        <v>333.31</v>
      </c>
      <c r="M160" s="711">
        <v>1333.24</v>
      </c>
      <c r="N160" s="677">
        <v>4</v>
      </c>
      <c r="O160" s="712">
        <v>4</v>
      </c>
      <c r="P160" s="711"/>
      <c r="Q160" s="688">
        <v>0</v>
      </c>
      <c r="R160" s="677"/>
      <c r="S160" s="688">
        <v>0</v>
      </c>
      <c r="T160" s="712"/>
      <c r="U160" s="242">
        <v>0</v>
      </c>
    </row>
    <row r="161" spans="1:21" ht="14.4" customHeight="1" x14ac:dyDescent="0.3">
      <c r="A161" s="686">
        <v>25</v>
      </c>
      <c r="B161" s="677" t="s">
        <v>509</v>
      </c>
      <c r="C161" s="677">
        <v>89870255</v>
      </c>
      <c r="D161" s="709" t="s">
        <v>1192</v>
      </c>
      <c r="E161" s="710" t="s">
        <v>969</v>
      </c>
      <c r="F161" s="677" t="s">
        <v>946</v>
      </c>
      <c r="G161" s="677" t="s">
        <v>988</v>
      </c>
      <c r="H161" s="677" t="s">
        <v>719</v>
      </c>
      <c r="I161" s="677" t="s">
        <v>785</v>
      </c>
      <c r="J161" s="677" t="s">
        <v>925</v>
      </c>
      <c r="K161" s="677" t="s">
        <v>926</v>
      </c>
      <c r="L161" s="711">
        <v>333.31</v>
      </c>
      <c r="M161" s="711">
        <v>3333.1</v>
      </c>
      <c r="N161" s="677">
        <v>10</v>
      </c>
      <c r="O161" s="712">
        <v>10</v>
      </c>
      <c r="P161" s="711">
        <v>333.31</v>
      </c>
      <c r="Q161" s="688">
        <v>0.1</v>
      </c>
      <c r="R161" s="677">
        <v>1</v>
      </c>
      <c r="S161" s="688">
        <v>0.1</v>
      </c>
      <c r="T161" s="712">
        <v>1</v>
      </c>
      <c r="U161" s="242">
        <v>0.1</v>
      </c>
    </row>
    <row r="162" spans="1:21" ht="14.4" customHeight="1" x14ac:dyDescent="0.3">
      <c r="A162" s="686">
        <v>25</v>
      </c>
      <c r="B162" s="677" t="s">
        <v>509</v>
      </c>
      <c r="C162" s="677">
        <v>89870255</v>
      </c>
      <c r="D162" s="709" t="s">
        <v>1192</v>
      </c>
      <c r="E162" s="710" t="s">
        <v>969</v>
      </c>
      <c r="F162" s="677" t="s">
        <v>946</v>
      </c>
      <c r="G162" s="677" t="s">
        <v>988</v>
      </c>
      <c r="H162" s="677" t="s">
        <v>719</v>
      </c>
      <c r="I162" s="677" t="s">
        <v>1061</v>
      </c>
      <c r="J162" s="677" t="s">
        <v>1062</v>
      </c>
      <c r="K162" s="677" t="s">
        <v>1063</v>
      </c>
      <c r="L162" s="711">
        <v>333.31</v>
      </c>
      <c r="M162" s="711">
        <v>333.31</v>
      </c>
      <c r="N162" s="677">
        <v>1</v>
      </c>
      <c r="O162" s="712">
        <v>1</v>
      </c>
      <c r="P162" s="711"/>
      <c r="Q162" s="688">
        <v>0</v>
      </c>
      <c r="R162" s="677"/>
      <c r="S162" s="688">
        <v>0</v>
      </c>
      <c r="T162" s="712"/>
      <c r="U162" s="242">
        <v>0</v>
      </c>
    </row>
    <row r="163" spans="1:21" ht="14.4" customHeight="1" x14ac:dyDescent="0.3">
      <c r="A163" s="686">
        <v>25</v>
      </c>
      <c r="B163" s="677" t="s">
        <v>509</v>
      </c>
      <c r="C163" s="677">
        <v>89870255</v>
      </c>
      <c r="D163" s="709" t="s">
        <v>1192</v>
      </c>
      <c r="E163" s="710" t="s">
        <v>969</v>
      </c>
      <c r="F163" s="677" t="s">
        <v>946</v>
      </c>
      <c r="G163" s="677" t="s">
        <v>995</v>
      </c>
      <c r="H163" s="677" t="s">
        <v>719</v>
      </c>
      <c r="I163" s="677" t="s">
        <v>801</v>
      </c>
      <c r="J163" s="677" t="s">
        <v>802</v>
      </c>
      <c r="K163" s="677" t="s">
        <v>803</v>
      </c>
      <c r="L163" s="711">
        <v>154.01</v>
      </c>
      <c r="M163" s="711">
        <v>154.01</v>
      </c>
      <c r="N163" s="677">
        <v>1</v>
      </c>
      <c r="O163" s="712">
        <v>1</v>
      </c>
      <c r="P163" s="711"/>
      <c r="Q163" s="688">
        <v>0</v>
      </c>
      <c r="R163" s="677"/>
      <c r="S163" s="688">
        <v>0</v>
      </c>
      <c r="T163" s="712"/>
      <c r="U163" s="242">
        <v>0</v>
      </c>
    </row>
    <row r="164" spans="1:21" ht="14.4" customHeight="1" x14ac:dyDescent="0.3">
      <c r="A164" s="686">
        <v>25</v>
      </c>
      <c r="B164" s="677" t="s">
        <v>509</v>
      </c>
      <c r="C164" s="677">
        <v>89870255</v>
      </c>
      <c r="D164" s="709" t="s">
        <v>1192</v>
      </c>
      <c r="E164" s="710" t="s">
        <v>970</v>
      </c>
      <c r="F164" s="677" t="s">
        <v>946</v>
      </c>
      <c r="G164" s="677" t="s">
        <v>988</v>
      </c>
      <c r="H164" s="677" t="s">
        <v>719</v>
      </c>
      <c r="I164" s="677" t="s">
        <v>785</v>
      </c>
      <c r="J164" s="677" t="s">
        <v>925</v>
      </c>
      <c r="K164" s="677" t="s">
        <v>926</v>
      </c>
      <c r="L164" s="711">
        <v>333.31</v>
      </c>
      <c r="M164" s="711">
        <v>333.31</v>
      </c>
      <c r="N164" s="677">
        <v>1</v>
      </c>
      <c r="O164" s="712">
        <v>1</v>
      </c>
      <c r="P164" s="711"/>
      <c r="Q164" s="688">
        <v>0</v>
      </c>
      <c r="R164" s="677"/>
      <c r="S164" s="688">
        <v>0</v>
      </c>
      <c r="T164" s="712"/>
      <c r="U164" s="242">
        <v>0</v>
      </c>
    </row>
    <row r="165" spans="1:21" ht="14.4" customHeight="1" x14ac:dyDescent="0.3">
      <c r="A165" s="686">
        <v>25</v>
      </c>
      <c r="B165" s="677" t="s">
        <v>509</v>
      </c>
      <c r="C165" s="677">
        <v>89870255</v>
      </c>
      <c r="D165" s="709" t="s">
        <v>1192</v>
      </c>
      <c r="E165" s="710" t="s">
        <v>970</v>
      </c>
      <c r="F165" s="677" t="s">
        <v>946</v>
      </c>
      <c r="G165" s="677" t="s">
        <v>1176</v>
      </c>
      <c r="H165" s="677" t="s">
        <v>508</v>
      </c>
      <c r="I165" s="677" t="s">
        <v>1177</v>
      </c>
      <c r="J165" s="677" t="s">
        <v>1178</v>
      </c>
      <c r="K165" s="677" t="s">
        <v>1179</v>
      </c>
      <c r="L165" s="711">
        <v>63.67</v>
      </c>
      <c r="M165" s="711">
        <v>127.34</v>
      </c>
      <c r="N165" s="677">
        <v>2</v>
      </c>
      <c r="O165" s="712">
        <v>1.5</v>
      </c>
      <c r="P165" s="711"/>
      <c r="Q165" s="688">
        <v>0</v>
      </c>
      <c r="R165" s="677"/>
      <c r="S165" s="688">
        <v>0</v>
      </c>
      <c r="T165" s="712"/>
      <c r="U165" s="242">
        <v>0</v>
      </c>
    </row>
    <row r="166" spans="1:21" ht="14.4" customHeight="1" x14ac:dyDescent="0.3">
      <c r="A166" s="686">
        <v>25</v>
      </c>
      <c r="B166" s="677" t="s">
        <v>509</v>
      </c>
      <c r="C166" s="677">
        <v>89870255</v>
      </c>
      <c r="D166" s="709" t="s">
        <v>1192</v>
      </c>
      <c r="E166" s="710" t="s">
        <v>970</v>
      </c>
      <c r="F166" s="677" t="s">
        <v>946</v>
      </c>
      <c r="G166" s="677" t="s">
        <v>995</v>
      </c>
      <c r="H166" s="677" t="s">
        <v>508</v>
      </c>
      <c r="I166" s="677" t="s">
        <v>1180</v>
      </c>
      <c r="J166" s="677" t="s">
        <v>802</v>
      </c>
      <c r="K166" s="677" t="s">
        <v>1181</v>
      </c>
      <c r="L166" s="711">
        <v>0</v>
      </c>
      <c r="M166" s="711">
        <v>0</v>
      </c>
      <c r="N166" s="677">
        <v>1</v>
      </c>
      <c r="O166" s="712">
        <v>0.5</v>
      </c>
      <c r="P166" s="711"/>
      <c r="Q166" s="688"/>
      <c r="R166" s="677"/>
      <c r="S166" s="688">
        <v>0</v>
      </c>
      <c r="T166" s="712"/>
      <c r="U166" s="242">
        <v>0</v>
      </c>
    </row>
    <row r="167" spans="1:21" ht="14.4" customHeight="1" x14ac:dyDescent="0.3">
      <c r="A167" s="686">
        <v>25</v>
      </c>
      <c r="B167" s="677" t="s">
        <v>509</v>
      </c>
      <c r="C167" s="677">
        <v>89870255</v>
      </c>
      <c r="D167" s="709" t="s">
        <v>1192</v>
      </c>
      <c r="E167" s="710" t="s">
        <v>973</v>
      </c>
      <c r="F167" s="677" t="s">
        <v>946</v>
      </c>
      <c r="G167" s="677" t="s">
        <v>988</v>
      </c>
      <c r="H167" s="677" t="s">
        <v>508</v>
      </c>
      <c r="I167" s="677" t="s">
        <v>989</v>
      </c>
      <c r="J167" s="677" t="s">
        <v>925</v>
      </c>
      <c r="K167" s="677" t="s">
        <v>990</v>
      </c>
      <c r="L167" s="711">
        <v>0</v>
      </c>
      <c r="M167" s="711">
        <v>0</v>
      </c>
      <c r="N167" s="677">
        <v>1</v>
      </c>
      <c r="O167" s="712">
        <v>1</v>
      </c>
      <c r="P167" s="711"/>
      <c r="Q167" s="688"/>
      <c r="R167" s="677"/>
      <c r="S167" s="688">
        <v>0</v>
      </c>
      <c r="T167" s="712"/>
      <c r="U167" s="242">
        <v>0</v>
      </c>
    </row>
    <row r="168" spans="1:21" ht="14.4" customHeight="1" x14ac:dyDescent="0.3">
      <c r="A168" s="686">
        <v>25</v>
      </c>
      <c r="B168" s="677" t="s">
        <v>509</v>
      </c>
      <c r="C168" s="677">
        <v>89870255</v>
      </c>
      <c r="D168" s="709" t="s">
        <v>1192</v>
      </c>
      <c r="E168" s="710" t="s">
        <v>973</v>
      </c>
      <c r="F168" s="677" t="s">
        <v>946</v>
      </c>
      <c r="G168" s="677" t="s">
        <v>988</v>
      </c>
      <c r="H168" s="677" t="s">
        <v>719</v>
      </c>
      <c r="I168" s="677" t="s">
        <v>785</v>
      </c>
      <c r="J168" s="677" t="s">
        <v>925</v>
      </c>
      <c r="K168" s="677" t="s">
        <v>926</v>
      </c>
      <c r="L168" s="711">
        <v>333.31</v>
      </c>
      <c r="M168" s="711">
        <v>999.93000000000006</v>
      </c>
      <c r="N168" s="677">
        <v>3</v>
      </c>
      <c r="O168" s="712">
        <v>3</v>
      </c>
      <c r="P168" s="711"/>
      <c r="Q168" s="688">
        <v>0</v>
      </c>
      <c r="R168" s="677"/>
      <c r="S168" s="688">
        <v>0</v>
      </c>
      <c r="T168" s="712"/>
      <c r="U168" s="242">
        <v>0</v>
      </c>
    </row>
    <row r="169" spans="1:21" ht="14.4" customHeight="1" x14ac:dyDescent="0.3">
      <c r="A169" s="686">
        <v>25</v>
      </c>
      <c r="B169" s="677" t="s">
        <v>509</v>
      </c>
      <c r="C169" s="677">
        <v>89870255</v>
      </c>
      <c r="D169" s="709" t="s">
        <v>1192</v>
      </c>
      <c r="E169" s="710" t="s">
        <v>973</v>
      </c>
      <c r="F169" s="677" t="s">
        <v>946</v>
      </c>
      <c r="G169" s="677" t="s">
        <v>988</v>
      </c>
      <c r="H169" s="677" t="s">
        <v>508</v>
      </c>
      <c r="I169" s="677" t="s">
        <v>1079</v>
      </c>
      <c r="J169" s="677" t="s">
        <v>925</v>
      </c>
      <c r="K169" s="677" t="s">
        <v>926</v>
      </c>
      <c r="L169" s="711">
        <v>333.31</v>
      </c>
      <c r="M169" s="711">
        <v>666.62</v>
      </c>
      <c r="N169" s="677">
        <v>2</v>
      </c>
      <c r="O169" s="712">
        <v>2</v>
      </c>
      <c r="P169" s="711"/>
      <c r="Q169" s="688">
        <v>0</v>
      </c>
      <c r="R169" s="677"/>
      <c r="S169" s="688">
        <v>0</v>
      </c>
      <c r="T169" s="712"/>
      <c r="U169" s="242">
        <v>0</v>
      </c>
    </row>
    <row r="170" spans="1:21" ht="14.4" customHeight="1" x14ac:dyDescent="0.3">
      <c r="A170" s="686">
        <v>25</v>
      </c>
      <c r="B170" s="677" t="s">
        <v>509</v>
      </c>
      <c r="C170" s="677">
        <v>89870255</v>
      </c>
      <c r="D170" s="709" t="s">
        <v>1192</v>
      </c>
      <c r="E170" s="710" t="s">
        <v>976</v>
      </c>
      <c r="F170" s="677" t="s">
        <v>946</v>
      </c>
      <c r="G170" s="677" t="s">
        <v>988</v>
      </c>
      <c r="H170" s="677" t="s">
        <v>719</v>
      </c>
      <c r="I170" s="677" t="s">
        <v>785</v>
      </c>
      <c r="J170" s="677" t="s">
        <v>925</v>
      </c>
      <c r="K170" s="677" t="s">
        <v>926</v>
      </c>
      <c r="L170" s="711">
        <v>333.31</v>
      </c>
      <c r="M170" s="711">
        <v>1666.55</v>
      </c>
      <c r="N170" s="677">
        <v>5</v>
      </c>
      <c r="O170" s="712">
        <v>5</v>
      </c>
      <c r="P170" s="711"/>
      <c r="Q170" s="688">
        <v>0</v>
      </c>
      <c r="R170" s="677"/>
      <c r="S170" s="688">
        <v>0</v>
      </c>
      <c r="T170" s="712"/>
      <c r="U170" s="242">
        <v>0</v>
      </c>
    </row>
    <row r="171" spans="1:21" ht="14.4" customHeight="1" x14ac:dyDescent="0.3">
      <c r="A171" s="686">
        <v>25</v>
      </c>
      <c r="B171" s="677" t="s">
        <v>509</v>
      </c>
      <c r="C171" s="677">
        <v>89870255</v>
      </c>
      <c r="D171" s="709" t="s">
        <v>1192</v>
      </c>
      <c r="E171" s="710" t="s">
        <v>976</v>
      </c>
      <c r="F171" s="677" t="s">
        <v>946</v>
      </c>
      <c r="G171" s="677" t="s">
        <v>988</v>
      </c>
      <c r="H171" s="677" t="s">
        <v>719</v>
      </c>
      <c r="I171" s="677" t="s">
        <v>1061</v>
      </c>
      <c r="J171" s="677" t="s">
        <v>1062</v>
      </c>
      <c r="K171" s="677" t="s">
        <v>1063</v>
      </c>
      <c r="L171" s="711">
        <v>333.31</v>
      </c>
      <c r="M171" s="711">
        <v>333.31</v>
      </c>
      <c r="N171" s="677">
        <v>1</v>
      </c>
      <c r="O171" s="712">
        <v>1</v>
      </c>
      <c r="P171" s="711"/>
      <c r="Q171" s="688">
        <v>0</v>
      </c>
      <c r="R171" s="677"/>
      <c r="S171" s="688">
        <v>0</v>
      </c>
      <c r="T171" s="712"/>
      <c r="U171" s="242">
        <v>0</v>
      </c>
    </row>
    <row r="172" spans="1:21" ht="14.4" customHeight="1" x14ac:dyDescent="0.3">
      <c r="A172" s="686">
        <v>25</v>
      </c>
      <c r="B172" s="677" t="s">
        <v>509</v>
      </c>
      <c r="C172" s="677">
        <v>89870255</v>
      </c>
      <c r="D172" s="709" t="s">
        <v>1192</v>
      </c>
      <c r="E172" s="710" t="s">
        <v>976</v>
      </c>
      <c r="F172" s="677" t="s">
        <v>946</v>
      </c>
      <c r="G172" s="677" t="s">
        <v>1007</v>
      </c>
      <c r="H172" s="677" t="s">
        <v>719</v>
      </c>
      <c r="I172" s="677" t="s">
        <v>793</v>
      </c>
      <c r="J172" s="677" t="s">
        <v>794</v>
      </c>
      <c r="K172" s="677" t="s">
        <v>930</v>
      </c>
      <c r="L172" s="711">
        <v>184.22</v>
      </c>
      <c r="M172" s="711">
        <v>368.44</v>
      </c>
      <c r="N172" s="677">
        <v>2</v>
      </c>
      <c r="O172" s="712">
        <v>1</v>
      </c>
      <c r="P172" s="711"/>
      <c r="Q172" s="688">
        <v>0</v>
      </c>
      <c r="R172" s="677"/>
      <c r="S172" s="688">
        <v>0</v>
      </c>
      <c r="T172" s="712"/>
      <c r="U172" s="242">
        <v>0</v>
      </c>
    </row>
    <row r="173" spans="1:21" ht="14.4" customHeight="1" x14ac:dyDescent="0.3">
      <c r="A173" s="686">
        <v>25</v>
      </c>
      <c r="B173" s="677" t="s">
        <v>509</v>
      </c>
      <c r="C173" s="677">
        <v>89870255</v>
      </c>
      <c r="D173" s="709" t="s">
        <v>1192</v>
      </c>
      <c r="E173" s="710" t="s">
        <v>976</v>
      </c>
      <c r="F173" s="677" t="s">
        <v>946</v>
      </c>
      <c r="G173" s="677" t="s">
        <v>995</v>
      </c>
      <c r="H173" s="677" t="s">
        <v>719</v>
      </c>
      <c r="I173" s="677" t="s">
        <v>801</v>
      </c>
      <c r="J173" s="677" t="s">
        <v>802</v>
      </c>
      <c r="K173" s="677" t="s">
        <v>803</v>
      </c>
      <c r="L173" s="711">
        <v>154.01</v>
      </c>
      <c r="M173" s="711">
        <v>308.02</v>
      </c>
      <c r="N173" s="677">
        <v>2</v>
      </c>
      <c r="O173" s="712">
        <v>2</v>
      </c>
      <c r="P173" s="711"/>
      <c r="Q173" s="688">
        <v>0</v>
      </c>
      <c r="R173" s="677"/>
      <c r="S173" s="688">
        <v>0</v>
      </c>
      <c r="T173" s="712"/>
      <c r="U173" s="242">
        <v>0</v>
      </c>
    </row>
    <row r="174" spans="1:21" ht="14.4" customHeight="1" x14ac:dyDescent="0.3">
      <c r="A174" s="686">
        <v>25</v>
      </c>
      <c r="B174" s="677" t="s">
        <v>509</v>
      </c>
      <c r="C174" s="677">
        <v>89870255</v>
      </c>
      <c r="D174" s="709" t="s">
        <v>1192</v>
      </c>
      <c r="E174" s="710" t="s">
        <v>979</v>
      </c>
      <c r="F174" s="677" t="s">
        <v>946</v>
      </c>
      <c r="G174" s="677" t="s">
        <v>988</v>
      </c>
      <c r="H174" s="677" t="s">
        <v>719</v>
      </c>
      <c r="I174" s="677" t="s">
        <v>785</v>
      </c>
      <c r="J174" s="677" t="s">
        <v>925</v>
      </c>
      <c r="K174" s="677" t="s">
        <v>926</v>
      </c>
      <c r="L174" s="711">
        <v>333.31</v>
      </c>
      <c r="M174" s="711">
        <v>333.31</v>
      </c>
      <c r="N174" s="677">
        <v>1</v>
      </c>
      <c r="O174" s="712">
        <v>1</v>
      </c>
      <c r="P174" s="711">
        <v>333.31</v>
      </c>
      <c r="Q174" s="688">
        <v>1</v>
      </c>
      <c r="R174" s="677">
        <v>1</v>
      </c>
      <c r="S174" s="688">
        <v>1</v>
      </c>
      <c r="T174" s="712">
        <v>1</v>
      </c>
      <c r="U174" s="242">
        <v>1</v>
      </c>
    </row>
    <row r="175" spans="1:21" ht="14.4" customHeight="1" x14ac:dyDescent="0.3">
      <c r="A175" s="686">
        <v>25</v>
      </c>
      <c r="B175" s="677" t="s">
        <v>509</v>
      </c>
      <c r="C175" s="677">
        <v>89870255</v>
      </c>
      <c r="D175" s="709" t="s">
        <v>1192</v>
      </c>
      <c r="E175" s="710" t="s">
        <v>981</v>
      </c>
      <c r="F175" s="677" t="s">
        <v>946</v>
      </c>
      <c r="G175" s="677" t="s">
        <v>1182</v>
      </c>
      <c r="H175" s="677" t="s">
        <v>508</v>
      </c>
      <c r="I175" s="677" t="s">
        <v>1183</v>
      </c>
      <c r="J175" s="677" t="s">
        <v>1184</v>
      </c>
      <c r="K175" s="677" t="s">
        <v>1185</v>
      </c>
      <c r="L175" s="711">
        <v>43.32</v>
      </c>
      <c r="M175" s="711">
        <v>43.32</v>
      </c>
      <c r="N175" s="677">
        <v>1</v>
      </c>
      <c r="O175" s="712">
        <v>1</v>
      </c>
      <c r="P175" s="711"/>
      <c r="Q175" s="688">
        <v>0</v>
      </c>
      <c r="R175" s="677"/>
      <c r="S175" s="688">
        <v>0</v>
      </c>
      <c r="T175" s="712"/>
      <c r="U175" s="242">
        <v>0</v>
      </c>
    </row>
    <row r="176" spans="1:21" ht="14.4" customHeight="1" x14ac:dyDescent="0.3">
      <c r="A176" s="686">
        <v>25</v>
      </c>
      <c r="B176" s="677" t="s">
        <v>509</v>
      </c>
      <c r="C176" s="677">
        <v>89870255</v>
      </c>
      <c r="D176" s="709" t="s">
        <v>1192</v>
      </c>
      <c r="E176" s="710" t="s">
        <v>981</v>
      </c>
      <c r="F176" s="677" t="s">
        <v>946</v>
      </c>
      <c r="G176" s="677" t="s">
        <v>988</v>
      </c>
      <c r="H176" s="677" t="s">
        <v>719</v>
      </c>
      <c r="I176" s="677" t="s">
        <v>785</v>
      </c>
      <c r="J176" s="677" t="s">
        <v>925</v>
      </c>
      <c r="K176" s="677" t="s">
        <v>926</v>
      </c>
      <c r="L176" s="711">
        <v>333.31</v>
      </c>
      <c r="M176" s="711">
        <v>1666.55</v>
      </c>
      <c r="N176" s="677">
        <v>5</v>
      </c>
      <c r="O176" s="712">
        <v>5</v>
      </c>
      <c r="P176" s="711"/>
      <c r="Q176" s="688">
        <v>0</v>
      </c>
      <c r="R176" s="677"/>
      <c r="S176" s="688">
        <v>0</v>
      </c>
      <c r="T176" s="712"/>
      <c r="U176" s="242">
        <v>0</v>
      </c>
    </row>
    <row r="177" spans="1:21" ht="14.4" customHeight="1" x14ac:dyDescent="0.3">
      <c r="A177" s="686">
        <v>25</v>
      </c>
      <c r="B177" s="677" t="s">
        <v>509</v>
      </c>
      <c r="C177" s="677">
        <v>89870255</v>
      </c>
      <c r="D177" s="709" t="s">
        <v>1192</v>
      </c>
      <c r="E177" s="710" t="s">
        <v>981</v>
      </c>
      <c r="F177" s="677" t="s">
        <v>946</v>
      </c>
      <c r="G177" s="677" t="s">
        <v>1117</v>
      </c>
      <c r="H177" s="677" t="s">
        <v>508</v>
      </c>
      <c r="I177" s="677" t="s">
        <v>1186</v>
      </c>
      <c r="J177" s="677" t="s">
        <v>1187</v>
      </c>
      <c r="K177" s="677" t="s">
        <v>1188</v>
      </c>
      <c r="L177" s="711">
        <v>83.09</v>
      </c>
      <c r="M177" s="711">
        <v>83.09</v>
      </c>
      <c r="N177" s="677">
        <v>1</v>
      </c>
      <c r="O177" s="712">
        <v>1</v>
      </c>
      <c r="P177" s="711"/>
      <c r="Q177" s="688">
        <v>0</v>
      </c>
      <c r="R177" s="677"/>
      <c r="S177" s="688">
        <v>0</v>
      </c>
      <c r="T177" s="712"/>
      <c r="U177" s="242">
        <v>0</v>
      </c>
    </row>
    <row r="178" spans="1:21" ht="14.4" customHeight="1" x14ac:dyDescent="0.3">
      <c r="A178" s="686">
        <v>25</v>
      </c>
      <c r="B178" s="677" t="s">
        <v>509</v>
      </c>
      <c r="C178" s="677">
        <v>89870255</v>
      </c>
      <c r="D178" s="709" t="s">
        <v>1192</v>
      </c>
      <c r="E178" s="710" t="s">
        <v>982</v>
      </c>
      <c r="F178" s="677" t="s">
        <v>946</v>
      </c>
      <c r="G178" s="677" t="s">
        <v>988</v>
      </c>
      <c r="H178" s="677" t="s">
        <v>719</v>
      </c>
      <c r="I178" s="677" t="s">
        <v>785</v>
      </c>
      <c r="J178" s="677" t="s">
        <v>925</v>
      </c>
      <c r="K178" s="677" t="s">
        <v>926</v>
      </c>
      <c r="L178" s="711">
        <v>333.31</v>
      </c>
      <c r="M178" s="711">
        <v>999.93000000000006</v>
      </c>
      <c r="N178" s="677">
        <v>3</v>
      </c>
      <c r="O178" s="712">
        <v>3</v>
      </c>
      <c r="P178" s="711"/>
      <c r="Q178" s="688">
        <v>0</v>
      </c>
      <c r="R178" s="677"/>
      <c r="S178" s="688">
        <v>0</v>
      </c>
      <c r="T178" s="712"/>
      <c r="U178" s="242">
        <v>0</v>
      </c>
    </row>
    <row r="179" spans="1:21" ht="14.4" customHeight="1" thickBot="1" x14ac:dyDescent="0.35">
      <c r="A179" s="642">
        <v>25</v>
      </c>
      <c r="B179" s="679" t="s">
        <v>509</v>
      </c>
      <c r="C179" s="679">
        <v>89870255</v>
      </c>
      <c r="D179" s="713" t="s">
        <v>1192</v>
      </c>
      <c r="E179" s="714" t="s">
        <v>983</v>
      </c>
      <c r="F179" s="679" t="s">
        <v>946</v>
      </c>
      <c r="G179" s="679" t="s">
        <v>988</v>
      </c>
      <c r="H179" s="679" t="s">
        <v>719</v>
      </c>
      <c r="I179" s="679" t="s">
        <v>1061</v>
      </c>
      <c r="J179" s="679" t="s">
        <v>1062</v>
      </c>
      <c r="K179" s="679" t="s">
        <v>1063</v>
      </c>
      <c r="L179" s="715">
        <v>333.31</v>
      </c>
      <c r="M179" s="715">
        <v>333.31</v>
      </c>
      <c r="N179" s="679">
        <v>1</v>
      </c>
      <c r="O179" s="716">
        <v>1</v>
      </c>
      <c r="P179" s="715"/>
      <c r="Q179" s="689">
        <v>0</v>
      </c>
      <c r="R179" s="679"/>
      <c r="S179" s="689">
        <v>0</v>
      </c>
      <c r="T179" s="716"/>
      <c r="U179" s="690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43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60" customWidth="1"/>
    <col min="2" max="2" width="10" style="343" customWidth="1"/>
    <col min="3" max="3" width="5.5546875" style="346" customWidth="1"/>
    <col min="4" max="4" width="10" style="343" customWidth="1"/>
    <col min="5" max="5" width="5.5546875" style="346" customWidth="1"/>
    <col min="6" max="6" width="10" style="343" customWidth="1"/>
    <col min="7" max="7" width="8.88671875" style="260" customWidth="1"/>
    <col min="8" max="16384" width="8.88671875" style="260"/>
  </cols>
  <sheetData>
    <row r="1" spans="1:6" ht="37.799999999999997" customHeight="1" thickBot="1" x14ac:dyDescent="0.4">
      <c r="A1" s="493" t="s">
        <v>1194</v>
      </c>
      <c r="B1" s="494"/>
      <c r="C1" s="494"/>
      <c r="D1" s="494"/>
      <c r="E1" s="494"/>
      <c r="F1" s="494"/>
    </row>
    <row r="2" spans="1:6" ht="14.4" customHeight="1" thickBot="1" x14ac:dyDescent="0.35">
      <c r="A2" s="389" t="s">
        <v>299</v>
      </c>
      <c r="B2" s="67"/>
      <c r="C2" s="68"/>
      <c r="D2" s="69"/>
      <c r="E2" s="68"/>
      <c r="F2" s="69"/>
    </row>
    <row r="3" spans="1:6" ht="14.4" customHeight="1" thickBot="1" x14ac:dyDescent="0.35">
      <c r="A3" s="215"/>
      <c r="B3" s="495" t="s">
        <v>165</v>
      </c>
      <c r="C3" s="496"/>
      <c r="D3" s="497" t="s">
        <v>164</v>
      </c>
      <c r="E3" s="496"/>
      <c r="F3" s="105" t="s">
        <v>6</v>
      </c>
    </row>
    <row r="4" spans="1:6" ht="14.4" customHeight="1" thickBot="1" x14ac:dyDescent="0.35">
      <c r="A4" s="717" t="s">
        <v>244</v>
      </c>
      <c r="B4" s="649" t="s">
        <v>17</v>
      </c>
      <c r="C4" s="650" t="s">
        <v>5</v>
      </c>
      <c r="D4" s="649" t="s">
        <v>17</v>
      </c>
      <c r="E4" s="650" t="s">
        <v>5</v>
      </c>
      <c r="F4" s="651" t="s">
        <v>17</v>
      </c>
    </row>
    <row r="5" spans="1:6" ht="14.4" customHeight="1" x14ac:dyDescent="0.3">
      <c r="A5" s="722" t="s">
        <v>968</v>
      </c>
      <c r="B5" s="235">
        <v>1333.24</v>
      </c>
      <c r="C5" s="708">
        <v>0.12211718391494188</v>
      </c>
      <c r="D5" s="235">
        <v>9584.4699999999993</v>
      </c>
      <c r="E5" s="708">
        <v>0.87788281608505814</v>
      </c>
      <c r="F5" s="718">
        <v>10917.71</v>
      </c>
    </row>
    <row r="6" spans="1:6" ht="14.4" customHeight="1" x14ac:dyDescent="0.3">
      <c r="A6" s="723" t="s">
        <v>973</v>
      </c>
      <c r="B6" s="238">
        <v>666.62</v>
      </c>
      <c r="C6" s="688">
        <v>0.39999999999999997</v>
      </c>
      <c r="D6" s="238">
        <v>999.93000000000006</v>
      </c>
      <c r="E6" s="688">
        <v>0.6</v>
      </c>
      <c r="F6" s="719">
        <v>1666.5500000000002</v>
      </c>
    </row>
    <row r="7" spans="1:6" ht="14.4" customHeight="1" x14ac:dyDescent="0.3">
      <c r="A7" s="723" t="s">
        <v>967</v>
      </c>
      <c r="B7" s="238">
        <v>666.62</v>
      </c>
      <c r="C7" s="688">
        <v>0.36616206002548668</v>
      </c>
      <c r="D7" s="238">
        <v>1153.94</v>
      </c>
      <c r="E7" s="688">
        <v>0.63383793997451343</v>
      </c>
      <c r="F7" s="719">
        <v>1820.56</v>
      </c>
    </row>
    <row r="8" spans="1:6" ht="14.4" customHeight="1" x14ac:dyDescent="0.3">
      <c r="A8" s="723" t="s">
        <v>971</v>
      </c>
      <c r="B8" s="238">
        <v>200.07</v>
      </c>
      <c r="C8" s="688">
        <v>3.6903275310939655E-2</v>
      </c>
      <c r="D8" s="238">
        <v>5221.3999999999996</v>
      </c>
      <c r="E8" s="688">
        <v>0.96309672468906038</v>
      </c>
      <c r="F8" s="719">
        <v>5421.4699999999993</v>
      </c>
    </row>
    <row r="9" spans="1:6" ht="14.4" customHeight="1" x14ac:dyDescent="0.3">
      <c r="A9" s="723" t="s">
        <v>962</v>
      </c>
      <c r="B9" s="238">
        <v>154.01</v>
      </c>
      <c r="C9" s="688">
        <v>0.18767288546604438</v>
      </c>
      <c r="D9" s="238">
        <v>666.62</v>
      </c>
      <c r="E9" s="688">
        <v>0.81232711453395567</v>
      </c>
      <c r="F9" s="719">
        <v>820.63</v>
      </c>
    </row>
    <row r="10" spans="1:6" ht="14.4" customHeight="1" x14ac:dyDescent="0.3">
      <c r="A10" s="723" t="s">
        <v>965</v>
      </c>
      <c r="B10" s="238">
        <v>154.01</v>
      </c>
      <c r="C10" s="688">
        <v>4.4165512415725333E-2</v>
      </c>
      <c r="D10" s="238">
        <v>3333.1000000000004</v>
      </c>
      <c r="E10" s="688">
        <v>0.95583448758427458</v>
      </c>
      <c r="F10" s="719">
        <v>3487.1100000000006</v>
      </c>
    </row>
    <row r="11" spans="1:6" ht="14.4" customHeight="1" x14ac:dyDescent="0.3">
      <c r="A11" s="723" t="s">
        <v>963</v>
      </c>
      <c r="B11" s="238">
        <v>10.73</v>
      </c>
      <c r="C11" s="688">
        <v>3.4558612759954524E-3</v>
      </c>
      <c r="D11" s="238">
        <v>3094.14</v>
      </c>
      <c r="E11" s="688">
        <v>0.99654413872400449</v>
      </c>
      <c r="F11" s="719">
        <v>3104.87</v>
      </c>
    </row>
    <row r="12" spans="1:6" ht="14.4" customHeight="1" x14ac:dyDescent="0.3">
      <c r="A12" s="723" t="s">
        <v>976</v>
      </c>
      <c r="B12" s="238">
        <v>0</v>
      </c>
      <c r="C12" s="688">
        <v>0</v>
      </c>
      <c r="D12" s="238">
        <v>8928.1099999999988</v>
      </c>
      <c r="E12" s="688">
        <v>1</v>
      </c>
      <c r="F12" s="719">
        <v>8928.1099999999988</v>
      </c>
    </row>
    <row r="13" spans="1:6" ht="14.4" customHeight="1" x14ac:dyDescent="0.3">
      <c r="A13" s="723" t="s">
        <v>974</v>
      </c>
      <c r="B13" s="238"/>
      <c r="C13" s="688">
        <v>0</v>
      </c>
      <c r="D13" s="238">
        <v>6901.0400000000018</v>
      </c>
      <c r="E13" s="688">
        <v>1</v>
      </c>
      <c r="F13" s="719">
        <v>6901.0400000000018</v>
      </c>
    </row>
    <row r="14" spans="1:6" ht="14.4" customHeight="1" x14ac:dyDescent="0.3">
      <c r="A14" s="723" t="s">
        <v>980</v>
      </c>
      <c r="B14" s="238"/>
      <c r="C14" s="688">
        <v>0</v>
      </c>
      <c r="D14" s="238">
        <v>1051.6500000000001</v>
      </c>
      <c r="E14" s="688">
        <v>1</v>
      </c>
      <c r="F14" s="719">
        <v>1051.6500000000001</v>
      </c>
    </row>
    <row r="15" spans="1:6" ht="14.4" customHeight="1" x14ac:dyDescent="0.3">
      <c r="A15" s="723" t="s">
        <v>978</v>
      </c>
      <c r="B15" s="238"/>
      <c r="C15" s="688">
        <v>0</v>
      </c>
      <c r="D15" s="238">
        <v>2011.4299999999998</v>
      </c>
      <c r="E15" s="688">
        <v>1</v>
      </c>
      <c r="F15" s="719">
        <v>2011.4299999999998</v>
      </c>
    </row>
    <row r="16" spans="1:6" ht="14.4" customHeight="1" x14ac:dyDescent="0.3">
      <c r="A16" s="723" t="s">
        <v>970</v>
      </c>
      <c r="B16" s="238">
        <v>0</v>
      </c>
      <c r="C16" s="688">
        <v>0</v>
      </c>
      <c r="D16" s="238">
        <v>333.31</v>
      </c>
      <c r="E16" s="688">
        <v>1</v>
      </c>
      <c r="F16" s="719">
        <v>333.31</v>
      </c>
    </row>
    <row r="17" spans="1:6" ht="14.4" customHeight="1" x14ac:dyDescent="0.3">
      <c r="A17" s="723" t="s">
        <v>983</v>
      </c>
      <c r="B17" s="238"/>
      <c r="C17" s="688">
        <v>0</v>
      </c>
      <c r="D17" s="238">
        <v>333.31</v>
      </c>
      <c r="E17" s="688">
        <v>1</v>
      </c>
      <c r="F17" s="719">
        <v>333.31</v>
      </c>
    </row>
    <row r="18" spans="1:6" ht="14.4" customHeight="1" x14ac:dyDescent="0.3">
      <c r="A18" s="723" t="s">
        <v>966</v>
      </c>
      <c r="B18" s="238"/>
      <c r="C18" s="688">
        <v>0</v>
      </c>
      <c r="D18" s="238">
        <v>11496.78</v>
      </c>
      <c r="E18" s="688">
        <v>1</v>
      </c>
      <c r="F18" s="719">
        <v>11496.78</v>
      </c>
    </row>
    <row r="19" spans="1:6" ht="14.4" customHeight="1" x14ac:dyDescent="0.3">
      <c r="A19" s="723" t="s">
        <v>975</v>
      </c>
      <c r="B19" s="238">
        <v>0</v>
      </c>
      <c r="C19" s="688">
        <v>0</v>
      </c>
      <c r="D19" s="238">
        <v>5964.81</v>
      </c>
      <c r="E19" s="688">
        <v>1</v>
      </c>
      <c r="F19" s="719">
        <v>5964.81</v>
      </c>
    </row>
    <row r="20" spans="1:6" ht="14.4" customHeight="1" x14ac:dyDescent="0.3">
      <c r="A20" s="723" t="s">
        <v>958</v>
      </c>
      <c r="B20" s="238"/>
      <c r="C20" s="688">
        <v>0</v>
      </c>
      <c r="D20" s="238">
        <v>1333.24</v>
      </c>
      <c r="E20" s="688">
        <v>1</v>
      </c>
      <c r="F20" s="719">
        <v>1333.24</v>
      </c>
    </row>
    <row r="21" spans="1:6" ht="14.4" customHeight="1" x14ac:dyDescent="0.3">
      <c r="A21" s="723" t="s">
        <v>977</v>
      </c>
      <c r="B21" s="238">
        <v>0</v>
      </c>
      <c r="C21" s="688"/>
      <c r="D21" s="238"/>
      <c r="E21" s="688"/>
      <c r="F21" s="719">
        <v>0</v>
      </c>
    </row>
    <row r="22" spans="1:6" ht="14.4" customHeight="1" x14ac:dyDescent="0.3">
      <c r="A22" s="723" t="s">
        <v>959</v>
      </c>
      <c r="B22" s="238"/>
      <c r="C22" s="688">
        <v>0</v>
      </c>
      <c r="D22" s="238">
        <v>2974.5</v>
      </c>
      <c r="E22" s="688">
        <v>1</v>
      </c>
      <c r="F22" s="719">
        <v>2974.5</v>
      </c>
    </row>
    <row r="23" spans="1:6" ht="14.4" customHeight="1" x14ac:dyDescent="0.3">
      <c r="A23" s="723" t="s">
        <v>979</v>
      </c>
      <c r="B23" s="238"/>
      <c r="C23" s="688">
        <v>0</v>
      </c>
      <c r="D23" s="238">
        <v>333.31</v>
      </c>
      <c r="E23" s="688">
        <v>1</v>
      </c>
      <c r="F23" s="719">
        <v>333.31</v>
      </c>
    </row>
    <row r="24" spans="1:6" ht="14.4" customHeight="1" x14ac:dyDescent="0.3">
      <c r="A24" s="723" t="s">
        <v>969</v>
      </c>
      <c r="B24" s="238"/>
      <c r="C24" s="688">
        <v>0</v>
      </c>
      <c r="D24" s="238">
        <v>12870.380000000003</v>
      </c>
      <c r="E24" s="688">
        <v>1</v>
      </c>
      <c r="F24" s="719">
        <v>12870.380000000003</v>
      </c>
    </row>
    <row r="25" spans="1:6" ht="14.4" customHeight="1" x14ac:dyDescent="0.3">
      <c r="A25" s="723" t="s">
        <v>981</v>
      </c>
      <c r="B25" s="238"/>
      <c r="C25" s="688">
        <v>0</v>
      </c>
      <c r="D25" s="238">
        <v>1666.5500000000002</v>
      </c>
      <c r="E25" s="688">
        <v>1</v>
      </c>
      <c r="F25" s="719">
        <v>1666.5500000000002</v>
      </c>
    </row>
    <row r="26" spans="1:6" ht="14.4" customHeight="1" x14ac:dyDescent="0.3">
      <c r="A26" s="723" t="s">
        <v>957</v>
      </c>
      <c r="B26" s="238"/>
      <c r="C26" s="688">
        <v>0</v>
      </c>
      <c r="D26" s="238">
        <v>2263.44</v>
      </c>
      <c r="E26" s="688">
        <v>1</v>
      </c>
      <c r="F26" s="719">
        <v>2263.44</v>
      </c>
    </row>
    <row r="27" spans="1:6" ht="14.4" customHeight="1" x14ac:dyDescent="0.3">
      <c r="A27" s="723" t="s">
        <v>982</v>
      </c>
      <c r="B27" s="238"/>
      <c r="C27" s="688">
        <v>0</v>
      </c>
      <c r="D27" s="238">
        <v>999.93000000000006</v>
      </c>
      <c r="E27" s="688">
        <v>1</v>
      </c>
      <c r="F27" s="719">
        <v>999.93000000000006</v>
      </c>
    </row>
    <row r="28" spans="1:6" ht="14.4" customHeight="1" x14ac:dyDescent="0.3">
      <c r="A28" s="723" t="s">
        <v>972</v>
      </c>
      <c r="B28" s="238">
        <v>0</v>
      </c>
      <c r="C28" s="688">
        <v>0</v>
      </c>
      <c r="D28" s="238">
        <v>8052.2900000000009</v>
      </c>
      <c r="E28" s="688">
        <v>1</v>
      </c>
      <c r="F28" s="719">
        <v>8052.2900000000009</v>
      </c>
    </row>
    <row r="29" spans="1:6" ht="14.4" customHeight="1" x14ac:dyDescent="0.3">
      <c r="A29" s="723" t="s">
        <v>961</v>
      </c>
      <c r="B29" s="238"/>
      <c r="C29" s="688">
        <v>0</v>
      </c>
      <c r="D29" s="238">
        <v>333.31</v>
      </c>
      <c r="E29" s="688">
        <v>1</v>
      </c>
      <c r="F29" s="719">
        <v>333.31</v>
      </c>
    </row>
    <row r="30" spans="1:6" ht="14.4" customHeight="1" thickBot="1" x14ac:dyDescent="0.35">
      <c r="A30" s="724" t="s">
        <v>960</v>
      </c>
      <c r="B30" s="655"/>
      <c r="C30" s="656">
        <v>0</v>
      </c>
      <c r="D30" s="655">
        <v>9138.56</v>
      </c>
      <c r="E30" s="656">
        <v>1</v>
      </c>
      <c r="F30" s="721">
        <v>9138.56</v>
      </c>
    </row>
    <row r="31" spans="1:6" ht="14.4" customHeight="1" thickBot="1" x14ac:dyDescent="0.35">
      <c r="A31" s="659" t="s">
        <v>6</v>
      </c>
      <c r="B31" s="660">
        <v>3185.3</v>
      </c>
      <c r="C31" s="661">
        <v>3.0561809395743919E-2</v>
      </c>
      <c r="D31" s="660">
        <v>101039.54999999999</v>
      </c>
      <c r="E31" s="661">
        <v>0.96943819060425607</v>
      </c>
      <c r="F31" s="662">
        <v>104224.84999999999</v>
      </c>
    </row>
    <row r="32" spans="1:6" ht="14.4" customHeight="1" thickBot="1" x14ac:dyDescent="0.35"/>
    <row r="33" spans="1:6" ht="14.4" customHeight="1" x14ac:dyDescent="0.3">
      <c r="A33" s="722" t="s">
        <v>912</v>
      </c>
      <c r="B33" s="235">
        <v>2666.48</v>
      </c>
      <c r="C33" s="708">
        <v>3.3025358562840557E-2</v>
      </c>
      <c r="D33" s="235">
        <v>78073.899999999994</v>
      </c>
      <c r="E33" s="708">
        <v>0.9669746414371595</v>
      </c>
      <c r="F33" s="718">
        <v>80740.37999999999</v>
      </c>
    </row>
    <row r="34" spans="1:6" ht="14.4" customHeight="1" x14ac:dyDescent="0.3">
      <c r="A34" s="723" t="s">
        <v>900</v>
      </c>
      <c r="B34" s="238">
        <v>308.02</v>
      </c>
      <c r="C34" s="688">
        <v>2.1977912205368814E-2</v>
      </c>
      <c r="D34" s="238">
        <v>13706.960000000006</v>
      </c>
      <c r="E34" s="688">
        <v>0.97802208779463118</v>
      </c>
      <c r="F34" s="719">
        <v>14014.980000000007</v>
      </c>
    </row>
    <row r="35" spans="1:6" ht="14.4" customHeight="1" x14ac:dyDescent="0.3">
      <c r="A35" s="723" t="s">
        <v>1195</v>
      </c>
      <c r="B35" s="238">
        <v>200.07</v>
      </c>
      <c r="C35" s="688">
        <v>1</v>
      </c>
      <c r="D35" s="238"/>
      <c r="E35" s="688">
        <v>0</v>
      </c>
      <c r="F35" s="719">
        <v>200.07</v>
      </c>
    </row>
    <row r="36" spans="1:6" ht="14.4" customHeight="1" x14ac:dyDescent="0.3">
      <c r="A36" s="723" t="s">
        <v>1196</v>
      </c>
      <c r="B36" s="238">
        <v>10.73</v>
      </c>
      <c r="C36" s="688">
        <v>1</v>
      </c>
      <c r="D36" s="238"/>
      <c r="E36" s="688">
        <v>0</v>
      </c>
      <c r="F36" s="719">
        <v>10.73</v>
      </c>
    </row>
    <row r="37" spans="1:6" ht="14.4" customHeight="1" x14ac:dyDescent="0.3">
      <c r="A37" s="723" t="s">
        <v>1197</v>
      </c>
      <c r="B37" s="238">
        <v>0</v>
      </c>
      <c r="C37" s="688"/>
      <c r="D37" s="238"/>
      <c r="E37" s="688"/>
      <c r="F37" s="719">
        <v>0</v>
      </c>
    </row>
    <row r="38" spans="1:6" ht="14.4" customHeight="1" x14ac:dyDescent="0.3">
      <c r="A38" s="723" t="s">
        <v>899</v>
      </c>
      <c r="B38" s="238">
        <v>0</v>
      </c>
      <c r="C38" s="688">
        <v>0</v>
      </c>
      <c r="D38" s="238">
        <v>1835.81</v>
      </c>
      <c r="E38" s="688">
        <v>1</v>
      </c>
      <c r="F38" s="719">
        <v>1835.81</v>
      </c>
    </row>
    <row r="39" spans="1:6" ht="14.4" customHeight="1" x14ac:dyDescent="0.3">
      <c r="A39" s="723" t="s">
        <v>904</v>
      </c>
      <c r="B39" s="238">
        <v>0</v>
      </c>
      <c r="C39" s="688">
        <v>0</v>
      </c>
      <c r="D39" s="238">
        <v>2671.18</v>
      </c>
      <c r="E39" s="688">
        <v>1</v>
      </c>
      <c r="F39" s="719">
        <v>2671.18</v>
      </c>
    </row>
    <row r="40" spans="1:6" ht="14.4" customHeight="1" x14ac:dyDescent="0.3">
      <c r="A40" s="723" t="s">
        <v>1198</v>
      </c>
      <c r="B40" s="238"/>
      <c r="C40" s="688">
        <v>0</v>
      </c>
      <c r="D40" s="238">
        <v>216.16</v>
      </c>
      <c r="E40" s="688">
        <v>1</v>
      </c>
      <c r="F40" s="719">
        <v>216.16</v>
      </c>
    </row>
    <row r="41" spans="1:6" ht="14.4" customHeight="1" x14ac:dyDescent="0.3">
      <c r="A41" s="723" t="s">
        <v>1199</v>
      </c>
      <c r="B41" s="238"/>
      <c r="C41" s="688">
        <v>0</v>
      </c>
      <c r="D41" s="238">
        <v>83.1</v>
      </c>
      <c r="E41" s="688">
        <v>1</v>
      </c>
      <c r="F41" s="719">
        <v>83.1</v>
      </c>
    </row>
    <row r="42" spans="1:6" ht="14.4" customHeight="1" thickBot="1" x14ac:dyDescent="0.35">
      <c r="A42" s="724" t="s">
        <v>906</v>
      </c>
      <c r="B42" s="655"/>
      <c r="C42" s="656">
        <v>0</v>
      </c>
      <c r="D42" s="655">
        <v>4452.4400000000005</v>
      </c>
      <c r="E42" s="656">
        <v>1</v>
      </c>
      <c r="F42" s="721">
        <v>4452.4400000000005</v>
      </c>
    </row>
    <row r="43" spans="1:6" ht="14.4" customHeight="1" thickBot="1" x14ac:dyDescent="0.35">
      <c r="A43" s="659" t="s">
        <v>6</v>
      </c>
      <c r="B43" s="660">
        <v>3185.3</v>
      </c>
      <c r="C43" s="661">
        <v>3.0561809395743919E-2</v>
      </c>
      <c r="D43" s="660">
        <v>101039.55</v>
      </c>
      <c r="E43" s="661">
        <v>0.96943819060425618</v>
      </c>
      <c r="F43" s="662">
        <v>104224.84999999999</v>
      </c>
    </row>
  </sheetData>
  <mergeCells count="3">
    <mergeCell ref="A1:F1"/>
    <mergeCell ref="B3:C3"/>
    <mergeCell ref="D3:E3"/>
  </mergeCells>
  <conditionalFormatting sqref="C5:C1048576">
    <cfRule type="cellIs" dxfId="34" priority="12" stopIfTrue="1" operator="greaterThan">
      <formula>0.2</formula>
    </cfRule>
  </conditionalFormatting>
  <conditionalFormatting sqref="F5:F30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{186B35D9-1E29-4B71-8175-A468B4FA2A96}</x14:id>
        </ext>
      </extLst>
    </cfRule>
  </conditionalFormatting>
  <conditionalFormatting sqref="F33:F42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{433551D0-B22D-4AAB-94EE-D1E89F3CF77F}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86B35D9-1E29-4B71-8175-A468B4FA2A9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F5:F30</xm:sqref>
        </x14:conditionalFormatting>
        <x14:conditionalFormatting xmlns:xm="http://schemas.microsoft.com/office/excel/2006/main">
          <x14:cfRule type="dataBar" id="{433551D0-B22D-4AAB-94EE-D1E89F3CF7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F33:F42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91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60" customWidth="1"/>
    <col min="2" max="2" width="8.88671875" style="260" bestFit="1" customWidth="1"/>
    <col min="3" max="3" width="7" style="260" bestFit="1" customWidth="1"/>
    <col min="4" max="5" width="22.21875" style="260" customWidth="1"/>
    <col min="6" max="6" width="6.6640625" style="343" customWidth="1"/>
    <col min="7" max="7" width="10" style="343" customWidth="1"/>
    <col min="8" max="8" width="6.77734375" style="346" customWidth="1"/>
    <col min="9" max="9" width="6.6640625" style="343" customWidth="1"/>
    <col min="10" max="10" width="10" style="343" customWidth="1"/>
    <col min="11" max="11" width="6.77734375" style="346" customWidth="1"/>
    <col min="12" max="12" width="6.6640625" style="343" customWidth="1"/>
    <col min="13" max="13" width="10" style="343" customWidth="1"/>
    <col min="14" max="16384" width="8.88671875" style="260"/>
  </cols>
  <sheetData>
    <row r="1" spans="1:13" ht="18.600000000000001" customHeight="1" thickBot="1" x14ac:dyDescent="0.4">
      <c r="A1" s="494" t="s">
        <v>1205</v>
      </c>
      <c r="B1" s="494"/>
      <c r="C1" s="494"/>
      <c r="D1" s="494"/>
      <c r="E1" s="494"/>
      <c r="F1" s="494"/>
      <c r="G1" s="494"/>
      <c r="H1" s="494"/>
      <c r="I1" s="494"/>
      <c r="J1" s="494"/>
      <c r="K1" s="494"/>
      <c r="L1" s="462"/>
      <c r="M1" s="462"/>
    </row>
    <row r="2" spans="1:13" ht="14.4" customHeight="1" thickBot="1" x14ac:dyDescent="0.35">
      <c r="A2" s="389" t="s">
        <v>299</v>
      </c>
      <c r="B2" s="342"/>
      <c r="C2" s="342"/>
      <c r="D2" s="342"/>
      <c r="E2" s="342"/>
      <c r="F2" s="350"/>
      <c r="G2" s="350"/>
      <c r="H2" s="351"/>
      <c r="I2" s="350"/>
      <c r="J2" s="350"/>
      <c r="K2" s="351"/>
      <c r="L2" s="350"/>
    </row>
    <row r="3" spans="1:13" ht="14.4" customHeight="1" thickBot="1" x14ac:dyDescent="0.35">
      <c r="E3" s="104" t="s">
        <v>163</v>
      </c>
      <c r="F3" s="47">
        <f>SUBTOTAL(9,F6:F1048576)</f>
        <v>31</v>
      </c>
      <c r="G3" s="47">
        <f>SUBTOTAL(9,G6:G1048576)</f>
        <v>3185.3</v>
      </c>
      <c r="H3" s="48">
        <f>IF(M3=0,0,G3/M3)</f>
        <v>3.0561809395743926E-2</v>
      </c>
      <c r="I3" s="47">
        <f>SUBTOTAL(9,I6:I1048576)</f>
        <v>389</v>
      </c>
      <c r="J3" s="47">
        <f>SUBTOTAL(9,J6:J1048576)</f>
        <v>101039.54999999997</v>
      </c>
      <c r="K3" s="48">
        <f>IF(M3=0,0,J3/M3)</f>
        <v>0.96943819060425618</v>
      </c>
      <c r="L3" s="47">
        <f>SUBTOTAL(9,L6:L1048576)</f>
        <v>420</v>
      </c>
      <c r="M3" s="49">
        <f>SUBTOTAL(9,M6:M1048576)</f>
        <v>104224.84999999996</v>
      </c>
    </row>
    <row r="4" spans="1:13" ht="14.4" customHeight="1" thickBot="1" x14ac:dyDescent="0.35">
      <c r="A4" s="45"/>
      <c r="B4" s="45"/>
      <c r="C4" s="45"/>
      <c r="D4" s="45"/>
      <c r="E4" s="46"/>
      <c r="F4" s="498" t="s">
        <v>165</v>
      </c>
      <c r="G4" s="499"/>
      <c r="H4" s="500"/>
      <c r="I4" s="501" t="s">
        <v>164</v>
      </c>
      <c r="J4" s="499"/>
      <c r="K4" s="500"/>
      <c r="L4" s="502" t="s">
        <v>6</v>
      </c>
      <c r="M4" s="503"/>
    </row>
    <row r="5" spans="1:13" ht="14.4" customHeight="1" thickBot="1" x14ac:dyDescent="0.35">
      <c r="A5" s="717" t="s">
        <v>171</v>
      </c>
      <c r="B5" s="725" t="s">
        <v>167</v>
      </c>
      <c r="C5" s="725" t="s">
        <v>93</v>
      </c>
      <c r="D5" s="725" t="s">
        <v>168</v>
      </c>
      <c r="E5" s="725" t="s">
        <v>169</v>
      </c>
      <c r="F5" s="668" t="s">
        <v>31</v>
      </c>
      <c r="G5" s="668" t="s">
        <v>17</v>
      </c>
      <c r="H5" s="650" t="s">
        <v>170</v>
      </c>
      <c r="I5" s="649" t="s">
        <v>31</v>
      </c>
      <c r="J5" s="668" t="s">
        <v>17</v>
      </c>
      <c r="K5" s="650" t="s">
        <v>170</v>
      </c>
      <c r="L5" s="649" t="s">
        <v>31</v>
      </c>
      <c r="M5" s="669" t="s">
        <v>17</v>
      </c>
    </row>
    <row r="6" spans="1:13" ht="14.4" customHeight="1" x14ac:dyDescent="0.3">
      <c r="A6" s="702" t="s">
        <v>957</v>
      </c>
      <c r="B6" s="703" t="s">
        <v>924</v>
      </c>
      <c r="C6" s="703" t="s">
        <v>785</v>
      </c>
      <c r="D6" s="703" t="s">
        <v>925</v>
      </c>
      <c r="E6" s="703" t="s">
        <v>926</v>
      </c>
      <c r="F6" s="235"/>
      <c r="G6" s="235"/>
      <c r="H6" s="708">
        <v>0</v>
      </c>
      <c r="I6" s="235">
        <v>6</v>
      </c>
      <c r="J6" s="235">
        <v>1999.8600000000001</v>
      </c>
      <c r="K6" s="708">
        <v>1</v>
      </c>
      <c r="L6" s="235">
        <v>6</v>
      </c>
      <c r="M6" s="718">
        <v>1999.8600000000001</v>
      </c>
    </row>
    <row r="7" spans="1:13" ht="14.4" customHeight="1" x14ac:dyDescent="0.3">
      <c r="A7" s="686" t="s">
        <v>957</v>
      </c>
      <c r="B7" s="677" t="s">
        <v>924</v>
      </c>
      <c r="C7" s="677" t="s">
        <v>1170</v>
      </c>
      <c r="D7" s="677" t="s">
        <v>1171</v>
      </c>
      <c r="E7" s="677" t="s">
        <v>1172</v>
      </c>
      <c r="F7" s="238"/>
      <c r="G7" s="238"/>
      <c r="H7" s="688">
        <v>0</v>
      </c>
      <c r="I7" s="238">
        <v>1</v>
      </c>
      <c r="J7" s="238">
        <v>79.36</v>
      </c>
      <c r="K7" s="688">
        <v>1</v>
      </c>
      <c r="L7" s="238">
        <v>1</v>
      </c>
      <c r="M7" s="719">
        <v>79.36</v>
      </c>
    </row>
    <row r="8" spans="1:13" ht="14.4" customHeight="1" x14ac:dyDescent="0.3">
      <c r="A8" s="686" t="s">
        <v>957</v>
      </c>
      <c r="B8" s="677" t="s">
        <v>929</v>
      </c>
      <c r="C8" s="677" t="s">
        <v>793</v>
      </c>
      <c r="D8" s="677" t="s">
        <v>794</v>
      </c>
      <c r="E8" s="677" t="s">
        <v>930</v>
      </c>
      <c r="F8" s="238"/>
      <c r="G8" s="238"/>
      <c r="H8" s="688">
        <v>0</v>
      </c>
      <c r="I8" s="238">
        <v>1</v>
      </c>
      <c r="J8" s="238">
        <v>184.22</v>
      </c>
      <c r="K8" s="688">
        <v>1</v>
      </c>
      <c r="L8" s="238">
        <v>1</v>
      </c>
      <c r="M8" s="719">
        <v>184.22</v>
      </c>
    </row>
    <row r="9" spans="1:13" ht="14.4" customHeight="1" x14ac:dyDescent="0.3">
      <c r="A9" s="686" t="s">
        <v>958</v>
      </c>
      <c r="B9" s="677" t="s">
        <v>924</v>
      </c>
      <c r="C9" s="677" t="s">
        <v>785</v>
      </c>
      <c r="D9" s="677" t="s">
        <v>925</v>
      </c>
      <c r="E9" s="677" t="s">
        <v>926</v>
      </c>
      <c r="F9" s="238"/>
      <c r="G9" s="238"/>
      <c r="H9" s="688">
        <v>0</v>
      </c>
      <c r="I9" s="238">
        <v>4</v>
      </c>
      <c r="J9" s="238">
        <v>1333.24</v>
      </c>
      <c r="K9" s="688">
        <v>1</v>
      </c>
      <c r="L9" s="238">
        <v>4</v>
      </c>
      <c r="M9" s="719">
        <v>1333.24</v>
      </c>
    </row>
    <row r="10" spans="1:13" ht="14.4" customHeight="1" x14ac:dyDescent="0.3">
      <c r="A10" s="686" t="s">
        <v>959</v>
      </c>
      <c r="B10" s="677" t="s">
        <v>924</v>
      </c>
      <c r="C10" s="677" t="s">
        <v>785</v>
      </c>
      <c r="D10" s="677" t="s">
        <v>925</v>
      </c>
      <c r="E10" s="677" t="s">
        <v>926</v>
      </c>
      <c r="F10" s="238"/>
      <c r="G10" s="238"/>
      <c r="H10" s="688">
        <v>0</v>
      </c>
      <c r="I10" s="238">
        <v>8</v>
      </c>
      <c r="J10" s="238">
        <v>2666.48</v>
      </c>
      <c r="K10" s="688">
        <v>1</v>
      </c>
      <c r="L10" s="238">
        <v>8</v>
      </c>
      <c r="M10" s="719">
        <v>2666.48</v>
      </c>
    </row>
    <row r="11" spans="1:13" ht="14.4" customHeight="1" x14ac:dyDescent="0.3">
      <c r="A11" s="686" t="s">
        <v>959</v>
      </c>
      <c r="B11" s="677" t="s">
        <v>931</v>
      </c>
      <c r="C11" s="677" t="s">
        <v>801</v>
      </c>
      <c r="D11" s="677" t="s">
        <v>802</v>
      </c>
      <c r="E11" s="677" t="s">
        <v>803</v>
      </c>
      <c r="F11" s="238"/>
      <c r="G11" s="238"/>
      <c r="H11" s="688">
        <v>0</v>
      </c>
      <c r="I11" s="238">
        <v>2</v>
      </c>
      <c r="J11" s="238">
        <v>308.02</v>
      </c>
      <c r="K11" s="688">
        <v>1</v>
      </c>
      <c r="L11" s="238">
        <v>2</v>
      </c>
      <c r="M11" s="719">
        <v>308.02</v>
      </c>
    </row>
    <row r="12" spans="1:13" ht="14.4" customHeight="1" x14ac:dyDescent="0.3">
      <c r="A12" s="686" t="s">
        <v>960</v>
      </c>
      <c r="B12" s="677" t="s">
        <v>924</v>
      </c>
      <c r="C12" s="677" t="s">
        <v>785</v>
      </c>
      <c r="D12" s="677" t="s">
        <v>925</v>
      </c>
      <c r="E12" s="677" t="s">
        <v>926</v>
      </c>
      <c r="F12" s="238"/>
      <c r="G12" s="238"/>
      <c r="H12" s="688">
        <v>0</v>
      </c>
      <c r="I12" s="238">
        <v>17</v>
      </c>
      <c r="J12" s="238">
        <v>5666.2699999999995</v>
      </c>
      <c r="K12" s="688">
        <v>1</v>
      </c>
      <c r="L12" s="238">
        <v>17</v>
      </c>
      <c r="M12" s="719">
        <v>5666.2699999999995</v>
      </c>
    </row>
    <row r="13" spans="1:13" ht="14.4" customHeight="1" x14ac:dyDescent="0.3">
      <c r="A13" s="686" t="s">
        <v>960</v>
      </c>
      <c r="B13" s="677" t="s">
        <v>924</v>
      </c>
      <c r="C13" s="677" t="s">
        <v>1061</v>
      </c>
      <c r="D13" s="677" t="s">
        <v>1062</v>
      </c>
      <c r="E13" s="677" t="s">
        <v>1063</v>
      </c>
      <c r="F13" s="238"/>
      <c r="G13" s="238"/>
      <c r="H13" s="688">
        <v>0</v>
      </c>
      <c r="I13" s="238">
        <v>1</v>
      </c>
      <c r="J13" s="238">
        <v>333.31</v>
      </c>
      <c r="K13" s="688">
        <v>1</v>
      </c>
      <c r="L13" s="238">
        <v>1</v>
      </c>
      <c r="M13" s="719">
        <v>333.31</v>
      </c>
    </row>
    <row r="14" spans="1:13" ht="14.4" customHeight="1" x14ac:dyDescent="0.3">
      <c r="A14" s="686" t="s">
        <v>960</v>
      </c>
      <c r="B14" s="677" t="s">
        <v>929</v>
      </c>
      <c r="C14" s="677" t="s">
        <v>1008</v>
      </c>
      <c r="D14" s="677" t="s">
        <v>1009</v>
      </c>
      <c r="E14" s="677" t="s">
        <v>1010</v>
      </c>
      <c r="F14" s="238"/>
      <c r="G14" s="238"/>
      <c r="H14" s="688">
        <v>0</v>
      </c>
      <c r="I14" s="238">
        <v>2</v>
      </c>
      <c r="J14" s="238">
        <v>276.32</v>
      </c>
      <c r="K14" s="688">
        <v>1</v>
      </c>
      <c r="L14" s="238">
        <v>2</v>
      </c>
      <c r="M14" s="719">
        <v>276.32</v>
      </c>
    </row>
    <row r="15" spans="1:13" ht="14.4" customHeight="1" x14ac:dyDescent="0.3">
      <c r="A15" s="686" t="s">
        <v>960</v>
      </c>
      <c r="B15" s="677" t="s">
        <v>931</v>
      </c>
      <c r="C15" s="677" t="s">
        <v>801</v>
      </c>
      <c r="D15" s="677" t="s">
        <v>802</v>
      </c>
      <c r="E15" s="677" t="s">
        <v>803</v>
      </c>
      <c r="F15" s="238"/>
      <c r="G15" s="238"/>
      <c r="H15" s="688">
        <v>0</v>
      </c>
      <c r="I15" s="238">
        <v>9</v>
      </c>
      <c r="J15" s="238">
        <v>1386.09</v>
      </c>
      <c r="K15" s="688">
        <v>1</v>
      </c>
      <c r="L15" s="238">
        <v>9</v>
      </c>
      <c r="M15" s="719">
        <v>1386.09</v>
      </c>
    </row>
    <row r="16" spans="1:13" ht="14.4" customHeight="1" x14ac:dyDescent="0.3">
      <c r="A16" s="686" t="s">
        <v>960</v>
      </c>
      <c r="B16" s="677" t="s">
        <v>931</v>
      </c>
      <c r="C16" s="677" t="s">
        <v>1019</v>
      </c>
      <c r="D16" s="677" t="s">
        <v>1020</v>
      </c>
      <c r="E16" s="677" t="s">
        <v>1021</v>
      </c>
      <c r="F16" s="238"/>
      <c r="G16" s="238"/>
      <c r="H16" s="688">
        <v>0</v>
      </c>
      <c r="I16" s="238">
        <v>6</v>
      </c>
      <c r="J16" s="238">
        <v>462.06000000000006</v>
      </c>
      <c r="K16" s="688">
        <v>1</v>
      </c>
      <c r="L16" s="238">
        <v>6</v>
      </c>
      <c r="M16" s="719">
        <v>462.06000000000006</v>
      </c>
    </row>
    <row r="17" spans="1:13" ht="14.4" customHeight="1" x14ac:dyDescent="0.3">
      <c r="A17" s="686" t="s">
        <v>960</v>
      </c>
      <c r="B17" s="677" t="s">
        <v>937</v>
      </c>
      <c r="C17" s="677" t="s">
        <v>1026</v>
      </c>
      <c r="D17" s="677" t="s">
        <v>573</v>
      </c>
      <c r="E17" s="677" t="s">
        <v>1027</v>
      </c>
      <c r="F17" s="238"/>
      <c r="G17" s="238"/>
      <c r="H17" s="688">
        <v>0</v>
      </c>
      <c r="I17" s="238">
        <v>21</v>
      </c>
      <c r="J17" s="238">
        <v>1014.51</v>
      </c>
      <c r="K17" s="688">
        <v>1</v>
      </c>
      <c r="L17" s="238">
        <v>21</v>
      </c>
      <c r="M17" s="719">
        <v>1014.51</v>
      </c>
    </row>
    <row r="18" spans="1:13" ht="14.4" customHeight="1" x14ac:dyDescent="0.3">
      <c r="A18" s="686" t="s">
        <v>961</v>
      </c>
      <c r="B18" s="677" t="s">
        <v>924</v>
      </c>
      <c r="C18" s="677" t="s">
        <v>785</v>
      </c>
      <c r="D18" s="677" t="s">
        <v>925</v>
      </c>
      <c r="E18" s="677" t="s">
        <v>926</v>
      </c>
      <c r="F18" s="238"/>
      <c r="G18" s="238"/>
      <c r="H18" s="688">
        <v>0</v>
      </c>
      <c r="I18" s="238">
        <v>1</v>
      </c>
      <c r="J18" s="238">
        <v>333.31</v>
      </c>
      <c r="K18" s="688">
        <v>1</v>
      </c>
      <c r="L18" s="238">
        <v>1</v>
      </c>
      <c r="M18" s="719">
        <v>333.31</v>
      </c>
    </row>
    <row r="19" spans="1:13" ht="14.4" customHeight="1" x14ac:dyDescent="0.3">
      <c r="A19" s="686" t="s">
        <v>962</v>
      </c>
      <c r="B19" s="677" t="s">
        <v>924</v>
      </c>
      <c r="C19" s="677" t="s">
        <v>785</v>
      </c>
      <c r="D19" s="677" t="s">
        <v>925</v>
      </c>
      <c r="E19" s="677" t="s">
        <v>926</v>
      </c>
      <c r="F19" s="238"/>
      <c r="G19" s="238"/>
      <c r="H19" s="688">
        <v>0</v>
      </c>
      <c r="I19" s="238">
        <v>1</v>
      </c>
      <c r="J19" s="238">
        <v>333.31</v>
      </c>
      <c r="K19" s="688">
        <v>1</v>
      </c>
      <c r="L19" s="238">
        <v>1</v>
      </c>
      <c r="M19" s="719">
        <v>333.31</v>
      </c>
    </row>
    <row r="20" spans="1:13" ht="14.4" customHeight="1" x14ac:dyDescent="0.3">
      <c r="A20" s="686" t="s">
        <v>962</v>
      </c>
      <c r="B20" s="677" t="s">
        <v>924</v>
      </c>
      <c r="C20" s="677" t="s">
        <v>1173</v>
      </c>
      <c r="D20" s="677" t="s">
        <v>1174</v>
      </c>
      <c r="E20" s="677" t="s">
        <v>1175</v>
      </c>
      <c r="F20" s="238"/>
      <c r="G20" s="238"/>
      <c r="H20" s="688">
        <v>0</v>
      </c>
      <c r="I20" s="238">
        <v>1</v>
      </c>
      <c r="J20" s="238">
        <v>333.31</v>
      </c>
      <c r="K20" s="688">
        <v>1</v>
      </c>
      <c r="L20" s="238">
        <v>1</v>
      </c>
      <c r="M20" s="719">
        <v>333.31</v>
      </c>
    </row>
    <row r="21" spans="1:13" ht="14.4" customHeight="1" x14ac:dyDescent="0.3">
      <c r="A21" s="686" t="s">
        <v>962</v>
      </c>
      <c r="B21" s="677" t="s">
        <v>931</v>
      </c>
      <c r="C21" s="677" t="s">
        <v>1064</v>
      </c>
      <c r="D21" s="677" t="s">
        <v>802</v>
      </c>
      <c r="E21" s="677" t="s">
        <v>803</v>
      </c>
      <c r="F21" s="238">
        <v>1</v>
      </c>
      <c r="G21" s="238">
        <v>154.01</v>
      </c>
      <c r="H21" s="688">
        <v>1</v>
      </c>
      <c r="I21" s="238"/>
      <c r="J21" s="238"/>
      <c r="K21" s="688">
        <v>0</v>
      </c>
      <c r="L21" s="238">
        <v>1</v>
      </c>
      <c r="M21" s="719">
        <v>154.01</v>
      </c>
    </row>
    <row r="22" spans="1:13" ht="14.4" customHeight="1" x14ac:dyDescent="0.3">
      <c r="A22" s="686" t="s">
        <v>962</v>
      </c>
      <c r="B22" s="677" t="s">
        <v>1200</v>
      </c>
      <c r="C22" s="677" t="s">
        <v>1151</v>
      </c>
      <c r="D22" s="677" t="s">
        <v>1152</v>
      </c>
      <c r="E22" s="677" t="s">
        <v>1153</v>
      </c>
      <c r="F22" s="238">
        <v>1</v>
      </c>
      <c r="G22" s="238">
        <v>0</v>
      </c>
      <c r="H22" s="688"/>
      <c r="I22" s="238"/>
      <c r="J22" s="238"/>
      <c r="K22" s="688"/>
      <c r="L22" s="238">
        <v>1</v>
      </c>
      <c r="M22" s="719">
        <v>0</v>
      </c>
    </row>
    <row r="23" spans="1:13" ht="14.4" customHeight="1" x14ac:dyDescent="0.3">
      <c r="A23" s="686" t="s">
        <v>963</v>
      </c>
      <c r="B23" s="677" t="s">
        <v>924</v>
      </c>
      <c r="C23" s="677" t="s">
        <v>989</v>
      </c>
      <c r="D23" s="677" t="s">
        <v>925</v>
      </c>
      <c r="E23" s="677" t="s">
        <v>990</v>
      </c>
      <c r="F23" s="238">
        <v>1</v>
      </c>
      <c r="G23" s="238">
        <v>0</v>
      </c>
      <c r="H23" s="688"/>
      <c r="I23" s="238"/>
      <c r="J23" s="238"/>
      <c r="K23" s="688"/>
      <c r="L23" s="238">
        <v>1</v>
      </c>
      <c r="M23" s="719">
        <v>0</v>
      </c>
    </row>
    <row r="24" spans="1:13" ht="14.4" customHeight="1" x14ac:dyDescent="0.3">
      <c r="A24" s="686" t="s">
        <v>963</v>
      </c>
      <c r="B24" s="677" t="s">
        <v>924</v>
      </c>
      <c r="C24" s="677" t="s">
        <v>785</v>
      </c>
      <c r="D24" s="677" t="s">
        <v>925</v>
      </c>
      <c r="E24" s="677" t="s">
        <v>926</v>
      </c>
      <c r="F24" s="238"/>
      <c r="G24" s="238"/>
      <c r="H24" s="688">
        <v>0</v>
      </c>
      <c r="I24" s="238">
        <v>7</v>
      </c>
      <c r="J24" s="238">
        <v>2333.17</v>
      </c>
      <c r="K24" s="688">
        <v>1</v>
      </c>
      <c r="L24" s="238">
        <v>7</v>
      </c>
      <c r="M24" s="719">
        <v>2333.17</v>
      </c>
    </row>
    <row r="25" spans="1:13" ht="14.4" customHeight="1" x14ac:dyDescent="0.3">
      <c r="A25" s="686" t="s">
        <v>963</v>
      </c>
      <c r="B25" s="677" t="s">
        <v>931</v>
      </c>
      <c r="C25" s="677" t="s">
        <v>801</v>
      </c>
      <c r="D25" s="677" t="s">
        <v>802</v>
      </c>
      <c r="E25" s="677" t="s">
        <v>803</v>
      </c>
      <c r="F25" s="238"/>
      <c r="G25" s="238"/>
      <c r="H25" s="688">
        <v>0</v>
      </c>
      <c r="I25" s="238">
        <v>4</v>
      </c>
      <c r="J25" s="238">
        <v>616.04</v>
      </c>
      <c r="K25" s="688">
        <v>1</v>
      </c>
      <c r="L25" s="238">
        <v>4</v>
      </c>
      <c r="M25" s="719">
        <v>616.04</v>
      </c>
    </row>
    <row r="26" spans="1:13" ht="14.4" customHeight="1" x14ac:dyDescent="0.3">
      <c r="A26" s="686" t="s">
        <v>963</v>
      </c>
      <c r="B26" s="677" t="s">
        <v>937</v>
      </c>
      <c r="C26" s="677" t="s">
        <v>1026</v>
      </c>
      <c r="D26" s="677" t="s">
        <v>573</v>
      </c>
      <c r="E26" s="677" t="s">
        <v>1027</v>
      </c>
      <c r="F26" s="238"/>
      <c r="G26" s="238"/>
      <c r="H26" s="688">
        <v>0</v>
      </c>
      <c r="I26" s="238">
        <v>3</v>
      </c>
      <c r="J26" s="238">
        <v>144.93</v>
      </c>
      <c r="K26" s="688">
        <v>1</v>
      </c>
      <c r="L26" s="238">
        <v>3</v>
      </c>
      <c r="M26" s="719">
        <v>144.93</v>
      </c>
    </row>
    <row r="27" spans="1:13" ht="14.4" customHeight="1" x14ac:dyDescent="0.3">
      <c r="A27" s="686" t="s">
        <v>963</v>
      </c>
      <c r="B27" s="677" t="s">
        <v>1201</v>
      </c>
      <c r="C27" s="677" t="s">
        <v>985</v>
      </c>
      <c r="D27" s="677" t="s">
        <v>986</v>
      </c>
      <c r="E27" s="677" t="s">
        <v>987</v>
      </c>
      <c r="F27" s="238">
        <v>1</v>
      </c>
      <c r="G27" s="238">
        <v>10.73</v>
      </c>
      <c r="H27" s="688">
        <v>1</v>
      </c>
      <c r="I27" s="238"/>
      <c r="J27" s="238"/>
      <c r="K27" s="688">
        <v>0</v>
      </c>
      <c r="L27" s="238">
        <v>1</v>
      </c>
      <c r="M27" s="719">
        <v>10.73</v>
      </c>
    </row>
    <row r="28" spans="1:13" ht="14.4" customHeight="1" x14ac:dyDescent="0.3">
      <c r="A28" s="686" t="s">
        <v>965</v>
      </c>
      <c r="B28" s="677" t="s">
        <v>924</v>
      </c>
      <c r="C28" s="677" t="s">
        <v>1061</v>
      </c>
      <c r="D28" s="677" t="s">
        <v>1062</v>
      </c>
      <c r="E28" s="677" t="s">
        <v>1063</v>
      </c>
      <c r="F28" s="238"/>
      <c r="G28" s="238"/>
      <c r="H28" s="688">
        <v>0</v>
      </c>
      <c r="I28" s="238">
        <v>10</v>
      </c>
      <c r="J28" s="238">
        <v>3333.1000000000004</v>
      </c>
      <c r="K28" s="688">
        <v>1</v>
      </c>
      <c r="L28" s="238">
        <v>10</v>
      </c>
      <c r="M28" s="719">
        <v>3333.1000000000004</v>
      </c>
    </row>
    <row r="29" spans="1:13" ht="14.4" customHeight="1" x14ac:dyDescent="0.3">
      <c r="A29" s="686" t="s">
        <v>965</v>
      </c>
      <c r="B29" s="677" t="s">
        <v>931</v>
      </c>
      <c r="C29" s="677" t="s">
        <v>1064</v>
      </c>
      <c r="D29" s="677" t="s">
        <v>802</v>
      </c>
      <c r="E29" s="677" t="s">
        <v>803</v>
      </c>
      <c r="F29" s="238">
        <v>1</v>
      </c>
      <c r="G29" s="238">
        <v>154.01</v>
      </c>
      <c r="H29" s="688">
        <v>1</v>
      </c>
      <c r="I29" s="238"/>
      <c r="J29" s="238"/>
      <c r="K29" s="688">
        <v>0</v>
      </c>
      <c r="L29" s="238">
        <v>1</v>
      </c>
      <c r="M29" s="719">
        <v>154.01</v>
      </c>
    </row>
    <row r="30" spans="1:13" ht="14.4" customHeight="1" x14ac:dyDescent="0.3">
      <c r="A30" s="686" t="s">
        <v>966</v>
      </c>
      <c r="B30" s="677" t="s">
        <v>924</v>
      </c>
      <c r="C30" s="677" t="s">
        <v>785</v>
      </c>
      <c r="D30" s="677" t="s">
        <v>925</v>
      </c>
      <c r="E30" s="677" t="s">
        <v>926</v>
      </c>
      <c r="F30" s="238"/>
      <c r="G30" s="238"/>
      <c r="H30" s="688">
        <v>0</v>
      </c>
      <c r="I30" s="238">
        <v>27</v>
      </c>
      <c r="J30" s="238">
        <v>8999.3700000000026</v>
      </c>
      <c r="K30" s="688">
        <v>1</v>
      </c>
      <c r="L30" s="238">
        <v>27</v>
      </c>
      <c r="M30" s="719">
        <v>8999.3700000000026</v>
      </c>
    </row>
    <row r="31" spans="1:13" ht="14.4" customHeight="1" x14ac:dyDescent="0.3">
      <c r="A31" s="686" t="s">
        <v>966</v>
      </c>
      <c r="B31" s="677" t="s">
        <v>929</v>
      </c>
      <c r="C31" s="677" t="s">
        <v>793</v>
      </c>
      <c r="D31" s="677" t="s">
        <v>794</v>
      </c>
      <c r="E31" s="677" t="s">
        <v>930</v>
      </c>
      <c r="F31" s="238"/>
      <c r="G31" s="238"/>
      <c r="H31" s="688">
        <v>0</v>
      </c>
      <c r="I31" s="238">
        <v>3</v>
      </c>
      <c r="J31" s="238">
        <v>552.66</v>
      </c>
      <c r="K31" s="688">
        <v>1</v>
      </c>
      <c r="L31" s="238">
        <v>3</v>
      </c>
      <c r="M31" s="719">
        <v>552.66</v>
      </c>
    </row>
    <row r="32" spans="1:13" ht="14.4" customHeight="1" x14ac:dyDescent="0.3">
      <c r="A32" s="686" t="s">
        <v>966</v>
      </c>
      <c r="B32" s="677" t="s">
        <v>931</v>
      </c>
      <c r="C32" s="677" t="s">
        <v>801</v>
      </c>
      <c r="D32" s="677" t="s">
        <v>802</v>
      </c>
      <c r="E32" s="677" t="s">
        <v>803</v>
      </c>
      <c r="F32" s="238"/>
      <c r="G32" s="238"/>
      <c r="H32" s="688">
        <v>0</v>
      </c>
      <c r="I32" s="238">
        <v>12</v>
      </c>
      <c r="J32" s="238">
        <v>1848.12</v>
      </c>
      <c r="K32" s="688">
        <v>1</v>
      </c>
      <c r="L32" s="238">
        <v>12</v>
      </c>
      <c r="M32" s="719">
        <v>1848.12</v>
      </c>
    </row>
    <row r="33" spans="1:13" ht="14.4" customHeight="1" x14ac:dyDescent="0.3">
      <c r="A33" s="686" t="s">
        <v>966</v>
      </c>
      <c r="B33" s="677" t="s">
        <v>937</v>
      </c>
      <c r="C33" s="677" t="s">
        <v>725</v>
      </c>
      <c r="D33" s="677" t="s">
        <v>573</v>
      </c>
      <c r="E33" s="677" t="s">
        <v>938</v>
      </c>
      <c r="F33" s="238"/>
      <c r="G33" s="238"/>
      <c r="H33" s="688">
        <v>0</v>
      </c>
      <c r="I33" s="238">
        <v>1</v>
      </c>
      <c r="J33" s="238">
        <v>96.63</v>
      </c>
      <c r="K33" s="688">
        <v>1</v>
      </c>
      <c r="L33" s="238">
        <v>1</v>
      </c>
      <c r="M33" s="719">
        <v>96.63</v>
      </c>
    </row>
    <row r="34" spans="1:13" ht="14.4" customHeight="1" x14ac:dyDescent="0.3">
      <c r="A34" s="686" t="s">
        <v>967</v>
      </c>
      <c r="B34" s="677" t="s">
        <v>924</v>
      </c>
      <c r="C34" s="677" t="s">
        <v>785</v>
      </c>
      <c r="D34" s="677" t="s">
        <v>925</v>
      </c>
      <c r="E34" s="677" t="s">
        <v>926</v>
      </c>
      <c r="F34" s="238"/>
      <c r="G34" s="238"/>
      <c r="H34" s="688">
        <v>0</v>
      </c>
      <c r="I34" s="238">
        <v>3</v>
      </c>
      <c r="J34" s="238">
        <v>999.93000000000006</v>
      </c>
      <c r="K34" s="688">
        <v>1</v>
      </c>
      <c r="L34" s="238">
        <v>3</v>
      </c>
      <c r="M34" s="719">
        <v>999.93000000000006</v>
      </c>
    </row>
    <row r="35" spans="1:13" ht="14.4" customHeight="1" x14ac:dyDescent="0.3">
      <c r="A35" s="686" t="s">
        <v>967</v>
      </c>
      <c r="B35" s="677" t="s">
        <v>924</v>
      </c>
      <c r="C35" s="677" t="s">
        <v>1079</v>
      </c>
      <c r="D35" s="677" t="s">
        <v>925</v>
      </c>
      <c r="E35" s="677" t="s">
        <v>926</v>
      </c>
      <c r="F35" s="238">
        <v>2</v>
      </c>
      <c r="G35" s="238">
        <v>666.62</v>
      </c>
      <c r="H35" s="688">
        <v>1</v>
      </c>
      <c r="I35" s="238"/>
      <c r="J35" s="238"/>
      <c r="K35" s="688">
        <v>0</v>
      </c>
      <c r="L35" s="238">
        <v>2</v>
      </c>
      <c r="M35" s="719">
        <v>666.62</v>
      </c>
    </row>
    <row r="36" spans="1:13" ht="14.4" customHeight="1" x14ac:dyDescent="0.3">
      <c r="A36" s="686" t="s">
        <v>967</v>
      </c>
      <c r="B36" s="677" t="s">
        <v>931</v>
      </c>
      <c r="C36" s="677" t="s">
        <v>801</v>
      </c>
      <c r="D36" s="677" t="s">
        <v>802</v>
      </c>
      <c r="E36" s="677" t="s">
        <v>803</v>
      </c>
      <c r="F36" s="238"/>
      <c r="G36" s="238"/>
      <c r="H36" s="688">
        <v>0</v>
      </c>
      <c r="I36" s="238">
        <v>1</v>
      </c>
      <c r="J36" s="238">
        <v>154.01</v>
      </c>
      <c r="K36" s="688">
        <v>1</v>
      </c>
      <c r="L36" s="238">
        <v>1</v>
      </c>
      <c r="M36" s="719">
        <v>154.01</v>
      </c>
    </row>
    <row r="37" spans="1:13" ht="14.4" customHeight="1" x14ac:dyDescent="0.3">
      <c r="A37" s="686" t="s">
        <v>968</v>
      </c>
      <c r="B37" s="677" t="s">
        <v>924</v>
      </c>
      <c r="C37" s="677" t="s">
        <v>785</v>
      </c>
      <c r="D37" s="677" t="s">
        <v>925</v>
      </c>
      <c r="E37" s="677" t="s">
        <v>926</v>
      </c>
      <c r="F37" s="238"/>
      <c r="G37" s="238"/>
      <c r="H37" s="688">
        <v>0</v>
      </c>
      <c r="I37" s="238">
        <v>25</v>
      </c>
      <c r="J37" s="238">
        <v>8332.75</v>
      </c>
      <c r="K37" s="688">
        <v>1</v>
      </c>
      <c r="L37" s="238">
        <v>25</v>
      </c>
      <c r="M37" s="719">
        <v>8332.75</v>
      </c>
    </row>
    <row r="38" spans="1:13" ht="14.4" customHeight="1" x14ac:dyDescent="0.3">
      <c r="A38" s="686" t="s">
        <v>968</v>
      </c>
      <c r="B38" s="677" t="s">
        <v>924</v>
      </c>
      <c r="C38" s="677" t="s">
        <v>1079</v>
      </c>
      <c r="D38" s="677" t="s">
        <v>925</v>
      </c>
      <c r="E38" s="677" t="s">
        <v>926</v>
      </c>
      <c r="F38" s="238">
        <v>4</v>
      </c>
      <c r="G38" s="238">
        <v>1333.24</v>
      </c>
      <c r="H38" s="688">
        <v>1</v>
      </c>
      <c r="I38" s="238"/>
      <c r="J38" s="238"/>
      <c r="K38" s="688">
        <v>0</v>
      </c>
      <c r="L38" s="238">
        <v>4</v>
      </c>
      <c r="M38" s="719">
        <v>1333.24</v>
      </c>
    </row>
    <row r="39" spans="1:13" ht="14.4" customHeight="1" x14ac:dyDescent="0.3">
      <c r="A39" s="686" t="s">
        <v>968</v>
      </c>
      <c r="B39" s="677" t="s">
        <v>931</v>
      </c>
      <c r="C39" s="677" t="s">
        <v>801</v>
      </c>
      <c r="D39" s="677" t="s">
        <v>802</v>
      </c>
      <c r="E39" s="677" t="s">
        <v>803</v>
      </c>
      <c r="F39" s="238"/>
      <c r="G39" s="238"/>
      <c r="H39" s="688">
        <v>0</v>
      </c>
      <c r="I39" s="238">
        <v>5</v>
      </c>
      <c r="J39" s="238">
        <v>770.05</v>
      </c>
      <c r="K39" s="688">
        <v>1</v>
      </c>
      <c r="L39" s="238">
        <v>5</v>
      </c>
      <c r="M39" s="719">
        <v>770.05</v>
      </c>
    </row>
    <row r="40" spans="1:13" ht="14.4" customHeight="1" x14ac:dyDescent="0.3">
      <c r="A40" s="686" t="s">
        <v>968</v>
      </c>
      <c r="B40" s="677" t="s">
        <v>931</v>
      </c>
      <c r="C40" s="677" t="s">
        <v>1019</v>
      </c>
      <c r="D40" s="677" t="s">
        <v>1020</v>
      </c>
      <c r="E40" s="677" t="s">
        <v>1021</v>
      </c>
      <c r="F40" s="238"/>
      <c r="G40" s="238"/>
      <c r="H40" s="688">
        <v>0</v>
      </c>
      <c r="I40" s="238">
        <v>5</v>
      </c>
      <c r="J40" s="238">
        <v>385.05000000000007</v>
      </c>
      <c r="K40" s="688">
        <v>1</v>
      </c>
      <c r="L40" s="238">
        <v>5</v>
      </c>
      <c r="M40" s="719">
        <v>385.05000000000007</v>
      </c>
    </row>
    <row r="41" spans="1:13" ht="14.4" customHeight="1" x14ac:dyDescent="0.3">
      <c r="A41" s="686" t="s">
        <v>968</v>
      </c>
      <c r="B41" s="677" t="s">
        <v>937</v>
      </c>
      <c r="C41" s="677" t="s">
        <v>1026</v>
      </c>
      <c r="D41" s="677" t="s">
        <v>573</v>
      </c>
      <c r="E41" s="677" t="s">
        <v>1027</v>
      </c>
      <c r="F41" s="238"/>
      <c r="G41" s="238"/>
      <c r="H41" s="688">
        <v>0</v>
      </c>
      <c r="I41" s="238">
        <v>2</v>
      </c>
      <c r="J41" s="238">
        <v>96.62</v>
      </c>
      <c r="K41" s="688">
        <v>1</v>
      </c>
      <c r="L41" s="238">
        <v>2</v>
      </c>
      <c r="M41" s="719">
        <v>96.62</v>
      </c>
    </row>
    <row r="42" spans="1:13" ht="14.4" customHeight="1" x14ac:dyDescent="0.3">
      <c r="A42" s="686" t="s">
        <v>983</v>
      </c>
      <c r="B42" s="677" t="s">
        <v>924</v>
      </c>
      <c r="C42" s="677" t="s">
        <v>1061</v>
      </c>
      <c r="D42" s="677" t="s">
        <v>1062</v>
      </c>
      <c r="E42" s="677" t="s">
        <v>1063</v>
      </c>
      <c r="F42" s="238"/>
      <c r="G42" s="238"/>
      <c r="H42" s="688">
        <v>0</v>
      </c>
      <c r="I42" s="238">
        <v>1</v>
      </c>
      <c r="J42" s="238">
        <v>333.31</v>
      </c>
      <c r="K42" s="688">
        <v>1</v>
      </c>
      <c r="L42" s="238">
        <v>1</v>
      </c>
      <c r="M42" s="719">
        <v>333.31</v>
      </c>
    </row>
    <row r="43" spans="1:13" ht="14.4" customHeight="1" x14ac:dyDescent="0.3">
      <c r="A43" s="686" t="s">
        <v>969</v>
      </c>
      <c r="B43" s="677" t="s">
        <v>924</v>
      </c>
      <c r="C43" s="677" t="s">
        <v>785</v>
      </c>
      <c r="D43" s="677" t="s">
        <v>925</v>
      </c>
      <c r="E43" s="677" t="s">
        <v>926</v>
      </c>
      <c r="F43" s="238"/>
      <c r="G43" s="238"/>
      <c r="H43" s="688">
        <v>0</v>
      </c>
      <c r="I43" s="238">
        <v>31</v>
      </c>
      <c r="J43" s="238">
        <v>10332.610000000004</v>
      </c>
      <c r="K43" s="688">
        <v>1</v>
      </c>
      <c r="L43" s="238">
        <v>31</v>
      </c>
      <c r="M43" s="719">
        <v>10332.610000000004</v>
      </c>
    </row>
    <row r="44" spans="1:13" ht="14.4" customHeight="1" x14ac:dyDescent="0.3">
      <c r="A44" s="686" t="s">
        <v>969</v>
      </c>
      <c r="B44" s="677" t="s">
        <v>924</v>
      </c>
      <c r="C44" s="677" t="s">
        <v>1061</v>
      </c>
      <c r="D44" s="677" t="s">
        <v>1062</v>
      </c>
      <c r="E44" s="677" t="s">
        <v>1063</v>
      </c>
      <c r="F44" s="238"/>
      <c r="G44" s="238"/>
      <c r="H44" s="688">
        <v>0</v>
      </c>
      <c r="I44" s="238">
        <v>1</v>
      </c>
      <c r="J44" s="238">
        <v>333.31</v>
      </c>
      <c r="K44" s="688">
        <v>1</v>
      </c>
      <c r="L44" s="238">
        <v>1</v>
      </c>
      <c r="M44" s="719">
        <v>333.31</v>
      </c>
    </row>
    <row r="45" spans="1:13" ht="14.4" customHeight="1" x14ac:dyDescent="0.3">
      <c r="A45" s="686" t="s">
        <v>969</v>
      </c>
      <c r="B45" s="677" t="s">
        <v>931</v>
      </c>
      <c r="C45" s="677" t="s">
        <v>801</v>
      </c>
      <c r="D45" s="677" t="s">
        <v>802</v>
      </c>
      <c r="E45" s="677" t="s">
        <v>803</v>
      </c>
      <c r="F45" s="238"/>
      <c r="G45" s="238"/>
      <c r="H45" s="688">
        <v>0</v>
      </c>
      <c r="I45" s="238">
        <v>13</v>
      </c>
      <c r="J45" s="238">
        <v>2002.1299999999999</v>
      </c>
      <c r="K45" s="688">
        <v>1</v>
      </c>
      <c r="L45" s="238">
        <v>13</v>
      </c>
      <c r="M45" s="719">
        <v>2002.1299999999999</v>
      </c>
    </row>
    <row r="46" spans="1:13" ht="14.4" customHeight="1" x14ac:dyDescent="0.3">
      <c r="A46" s="686" t="s">
        <v>969</v>
      </c>
      <c r="B46" s="677" t="s">
        <v>931</v>
      </c>
      <c r="C46" s="677" t="s">
        <v>1019</v>
      </c>
      <c r="D46" s="677" t="s">
        <v>1020</v>
      </c>
      <c r="E46" s="677" t="s">
        <v>1021</v>
      </c>
      <c r="F46" s="238"/>
      <c r="G46" s="238"/>
      <c r="H46" s="688">
        <v>0</v>
      </c>
      <c r="I46" s="238">
        <v>2</v>
      </c>
      <c r="J46" s="238">
        <v>154.02000000000001</v>
      </c>
      <c r="K46" s="688">
        <v>1</v>
      </c>
      <c r="L46" s="238">
        <v>2</v>
      </c>
      <c r="M46" s="719">
        <v>154.02000000000001</v>
      </c>
    </row>
    <row r="47" spans="1:13" ht="14.4" customHeight="1" x14ac:dyDescent="0.3">
      <c r="A47" s="686" t="s">
        <v>969</v>
      </c>
      <c r="B47" s="677" t="s">
        <v>937</v>
      </c>
      <c r="C47" s="677" t="s">
        <v>1026</v>
      </c>
      <c r="D47" s="677" t="s">
        <v>573</v>
      </c>
      <c r="E47" s="677" t="s">
        <v>1027</v>
      </c>
      <c r="F47" s="238"/>
      <c r="G47" s="238"/>
      <c r="H47" s="688">
        <v>0</v>
      </c>
      <c r="I47" s="238">
        <v>1</v>
      </c>
      <c r="J47" s="238">
        <v>48.31</v>
      </c>
      <c r="K47" s="688">
        <v>1</v>
      </c>
      <c r="L47" s="238">
        <v>1</v>
      </c>
      <c r="M47" s="719">
        <v>48.31</v>
      </c>
    </row>
    <row r="48" spans="1:13" ht="14.4" customHeight="1" x14ac:dyDescent="0.3">
      <c r="A48" s="686" t="s">
        <v>970</v>
      </c>
      <c r="B48" s="677" t="s">
        <v>924</v>
      </c>
      <c r="C48" s="677" t="s">
        <v>785</v>
      </c>
      <c r="D48" s="677" t="s">
        <v>925</v>
      </c>
      <c r="E48" s="677" t="s">
        <v>926</v>
      </c>
      <c r="F48" s="238"/>
      <c r="G48" s="238"/>
      <c r="H48" s="688">
        <v>0</v>
      </c>
      <c r="I48" s="238">
        <v>1</v>
      </c>
      <c r="J48" s="238">
        <v>333.31</v>
      </c>
      <c r="K48" s="688">
        <v>1</v>
      </c>
      <c r="L48" s="238">
        <v>1</v>
      </c>
      <c r="M48" s="719">
        <v>333.31</v>
      </c>
    </row>
    <row r="49" spans="1:13" ht="14.4" customHeight="1" x14ac:dyDescent="0.3">
      <c r="A49" s="686" t="s">
        <v>970</v>
      </c>
      <c r="B49" s="677" t="s">
        <v>931</v>
      </c>
      <c r="C49" s="677" t="s">
        <v>1180</v>
      </c>
      <c r="D49" s="677" t="s">
        <v>802</v>
      </c>
      <c r="E49" s="677" t="s">
        <v>1181</v>
      </c>
      <c r="F49" s="238">
        <v>1</v>
      </c>
      <c r="G49" s="238">
        <v>0</v>
      </c>
      <c r="H49" s="688"/>
      <c r="I49" s="238"/>
      <c r="J49" s="238"/>
      <c r="K49" s="688"/>
      <c r="L49" s="238">
        <v>1</v>
      </c>
      <c r="M49" s="719">
        <v>0</v>
      </c>
    </row>
    <row r="50" spans="1:13" ht="14.4" customHeight="1" x14ac:dyDescent="0.3">
      <c r="A50" s="686" t="s">
        <v>971</v>
      </c>
      <c r="B50" s="677" t="s">
        <v>1202</v>
      </c>
      <c r="C50" s="677" t="s">
        <v>1107</v>
      </c>
      <c r="D50" s="677" t="s">
        <v>1108</v>
      </c>
      <c r="E50" s="677" t="s">
        <v>1109</v>
      </c>
      <c r="F50" s="238">
        <v>1</v>
      </c>
      <c r="G50" s="238">
        <v>200.07</v>
      </c>
      <c r="H50" s="688">
        <v>1</v>
      </c>
      <c r="I50" s="238"/>
      <c r="J50" s="238"/>
      <c r="K50" s="688">
        <v>0</v>
      </c>
      <c r="L50" s="238">
        <v>1</v>
      </c>
      <c r="M50" s="719">
        <v>200.07</v>
      </c>
    </row>
    <row r="51" spans="1:13" ht="14.4" customHeight="1" x14ac:dyDescent="0.3">
      <c r="A51" s="686" t="s">
        <v>971</v>
      </c>
      <c r="B51" s="677" t="s">
        <v>924</v>
      </c>
      <c r="C51" s="677" t="s">
        <v>785</v>
      </c>
      <c r="D51" s="677" t="s">
        <v>925</v>
      </c>
      <c r="E51" s="677" t="s">
        <v>926</v>
      </c>
      <c r="F51" s="238"/>
      <c r="G51" s="238"/>
      <c r="H51" s="688">
        <v>0</v>
      </c>
      <c r="I51" s="238">
        <v>4</v>
      </c>
      <c r="J51" s="238">
        <v>1333.24</v>
      </c>
      <c r="K51" s="688">
        <v>1</v>
      </c>
      <c r="L51" s="238">
        <v>4</v>
      </c>
      <c r="M51" s="719">
        <v>1333.24</v>
      </c>
    </row>
    <row r="52" spans="1:13" ht="14.4" customHeight="1" x14ac:dyDescent="0.3">
      <c r="A52" s="686" t="s">
        <v>971</v>
      </c>
      <c r="B52" s="677" t="s">
        <v>931</v>
      </c>
      <c r="C52" s="677" t="s">
        <v>801</v>
      </c>
      <c r="D52" s="677" t="s">
        <v>802</v>
      </c>
      <c r="E52" s="677" t="s">
        <v>803</v>
      </c>
      <c r="F52" s="238"/>
      <c r="G52" s="238"/>
      <c r="H52" s="688">
        <v>0</v>
      </c>
      <c r="I52" s="238">
        <v>4</v>
      </c>
      <c r="J52" s="238">
        <v>616.04</v>
      </c>
      <c r="K52" s="688">
        <v>1</v>
      </c>
      <c r="L52" s="238">
        <v>4</v>
      </c>
      <c r="M52" s="719">
        <v>616.04</v>
      </c>
    </row>
    <row r="53" spans="1:13" ht="14.4" customHeight="1" x14ac:dyDescent="0.3">
      <c r="A53" s="686" t="s">
        <v>971</v>
      </c>
      <c r="B53" s="677" t="s">
        <v>934</v>
      </c>
      <c r="C53" s="677" t="s">
        <v>1096</v>
      </c>
      <c r="D53" s="677" t="s">
        <v>1097</v>
      </c>
      <c r="E53" s="677" t="s">
        <v>1098</v>
      </c>
      <c r="F53" s="238"/>
      <c r="G53" s="238"/>
      <c r="H53" s="688">
        <v>0</v>
      </c>
      <c r="I53" s="238">
        <v>1</v>
      </c>
      <c r="J53" s="238">
        <v>3127.19</v>
      </c>
      <c r="K53" s="688">
        <v>1</v>
      </c>
      <c r="L53" s="238">
        <v>1</v>
      </c>
      <c r="M53" s="719">
        <v>3127.19</v>
      </c>
    </row>
    <row r="54" spans="1:13" ht="14.4" customHeight="1" x14ac:dyDescent="0.3">
      <c r="A54" s="686" t="s">
        <v>971</v>
      </c>
      <c r="B54" s="677" t="s">
        <v>937</v>
      </c>
      <c r="C54" s="677" t="s">
        <v>1026</v>
      </c>
      <c r="D54" s="677" t="s">
        <v>573</v>
      </c>
      <c r="E54" s="677" t="s">
        <v>1027</v>
      </c>
      <c r="F54" s="238"/>
      <c r="G54" s="238"/>
      <c r="H54" s="688">
        <v>0</v>
      </c>
      <c r="I54" s="238">
        <v>3</v>
      </c>
      <c r="J54" s="238">
        <v>144.93</v>
      </c>
      <c r="K54" s="688">
        <v>1</v>
      </c>
      <c r="L54" s="238">
        <v>3</v>
      </c>
      <c r="M54" s="719">
        <v>144.93</v>
      </c>
    </row>
    <row r="55" spans="1:13" ht="14.4" customHeight="1" x14ac:dyDescent="0.3">
      <c r="A55" s="686" t="s">
        <v>972</v>
      </c>
      <c r="B55" s="677" t="s">
        <v>924</v>
      </c>
      <c r="C55" s="677" t="s">
        <v>989</v>
      </c>
      <c r="D55" s="677" t="s">
        <v>925</v>
      </c>
      <c r="E55" s="677" t="s">
        <v>990</v>
      </c>
      <c r="F55" s="238">
        <v>1</v>
      </c>
      <c r="G55" s="238">
        <v>0</v>
      </c>
      <c r="H55" s="688"/>
      <c r="I55" s="238"/>
      <c r="J55" s="238"/>
      <c r="K55" s="688"/>
      <c r="L55" s="238">
        <v>1</v>
      </c>
      <c r="M55" s="719">
        <v>0</v>
      </c>
    </row>
    <row r="56" spans="1:13" ht="14.4" customHeight="1" x14ac:dyDescent="0.3">
      <c r="A56" s="686" t="s">
        <v>972</v>
      </c>
      <c r="B56" s="677" t="s">
        <v>924</v>
      </c>
      <c r="C56" s="677" t="s">
        <v>785</v>
      </c>
      <c r="D56" s="677" t="s">
        <v>925</v>
      </c>
      <c r="E56" s="677" t="s">
        <v>926</v>
      </c>
      <c r="F56" s="238"/>
      <c r="G56" s="238"/>
      <c r="H56" s="688">
        <v>0</v>
      </c>
      <c r="I56" s="238">
        <v>20</v>
      </c>
      <c r="J56" s="238">
        <v>6666.2000000000007</v>
      </c>
      <c r="K56" s="688">
        <v>1</v>
      </c>
      <c r="L56" s="238">
        <v>20</v>
      </c>
      <c r="M56" s="719">
        <v>6666.2000000000007</v>
      </c>
    </row>
    <row r="57" spans="1:13" ht="14.4" customHeight="1" x14ac:dyDescent="0.3">
      <c r="A57" s="686" t="s">
        <v>972</v>
      </c>
      <c r="B57" s="677" t="s">
        <v>929</v>
      </c>
      <c r="C57" s="677" t="s">
        <v>1110</v>
      </c>
      <c r="D57" s="677" t="s">
        <v>1111</v>
      </c>
      <c r="E57" s="677" t="s">
        <v>1112</v>
      </c>
      <c r="F57" s="238">
        <v>2</v>
      </c>
      <c r="G57" s="238">
        <v>0</v>
      </c>
      <c r="H57" s="688"/>
      <c r="I57" s="238"/>
      <c r="J57" s="238"/>
      <c r="K57" s="688"/>
      <c r="L57" s="238">
        <v>2</v>
      </c>
      <c r="M57" s="719">
        <v>0</v>
      </c>
    </row>
    <row r="58" spans="1:13" ht="14.4" customHeight="1" x14ac:dyDescent="0.3">
      <c r="A58" s="686" t="s">
        <v>972</v>
      </c>
      <c r="B58" s="677" t="s">
        <v>931</v>
      </c>
      <c r="C58" s="677" t="s">
        <v>801</v>
      </c>
      <c r="D58" s="677" t="s">
        <v>802</v>
      </c>
      <c r="E58" s="677" t="s">
        <v>803</v>
      </c>
      <c r="F58" s="238"/>
      <c r="G58" s="238"/>
      <c r="H58" s="688">
        <v>0</v>
      </c>
      <c r="I58" s="238">
        <v>9</v>
      </c>
      <c r="J58" s="238">
        <v>1386.09</v>
      </c>
      <c r="K58" s="688">
        <v>1</v>
      </c>
      <c r="L58" s="238">
        <v>9</v>
      </c>
      <c r="M58" s="719">
        <v>1386.09</v>
      </c>
    </row>
    <row r="59" spans="1:13" ht="14.4" customHeight="1" x14ac:dyDescent="0.3">
      <c r="A59" s="686" t="s">
        <v>973</v>
      </c>
      <c r="B59" s="677" t="s">
        <v>924</v>
      </c>
      <c r="C59" s="677" t="s">
        <v>989</v>
      </c>
      <c r="D59" s="677" t="s">
        <v>925</v>
      </c>
      <c r="E59" s="677" t="s">
        <v>990</v>
      </c>
      <c r="F59" s="238">
        <v>1</v>
      </c>
      <c r="G59" s="238">
        <v>0</v>
      </c>
      <c r="H59" s="688"/>
      <c r="I59" s="238"/>
      <c r="J59" s="238"/>
      <c r="K59" s="688"/>
      <c r="L59" s="238">
        <v>1</v>
      </c>
      <c r="M59" s="719">
        <v>0</v>
      </c>
    </row>
    <row r="60" spans="1:13" ht="14.4" customHeight="1" x14ac:dyDescent="0.3">
      <c r="A60" s="686" t="s">
        <v>973</v>
      </c>
      <c r="B60" s="677" t="s">
        <v>924</v>
      </c>
      <c r="C60" s="677" t="s">
        <v>785</v>
      </c>
      <c r="D60" s="677" t="s">
        <v>925</v>
      </c>
      <c r="E60" s="677" t="s">
        <v>926</v>
      </c>
      <c r="F60" s="238"/>
      <c r="G60" s="238"/>
      <c r="H60" s="688">
        <v>0</v>
      </c>
      <c r="I60" s="238">
        <v>3</v>
      </c>
      <c r="J60" s="238">
        <v>999.93000000000006</v>
      </c>
      <c r="K60" s="688">
        <v>1</v>
      </c>
      <c r="L60" s="238">
        <v>3</v>
      </c>
      <c r="M60" s="719">
        <v>999.93000000000006</v>
      </c>
    </row>
    <row r="61" spans="1:13" ht="14.4" customHeight="1" x14ac:dyDescent="0.3">
      <c r="A61" s="686" t="s">
        <v>973</v>
      </c>
      <c r="B61" s="677" t="s">
        <v>924</v>
      </c>
      <c r="C61" s="677" t="s">
        <v>1079</v>
      </c>
      <c r="D61" s="677" t="s">
        <v>925</v>
      </c>
      <c r="E61" s="677" t="s">
        <v>926</v>
      </c>
      <c r="F61" s="238">
        <v>2</v>
      </c>
      <c r="G61" s="238">
        <v>666.62</v>
      </c>
      <c r="H61" s="688">
        <v>1</v>
      </c>
      <c r="I61" s="238"/>
      <c r="J61" s="238"/>
      <c r="K61" s="688">
        <v>0</v>
      </c>
      <c r="L61" s="238">
        <v>2</v>
      </c>
      <c r="M61" s="719">
        <v>666.62</v>
      </c>
    </row>
    <row r="62" spans="1:13" ht="14.4" customHeight="1" x14ac:dyDescent="0.3">
      <c r="A62" s="686" t="s">
        <v>974</v>
      </c>
      <c r="B62" s="677" t="s">
        <v>1203</v>
      </c>
      <c r="C62" s="677" t="s">
        <v>1118</v>
      </c>
      <c r="D62" s="677" t="s">
        <v>1119</v>
      </c>
      <c r="E62" s="677" t="s">
        <v>1120</v>
      </c>
      <c r="F62" s="238"/>
      <c r="G62" s="238"/>
      <c r="H62" s="688">
        <v>0</v>
      </c>
      <c r="I62" s="238">
        <v>2</v>
      </c>
      <c r="J62" s="238">
        <v>83.1</v>
      </c>
      <c r="K62" s="688">
        <v>1</v>
      </c>
      <c r="L62" s="238">
        <v>2</v>
      </c>
      <c r="M62" s="719">
        <v>83.1</v>
      </c>
    </row>
    <row r="63" spans="1:13" ht="14.4" customHeight="1" x14ac:dyDescent="0.3">
      <c r="A63" s="686" t="s">
        <v>974</v>
      </c>
      <c r="B63" s="677" t="s">
        <v>924</v>
      </c>
      <c r="C63" s="677" t="s">
        <v>785</v>
      </c>
      <c r="D63" s="677" t="s">
        <v>925</v>
      </c>
      <c r="E63" s="677" t="s">
        <v>926</v>
      </c>
      <c r="F63" s="238"/>
      <c r="G63" s="238"/>
      <c r="H63" s="688">
        <v>0</v>
      </c>
      <c r="I63" s="238">
        <v>18</v>
      </c>
      <c r="J63" s="238">
        <v>5999.58</v>
      </c>
      <c r="K63" s="688">
        <v>1</v>
      </c>
      <c r="L63" s="238">
        <v>18</v>
      </c>
      <c r="M63" s="719">
        <v>5999.58</v>
      </c>
    </row>
    <row r="64" spans="1:13" ht="14.4" customHeight="1" x14ac:dyDescent="0.3">
      <c r="A64" s="686" t="s">
        <v>974</v>
      </c>
      <c r="B64" s="677" t="s">
        <v>931</v>
      </c>
      <c r="C64" s="677" t="s">
        <v>801</v>
      </c>
      <c r="D64" s="677" t="s">
        <v>802</v>
      </c>
      <c r="E64" s="677" t="s">
        <v>803</v>
      </c>
      <c r="F64" s="238"/>
      <c r="G64" s="238"/>
      <c r="H64" s="688">
        <v>0</v>
      </c>
      <c r="I64" s="238">
        <v>5</v>
      </c>
      <c r="J64" s="238">
        <v>770.05</v>
      </c>
      <c r="K64" s="688">
        <v>1</v>
      </c>
      <c r="L64" s="238">
        <v>5</v>
      </c>
      <c r="M64" s="719">
        <v>770.05</v>
      </c>
    </row>
    <row r="65" spans="1:13" ht="14.4" customHeight="1" x14ac:dyDescent="0.3">
      <c r="A65" s="686" t="s">
        <v>974</v>
      </c>
      <c r="B65" s="677" t="s">
        <v>937</v>
      </c>
      <c r="C65" s="677" t="s">
        <v>1026</v>
      </c>
      <c r="D65" s="677" t="s">
        <v>573</v>
      </c>
      <c r="E65" s="677" t="s">
        <v>1027</v>
      </c>
      <c r="F65" s="238"/>
      <c r="G65" s="238"/>
      <c r="H65" s="688">
        <v>0</v>
      </c>
      <c r="I65" s="238">
        <v>1</v>
      </c>
      <c r="J65" s="238">
        <v>48.31</v>
      </c>
      <c r="K65" s="688">
        <v>1</v>
      </c>
      <c r="L65" s="238">
        <v>1</v>
      </c>
      <c r="M65" s="719">
        <v>48.31</v>
      </c>
    </row>
    <row r="66" spans="1:13" ht="14.4" customHeight="1" x14ac:dyDescent="0.3">
      <c r="A66" s="686" t="s">
        <v>975</v>
      </c>
      <c r="B66" s="677" t="s">
        <v>924</v>
      </c>
      <c r="C66" s="677" t="s">
        <v>989</v>
      </c>
      <c r="D66" s="677" t="s">
        <v>925</v>
      </c>
      <c r="E66" s="677" t="s">
        <v>990</v>
      </c>
      <c r="F66" s="238">
        <v>1</v>
      </c>
      <c r="G66" s="238">
        <v>0</v>
      </c>
      <c r="H66" s="688"/>
      <c r="I66" s="238"/>
      <c r="J66" s="238"/>
      <c r="K66" s="688"/>
      <c r="L66" s="238">
        <v>1</v>
      </c>
      <c r="M66" s="719">
        <v>0</v>
      </c>
    </row>
    <row r="67" spans="1:13" ht="14.4" customHeight="1" x14ac:dyDescent="0.3">
      <c r="A67" s="686" t="s">
        <v>975</v>
      </c>
      <c r="B67" s="677" t="s">
        <v>924</v>
      </c>
      <c r="C67" s="677" t="s">
        <v>785</v>
      </c>
      <c r="D67" s="677" t="s">
        <v>925</v>
      </c>
      <c r="E67" s="677" t="s">
        <v>926</v>
      </c>
      <c r="F67" s="238"/>
      <c r="G67" s="238"/>
      <c r="H67" s="688">
        <v>0</v>
      </c>
      <c r="I67" s="238">
        <v>9</v>
      </c>
      <c r="J67" s="238">
        <v>2999.79</v>
      </c>
      <c r="K67" s="688">
        <v>1</v>
      </c>
      <c r="L67" s="238">
        <v>9</v>
      </c>
      <c r="M67" s="719">
        <v>2999.79</v>
      </c>
    </row>
    <row r="68" spans="1:13" ht="14.4" customHeight="1" x14ac:dyDescent="0.3">
      <c r="A68" s="686" t="s">
        <v>975</v>
      </c>
      <c r="B68" s="677" t="s">
        <v>929</v>
      </c>
      <c r="C68" s="677" t="s">
        <v>793</v>
      </c>
      <c r="D68" s="677" t="s">
        <v>794</v>
      </c>
      <c r="E68" s="677" t="s">
        <v>930</v>
      </c>
      <c r="F68" s="238"/>
      <c r="G68" s="238"/>
      <c r="H68" s="688">
        <v>0</v>
      </c>
      <c r="I68" s="238">
        <v>2</v>
      </c>
      <c r="J68" s="238">
        <v>368.44</v>
      </c>
      <c r="K68" s="688">
        <v>1</v>
      </c>
      <c r="L68" s="238">
        <v>2</v>
      </c>
      <c r="M68" s="719">
        <v>368.44</v>
      </c>
    </row>
    <row r="69" spans="1:13" ht="14.4" customHeight="1" x14ac:dyDescent="0.3">
      <c r="A69" s="686" t="s">
        <v>975</v>
      </c>
      <c r="B69" s="677" t="s">
        <v>931</v>
      </c>
      <c r="C69" s="677" t="s">
        <v>801</v>
      </c>
      <c r="D69" s="677" t="s">
        <v>802</v>
      </c>
      <c r="E69" s="677" t="s">
        <v>803</v>
      </c>
      <c r="F69" s="238"/>
      <c r="G69" s="238"/>
      <c r="H69" s="688">
        <v>0</v>
      </c>
      <c r="I69" s="238">
        <v>7</v>
      </c>
      <c r="J69" s="238">
        <v>1078.07</v>
      </c>
      <c r="K69" s="688">
        <v>1</v>
      </c>
      <c r="L69" s="238">
        <v>7</v>
      </c>
      <c r="M69" s="719">
        <v>1078.07</v>
      </c>
    </row>
    <row r="70" spans="1:13" ht="14.4" customHeight="1" x14ac:dyDescent="0.3">
      <c r="A70" s="686" t="s">
        <v>975</v>
      </c>
      <c r="B70" s="677" t="s">
        <v>934</v>
      </c>
      <c r="C70" s="677" t="s">
        <v>1131</v>
      </c>
      <c r="D70" s="677" t="s">
        <v>1097</v>
      </c>
      <c r="E70" s="677" t="s">
        <v>1132</v>
      </c>
      <c r="F70" s="238"/>
      <c r="G70" s="238"/>
      <c r="H70" s="688">
        <v>0</v>
      </c>
      <c r="I70" s="238">
        <v>1</v>
      </c>
      <c r="J70" s="238">
        <v>782.22</v>
      </c>
      <c r="K70" s="688">
        <v>1</v>
      </c>
      <c r="L70" s="238">
        <v>1</v>
      </c>
      <c r="M70" s="719">
        <v>782.22</v>
      </c>
    </row>
    <row r="71" spans="1:13" ht="14.4" customHeight="1" x14ac:dyDescent="0.3">
      <c r="A71" s="686" t="s">
        <v>975</v>
      </c>
      <c r="B71" s="677" t="s">
        <v>934</v>
      </c>
      <c r="C71" s="677" t="s">
        <v>1133</v>
      </c>
      <c r="D71" s="677" t="s">
        <v>1134</v>
      </c>
      <c r="E71" s="677" t="s">
        <v>1135</v>
      </c>
      <c r="F71" s="238"/>
      <c r="G71" s="238"/>
      <c r="H71" s="688">
        <v>0</v>
      </c>
      <c r="I71" s="238">
        <v>3</v>
      </c>
      <c r="J71" s="238">
        <v>543.03</v>
      </c>
      <c r="K71" s="688">
        <v>1</v>
      </c>
      <c r="L71" s="238">
        <v>3</v>
      </c>
      <c r="M71" s="719">
        <v>543.03</v>
      </c>
    </row>
    <row r="72" spans="1:13" ht="14.4" customHeight="1" x14ac:dyDescent="0.3">
      <c r="A72" s="686" t="s">
        <v>975</v>
      </c>
      <c r="B72" s="677" t="s">
        <v>937</v>
      </c>
      <c r="C72" s="677" t="s">
        <v>725</v>
      </c>
      <c r="D72" s="677" t="s">
        <v>573</v>
      </c>
      <c r="E72" s="677" t="s">
        <v>938</v>
      </c>
      <c r="F72" s="238"/>
      <c r="G72" s="238"/>
      <c r="H72" s="688">
        <v>0</v>
      </c>
      <c r="I72" s="238">
        <v>2</v>
      </c>
      <c r="J72" s="238">
        <v>193.26</v>
      </c>
      <c r="K72" s="688">
        <v>1</v>
      </c>
      <c r="L72" s="238">
        <v>2</v>
      </c>
      <c r="M72" s="719">
        <v>193.26</v>
      </c>
    </row>
    <row r="73" spans="1:13" ht="14.4" customHeight="1" x14ac:dyDescent="0.3">
      <c r="A73" s="686" t="s">
        <v>976</v>
      </c>
      <c r="B73" s="677" t="s">
        <v>924</v>
      </c>
      <c r="C73" s="677" t="s">
        <v>785</v>
      </c>
      <c r="D73" s="677" t="s">
        <v>925</v>
      </c>
      <c r="E73" s="677" t="s">
        <v>926</v>
      </c>
      <c r="F73" s="238"/>
      <c r="G73" s="238"/>
      <c r="H73" s="688">
        <v>0</v>
      </c>
      <c r="I73" s="238">
        <v>19</v>
      </c>
      <c r="J73" s="238">
        <v>6332.8899999999994</v>
      </c>
      <c r="K73" s="688">
        <v>1</v>
      </c>
      <c r="L73" s="238">
        <v>19</v>
      </c>
      <c r="M73" s="719">
        <v>6332.8899999999994</v>
      </c>
    </row>
    <row r="74" spans="1:13" ht="14.4" customHeight="1" x14ac:dyDescent="0.3">
      <c r="A74" s="686" t="s">
        <v>976</v>
      </c>
      <c r="B74" s="677" t="s">
        <v>924</v>
      </c>
      <c r="C74" s="677" t="s">
        <v>1061</v>
      </c>
      <c r="D74" s="677" t="s">
        <v>1062</v>
      </c>
      <c r="E74" s="677" t="s">
        <v>1063</v>
      </c>
      <c r="F74" s="238"/>
      <c r="G74" s="238"/>
      <c r="H74" s="688">
        <v>0</v>
      </c>
      <c r="I74" s="238">
        <v>1</v>
      </c>
      <c r="J74" s="238">
        <v>333.31</v>
      </c>
      <c r="K74" s="688">
        <v>1</v>
      </c>
      <c r="L74" s="238">
        <v>1</v>
      </c>
      <c r="M74" s="719">
        <v>333.31</v>
      </c>
    </row>
    <row r="75" spans="1:13" ht="14.4" customHeight="1" x14ac:dyDescent="0.3">
      <c r="A75" s="686" t="s">
        <v>976</v>
      </c>
      <c r="B75" s="677" t="s">
        <v>929</v>
      </c>
      <c r="C75" s="677" t="s">
        <v>793</v>
      </c>
      <c r="D75" s="677" t="s">
        <v>794</v>
      </c>
      <c r="E75" s="677" t="s">
        <v>930</v>
      </c>
      <c r="F75" s="238"/>
      <c r="G75" s="238"/>
      <c r="H75" s="688">
        <v>0</v>
      </c>
      <c r="I75" s="238">
        <v>7</v>
      </c>
      <c r="J75" s="238">
        <v>1289.54</v>
      </c>
      <c r="K75" s="688">
        <v>1</v>
      </c>
      <c r="L75" s="238">
        <v>7</v>
      </c>
      <c r="M75" s="719">
        <v>1289.54</v>
      </c>
    </row>
    <row r="76" spans="1:13" ht="14.4" customHeight="1" x14ac:dyDescent="0.3">
      <c r="A76" s="686" t="s">
        <v>976</v>
      </c>
      <c r="B76" s="677" t="s">
        <v>931</v>
      </c>
      <c r="C76" s="677" t="s">
        <v>801</v>
      </c>
      <c r="D76" s="677" t="s">
        <v>802</v>
      </c>
      <c r="E76" s="677" t="s">
        <v>803</v>
      </c>
      <c r="F76" s="238"/>
      <c r="G76" s="238"/>
      <c r="H76" s="688">
        <v>0</v>
      </c>
      <c r="I76" s="238">
        <v>6</v>
      </c>
      <c r="J76" s="238">
        <v>924.06</v>
      </c>
      <c r="K76" s="688">
        <v>1</v>
      </c>
      <c r="L76" s="238">
        <v>6</v>
      </c>
      <c r="M76" s="719">
        <v>924.06</v>
      </c>
    </row>
    <row r="77" spans="1:13" ht="14.4" customHeight="1" x14ac:dyDescent="0.3">
      <c r="A77" s="686" t="s">
        <v>976</v>
      </c>
      <c r="B77" s="677" t="s">
        <v>937</v>
      </c>
      <c r="C77" s="677" t="s">
        <v>1026</v>
      </c>
      <c r="D77" s="677" t="s">
        <v>573</v>
      </c>
      <c r="E77" s="677" t="s">
        <v>1027</v>
      </c>
      <c r="F77" s="238"/>
      <c r="G77" s="238"/>
      <c r="H77" s="688">
        <v>0</v>
      </c>
      <c r="I77" s="238">
        <v>1</v>
      </c>
      <c r="J77" s="238">
        <v>48.31</v>
      </c>
      <c r="K77" s="688">
        <v>1</v>
      </c>
      <c r="L77" s="238">
        <v>1</v>
      </c>
      <c r="M77" s="719">
        <v>48.31</v>
      </c>
    </row>
    <row r="78" spans="1:13" ht="14.4" customHeight="1" x14ac:dyDescent="0.3">
      <c r="A78" s="686" t="s">
        <v>976</v>
      </c>
      <c r="B78" s="677" t="s">
        <v>937</v>
      </c>
      <c r="C78" s="677" t="s">
        <v>1147</v>
      </c>
      <c r="D78" s="677" t="s">
        <v>1148</v>
      </c>
      <c r="E78" s="677" t="s">
        <v>1149</v>
      </c>
      <c r="F78" s="238">
        <v>2</v>
      </c>
      <c r="G78" s="238">
        <v>0</v>
      </c>
      <c r="H78" s="688"/>
      <c r="I78" s="238"/>
      <c r="J78" s="238"/>
      <c r="K78" s="688"/>
      <c r="L78" s="238">
        <v>2</v>
      </c>
      <c r="M78" s="719">
        <v>0</v>
      </c>
    </row>
    <row r="79" spans="1:13" ht="14.4" customHeight="1" x14ac:dyDescent="0.3">
      <c r="A79" s="686" t="s">
        <v>982</v>
      </c>
      <c r="B79" s="677" t="s">
        <v>924</v>
      </c>
      <c r="C79" s="677" t="s">
        <v>785</v>
      </c>
      <c r="D79" s="677" t="s">
        <v>925</v>
      </c>
      <c r="E79" s="677" t="s">
        <v>926</v>
      </c>
      <c r="F79" s="238"/>
      <c r="G79" s="238"/>
      <c r="H79" s="688">
        <v>0</v>
      </c>
      <c r="I79" s="238">
        <v>3</v>
      </c>
      <c r="J79" s="238">
        <v>999.93000000000006</v>
      </c>
      <c r="K79" s="688">
        <v>1</v>
      </c>
      <c r="L79" s="238">
        <v>3</v>
      </c>
      <c r="M79" s="719">
        <v>999.93000000000006</v>
      </c>
    </row>
    <row r="80" spans="1:13" ht="14.4" customHeight="1" x14ac:dyDescent="0.3">
      <c r="A80" s="686" t="s">
        <v>977</v>
      </c>
      <c r="B80" s="677" t="s">
        <v>924</v>
      </c>
      <c r="C80" s="677" t="s">
        <v>989</v>
      </c>
      <c r="D80" s="677" t="s">
        <v>925</v>
      </c>
      <c r="E80" s="677" t="s">
        <v>990</v>
      </c>
      <c r="F80" s="238">
        <v>6</v>
      </c>
      <c r="G80" s="238">
        <v>0</v>
      </c>
      <c r="H80" s="688"/>
      <c r="I80" s="238"/>
      <c r="J80" s="238"/>
      <c r="K80" s="688"/>
      <c r="L80" s="238">
        <v>6</v>
      </c>
      <c r="M80" s="719">
        <v>0</v>
      </c>
    </row>
    <row r="81" spans="1:13" ht="14.4" customHeight="1" x14ac:dyDescent="0.3">
      <c r="A81" s="686" t="s">
        <v>977</v>
      </c>
      <c r="B81" s="677" t="s">
        <v>937</v>
      </c>
      <c r="C81" s="677" t="s">
        <v>1158</v>
      </c>
      <c r="D81" s="677" t="s">
        <v>573</v>
      </c>
      <c r="E81" s="677" t="s">
        <v>1159</v>
      </c>
      <c r="F81" s="238">
        <v>1</v>
      </c>
      <c r="G81" s="238">
        <v>0</v>
      </c>
      <c r="H81" s="688"/>
      <c r="I81" s="238"/>
      <c r="J81" s="238"/>
      <c r="K81" s="688"/>
      <c r="L81" s="238">
        <v>1</v>
      </c>
      <c r="M81" s="719">
        <v>0</v>
      </c>
    </row>
    <row r="82" spans="1:13" ht="14.4" customHeight="1" x14ac:dyDescent="0.3">
      <c r="A82" s="686" t="s">
        <v>977</v>
      </c>
      <c r="B82" s="677" t="s">
        <v>937</v>
      </c>
      <c r="C82" s="677" t="s">
        <v>1160</v>
      </c>
      <c r="D82" s="677" t="s">
        <v>573</v>
      </c>
      <c r="E82" s="677" t="s">
        <v>1120</v>
      </c>
      <c r="F82" s="238">
        <v>1</v>
      </c>
      <c r="G82" s="238">
        <v>0</v>
      </c>
      <c r="H82" s="688"/>
      <c r="I82" s="238"/>
      <c r="J82" s="238"/>
      <c r="K82" s="688"/>
      <c r="L82" s="238">
        <v>1</v>
      </c>
      <c r="M82" s="719">
        <v>0</v>
      </c>
    </row>
    <row r="83" spans="1:13" ht="14.4" customHeight="1" x14ac:dyDescent="0.3">
      <c r="A83" s="686" t="s">
        <v>977</v>
      </c>
      <c r="B83" s="677" t="s">
        <v>1200</v>
      </c>
      <c r="C83" s="677" t="s">
        <v>1151</v>
      </c>
      <c r="D83" s="677" t="s">
        <v>1152</v>
      </c>
      <c r="E83" s="677" t="s">
        <v>1153</v>
      </c>
      <c r="F83" s="238">
        <v>1</v>
      </c>
      <c r="G83" s="238">
        <v>0</v>
      </c>
      <c r="H83" s="688"/>
      <c r="I83" s="238"/>
      <c r="J83" s="238"/>
      <c r="K83" s="688"/>
      <c r="L83" s="238">
        <v>1</v>
      </c>
      <c r="M83" s="719">
        <v>0</v>
      </c>
    </row>
    <row r="84" spans="1:13" ht="14.4" customHeight="1" x14ac:dyDescent="0.3">
      <c r="A84" s="686" t="s">
        <v>978</v>
      </c>
      <c r="B84" s="677" t="s">
        <v>924</v>
      </c>
      <c r="C84" s="677" t="s">
        <v>785</v>
      </c>
      <c r="D84" s="677" t="s">
        <v>925</v>
      </c>
      <c r="E84" s="677" t="s">
        <v>926</v>
      </c>
      <c r="F84" s="238"/>
      <c r="G84" s="238"/>
      <c r="H84" s="688">
        <v>0</v>
      </c>
      <c r="I84" s="238">
        <v>4</v>
      </c>
      <c r="J84" s="238">
        <v>1333.24</v>
      </c>
      <c r="K84" s="688">
        <v>1</v>
      </c>
      <c r="L84" s="238">
        <v>4</v>
      </c>
      <c r="M84" s="719">
        <v>1333.24</v>
      </c>
    </row>
    <row r="85" spans="1:13" ht="14.4" customHeight="1" x14ac:dyDescent="0.3">
      <c r="A85" s="686" t="s">
        <v>978</v>
      </c>
      <c r="B85" s="677" t="s">
        <v>931</v>
      </c>
      <c r="C85" s="677" t="s">
        <v>801</v>
      </c>
      <c r="D85" s="677" t="s">
        <v>802</v>
      </c>
      <c r="E85" s="677" t="s">
        <v>803</v>
      </c>
      <c r="F85" s="238"/>
      <c r="G85" s="238"/>
      <c r="H85" s="688">
        <v>0</v>
      </c>
      <c r="I85" s="238">
        <v>3</v>
      </c>
      <c r="J85" s="238">
        <v>462.03</v>
      </c>
      <c r="K85" s="688">
        <v>1</v>
      </c>
      <c r="L85" s="238">
        <v>3</v>
      </c>
      <c r="M85" s="719">
        <v>462.03</v>
      </c>
    </row>
    <row r="86" spans="1:13" ht="14.4" customHeight="1" x14ac:dyDescent="0.3">
      <c r="A86" s="686" t="s">
        <v>978</v>
      </c>
      <c r="B86" s="677" t="s">
        <v>1204</v>
      </c>
      <c r="C86" s="677" t="s">
        <v>1162</v>
      </c>
      <c r="D86" s="677" t="s">
        <v>1163</v>
      </c>
      <c r="E86" s="677" t="s">
        <v>1164</v>
      </c>
      <c r="F86" s="238"/>
      <c r="G86" s="238"/>
      <c r="H86" s="688">
        <v>0</v>
      </c>
      <c r="I86" s="238">
        <v>1</v>
      </c>
      <c r="J86" s="238">
        <v>216.16</v>
      </c>
      <c r="K86" s="688">
        <v>1</v>
      </c>
      <c r="L86" s="238">
        <v>1</v>
      </c>
      <c r="M86" s="719">
        <v>216.16</v>
      </c>
    </row>
    <row r="87" spans="1:13" ht="14.4" customHeight="1" x14ac:dyDescent="0.3">
      <c r="A87" s="686" t="s">
        <v>979</v>
      </c>
      <c r="B87" s="677" t="s">
        <v>924</v>
      </c>
      <c r="C87" s="677" t="s">
        <v>785</v>
      </c>
      <c r="D87" s="677" t="s">
        <v>925</v>
      </c>
      <c r="E87" s="677" t="s">
        <v>926</v>
      </c>
      <c r="F87" s="238"/>
      <c r="G87" s="238"/>
      <c r="H87" s="688">
        <v>0</v>
      </c>
      <c r="I87" s="238">
        <v>1</v>
      </c>
      <c r="J87" s="238">
        <v>333.31</v>
      </c>
      <c r="K87" s="688">
        <v>1</v>
      </c>
      <c r="L87" s="238">
        <v>1</v>
      </c>
      <c r="M87" s="719">
        <v>333.31</v>
      </c>
    </row>
    <row r="88" spans="1:13" ht="14.4" customHeight="1" x14ac:dyDescent="0.3">
      <c r="A88" s="686" t="s">
        <v>980</v>
      </c>
      <c r="B88" s="677" t="s">
        <v>924</v>
      </c>
      <c r="C88" s="677" t="s">
        <v>785</v>
      </c>
      <c r="D88" s="677" t="s">
        <v>925</v>
      </c>
      <c r="E88" s="677" t="s">
        <v>926</v>
      </c>
      <c r="F88" s="238"/>
      <c r="G88" s="238"/>
      <c r="H88" s="688">
        <v>0</v>
      </c>
      <c r="I88" s="238">
        <v>2</v>
      </c>
      <c r="J88" s="238">
        <v>666.62</v>
      </c>
      <c r="K88" s="688">
        <v>1</v>
      </c>
      <c r="L88" s="238">
        <v>2</v>
      </c>
      <c r="M88" s="719">
        <v>666.62</v>
      </c>
    </row>
    <row r="89" spans="1:13" ht="14.4" customHeight="1" x14ac:dyDescent="0.3">
      <c r="A89" s="686" t="s">
        <v>980</v>
      </c>
      <c r="B89" s="677" t="s">
        <v>931</v>
      </c>
      <c r="C89" s="677" t="s">
        <v>801</v>
      </c>
      <c r="D89" s="677" t="s">
        <v>802</v>
      </c>
      <c r="E89" s="677" t="s">
        <v>803</v>
      </c>
      <c r="F89" s="238"/>
      <c r="G89" s="238"/>
      <c r="H89" s="688">
        <v>0</v>
      </c>
      <c r="I89" s="238">
        <v>2</v>
      </c>
      <c r="J89" s="238">
        <v>308.02</v>
      </c>
      <c r="K89" s="688">
        <v>1</v>
      </c>
      <c r="L89" s="238">
        <v>2</v>
      </c>
      <c r="M89" s="719">
        <v>308.02</v>
      </c>
    </row>
    <row r="90" spans="1:13" ht="14.4" customHeight="1" x14ac:dyDescent="0.3">
      <c r="A90" s="686" t="s">
        <v>980</v>
      </c>
      <c r="B90" s="677" t="s">
        <v>931</v>
      </c>
      <c r="C90" s="677" t="s">
        <v>1019</v>
      </c>
      <c r="D90" s="677" t="s">
        <v>1020</v>
      </c>
      <c r="E90" s="677" t="s">
        <v>1021</v>
      </c>
      <c r="F90" s="238"/>
      <c r="G90" s="238"/>
      <c r="H90" s="688">
        <v>0</v>
      </c>
      <c r="I90" s="238">
        <v>1</v>
      </c>
      <c r="J90" s="238">
        <v>77.010000000000005</v>
      </c>
      <c r="K90" s="688">
        <v>1</v>
      </c>
      <c r="L90" s="238">
        <v>1</v>
      </c>
      <c r="M90" s="719">
        <v>77.010000000000005</v>
      </c>
    </row>
    <row r="91" spans="1:13" ht="14.4" customHeight="1" thickBot="1" x14ac:dyDescent="0.35">
      <c r="A91" s="642" t="s">
        <v>981</v>
      </c>
      <c r="B91" s="679" t="s">
        <v>924</v>
      </c>
      <c r="C91" s="679" t="s">
        <v>785</v>
      </c>
      <c r="D91" s="679" t="s">
        <v>925</v>
      </c>
      <c r="E91" s="679" t="s">
        <v>926</v>
      </c>
      <c r="F91" s="680"/>
      <c r="G91" s="680"/>
      <c r="H91" s="689">
        <v>0</v>
      </c>
      <c r="I91" s="680">
        <v>5</v>
      </c>
      <c r="J91" s="680">
        <v>1666.5500000000002</v>
      </c>
      <c r="K91" s="689">
        <v>1</v>
      </c>
      <c r="L91" s="680">
        <v>5</v>
      </c>
      <c r="M91" s="720">
        <v>1666.5500000000002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3">
    <tabColor theme="3" tint="0.39997558519241921"/>
    <pageSetUpPr fitToPage="1"/>
  </sheetPr>
  <dimension ref="A1:I51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344" bestFit="1" customWidth="1"/>
    <col min="2" max="2" width="9.33203125" style="344" customWidth="1"/>
    <col min="3" max="3" width="28.88671875" style="260" bestFit="1" customWidth="1"/>
    <col min="4" max="5" width="11.109375" style="345" customWidth="1"/>
    <col min="6" max="6" width="6.6640625" style="346" customWidth="1"/>
    <col min="7" max="7" width="12.21875" style="343" bestFit="1" customWidth="1"/>
    <col min="8" max="8" width="0" style="260" hidden="1" customWidth="1"/>
    <col min="9" max="16384" width="8.88671875" style="260"/>
  </cols>
  <sheetData>
    <row r="1" spans="1:9" ht="18.600000000000001" customHeight="1" thickBot="1" x14ac:dyDescent="0.4">
      <c r="A1" s="486" t="s">
        <v>182</v>
      </c>
      <c r="B1" s="487"/>
      <c r="C1" s="487"/>
      <c r="D1" s="487"/>
      <c r="E1" s="487"/>
      <c r="F1" s="487"/>
      <c r="G1" s="463"/>
    </row>
    <row r="2" spans="1:9" ht="14.4" customHeight="1" thickBot="1" x14ac:dyDescent="0.35">
      <c r="A2" s="389" t="s">
        <v>299</v>
      </c>
      <c r="B2" s="342"/>
      <c r="C2" s="342"/>
      <c r="D2" s="342"/>
      <c r="E2" s="342"/>
      <c r="F2" s="342"/>
    </row>
    <row r="3" spans="1:9" ht="14.4" customHeight="1" thickBot="1" x14ac:dyDescent="0.35">
      <c r="A3" s="106" t="s">
        <v>0</v>
      </c>
      <c r="B3" s="107" t="s">
        <v>1</v>
      </c>
      <c r="C3" s="210" t="s">
        <v>2</v>
      </c>
      <c r="D3" s="211" t="s">
        <v>3</v>
      </c>
      <c r="E3" s="211" t="s">
        <v>4</v>
      </c>
      <c r="F3" s="211" t="s">
        <v>5</v>
      </c>
      <c r="G3" s="212" t="s">
        <v>188</v>
      </c>
    </row>
    <row r="4" spans="1:9" ht="14.4" customHeight="1" x14ac:dyDescent="0.3">
      <c r="A4" s="621" t="s">
        <v>507</v>
      </c>
      <c r="B4" s="622" t="s">
        <v>508</v>
      </c>
      <c r="C4" s="623" t="s">
        <v>509</v>
      </c>
      <c r="D4" s="623" t="s">
        <v>508</v>
      </c>
      <c r="E4" s="623" t="s">
        <v>508</v>
      </c>
      <c r="F4" s="624" t="s">
        <v>508</v>
      </c>
      <c r="G4" s="623" t="s">
        <v>508</v>
      </c>
      <c r="H4" s="623" t="s">
        <v>77</v>
      </c>
      <c r="I4"/>
    </row>
    <row r="5" spans="1:9" ht="14.4" customHeight="1" x14ac:dyDescent="0.3">
      <c r="A5" s="621" t="s">
        <v>507</v>
      </c>
      <c r="B5" s="622" t="s">
        <v>1206</v>
      </c>
      <c r="C5" s="623" t="s">
        <v>1207</v>
      </c>
      <c r="D5" s="623">
        <v>80.031581900980839</v>
      </c>
      <c r="E5" s="623">
        <v>14.0448</v>
      </c>
      <c r="F5" s="624">
        <v>0.17549072086788117</v>
      </c>
      <c r="G5" s="623">
        <v>-65.986781900980844</v>
      </c>
      <c r="H5" s="623" t="s">
        <v>2</v>
      </c>
      <c r="I5"/>
    </row>
    <row r="6" spans="1:9" ht="14.4" customHeight="1" x14ac:dyDescent="0.3">
      <c r="A6" s="621" t="s">
        <v>507</v>
      </c>
      <c r="B6" s="622" t="s">
        <v>1208</v>
      </c>
      <c r="C6" s="623" t="s">
        <v>1209</v>
      </c>
      <c r="D6" s="623">
        <v>42829.263301340507</v>
      </c>
      <c r="E6" s="623">
        <v>31013.66</v>
      </c>
      <c r="F6" s="624">
        <v>0.72412312539191648</v>
      </c>
      <c r="G6" s="623">
        <v>-11815.603301340507</v>
      </c>
      <c r="H6" s="623" t="s">
        <v>2</v>
      </c>
      <c r="I6"/>
    </row>
    <row r="7" spans="1:9" ht="14.4" customHeight="1" x14ac:dyDescent="0.3">
      <c r="A7" s="621" t="s">
        <v>507</v>
      </c>
      <c r="B7" s="622" t="s">
        <v>1210</v>
      </c>
      <c r="C7" s="623" t="s">
        <v>1211</v>
      </c>
      <c r="D7" s="623">
        <v>80832.724388333838</v>
      </c>
      <c r="E7" s="623">
        <v>43571.840000000004</v>
      </c>
      <c r="F7" s="624">
        <v>0.53903713291505118</v>
      </c>
      <c r="G7" s="623">
        <v>-37260.884388333834</v>
      </c>
      <c r="H7" s="623" t="s">
        <v>2</v>
      </c>
      <c r="I7"/>
    </row>
    <row r="8" spans="1:9" ht="14.4" customHeight="1" x14ac:dyDescent="0.3">
      <c r="A8" s="621" t="s">
        <v>507</v>
      </c>
      <c r="B8" s="622" t="s">
        <v>1212</v>
      </c>
      <c r="C8" s="623" t="s">
        <v>1213</v>
      </c>
      <c r="D8" s="623">
        <v>3577.9057758139165</v>
      </c>
      <c r="E8" s="623">
        <v>3852</v>
      </c>
      <c r="F8" s="624">
        <v>1.0766074461879118</v>
      </c>
      <c r="G8" s="623">
        <v>274.09422418608347</v>
      </c>
      <c r="H8" s="623" t="s">
        <v>2</v>
      </c>
      <c r="I8"/>
    </row>
    <row r="9" spans="1:9" ht="14.4" customHeight="1" x14ac:dyDescent="0.3">
      <c r="A9" s="621" t="s">
        <v>507</v>
      </c>
      <c r="B9" s="622" t="s">
        <v>1214</v>
      </c>
      <c r="C9" s="623" t="s">
        <v>1215</v>
      </c>
      <c r="D9" s="623">
        <v>157801.0161611161</v>
      </c>
      <c r="E9" s="623">
        <v>169836.09999999998</v>
      </c>
      <c r="F9" s="624">
        <v>1.0762674672930874</v>
      </c>
      <c r="G9" s="623">
        <v>12035.083838883875</v>
      </c>
      <c r="H9" s="623" t="s">
        <v>2</v>
      </c>
      <c r="I9"/>
    </row>
    <row r="10" spans="1:9" ht="14.4" customHeight="1" x14ac:dyDescent="0.3">
      <c r="A10" s="621" t="s">
        <v>507</v>
      </c>
      <c r="B10" s="622" t="s">
        <v>1216</v>
      </c>
      <c r="C10" s="623" t="s">
        <v>1217</v>
      </c>
      <c r="D10" s="623">
        <v>3893.027261460767</v>
      </c>
      <c r="E10" s="623">
        <v>2299</v>
      </c>
      <c r="F10" s="624">
        <v>0.5905430004970873</v>
      </c>
      <c r="G10" s="623">
        <v>-1594.027261460767</v>
      </c>
      <c r="H10" s="623" t="s">
        <v>2</v>
      </c>
      <c r="I10"/>
    </row>
    <row r="11" spans="1:9" ht="14.4" customHeight="1" x14ac:dyDescent="0.3">
      <c r="A11" s="621" t="s">
        <v>507</v>
      </c>
      <c r="B11" s="622" t="s">
        <v>1218</v>
      </c>
      <c r="C11" s="623" t="s">
        <v>1219</v>
      </c>
      <c r="D11" s="623">
        <v>55085.689009517235</v>
      </c>
      <c r="E11" s="623">
        <v>14301.089999999998</v>
      </c>
      <c r="F11" s="624">
        <v>0.25961534215409704</v>
      </c>
      <c r="G11" s="623">
        <v>-40784.599009517238</v>
      </c>
      <c r="H11" s="623" t="s">
        <v>2</v>
      </c>
      <c r="I11"/>
    </row>
    <row r="12" spans="1:9" ht="14.4" customHeight="1" x14ac:dyDescent="0.3">
      <c r="A12" s="621" t="s">
        <v>507</v>
      </c>
      <c r="B12" s="622" t="s">
        <v>1220</v>
      </c>
      <c r="C12" s="623" t="s">
        <v>1221</v>
      </c>
      <c r="D12" s="623">
        <v>1275.8498097445683</v>
      </c>
      <c r="E12" s="623">
        <v>2130.52</v>
      </c>
      <c r="F12" s="624">
        <v>1.6698830722297486</v>
      </c>
      <c r="G12" s="623">
        <v>854.67019025543163</v>
      </c>
      <c r="H12" s="623" t="s">
        <v>2</v>
      </c>
      <c r="I12"/>
    </row>
    <row r="13" spans="1:9" ht="14.4" customHeight="1" x14ac:dyDescent="0.3">
      <c r="A13" s="621" t="s">
        <v>507</v>
      </c>
      <c r="B13" s="622" t="s">
        <v>1222</v>
      </c>
      <c r="C13" s="623" t="s">
        <v>1223</v>
      </c>
      <c r="D13" s="623">
        <v>21326.563712149033</v>
      </c>
      <c r="E13" s="623">
        <v>18587.93</v>
      </c>
      <c r="F13" s="624">
        <v>0.8715857955780788</v>
      </c>
      <c r="G13" s="623">
        <v>-2738.6337121490324</v>
      </c>
      <c r="H13" s="623" t="s">
        <v>2</v>
      </c>
      <c r="I13"/>
    </row>
    <row r="14" spans="1:9" ht="14.4" customHeight="1" x14ac:dyDescent="0.3">
      <c r="A14" s="621" t="s">
        <v>507</v>
      </c>
      <c r="B14" s="622" t="s">
        <v>6</v>
      </c>
      <c r="C14" s="623" t="s">
        <v>509</v>
      </c>
      <c r="D14" s="623">
        <v>369224.99052082095</v>
      </c>
      <c r="E14" s="623">
        <v>285606.18479999999</v>
      </c>
      <c r="F14" s="624">
        <v>0.77352885674702021</v>
      </c>
      <c r="G14" s="623">
        <v>-83618.805720820965</v>
      </c>
      <c r="H14" s="623" t="s">
        <v>520</v>
      </c>
      <c r="I14"/>
    </row>
    <row r="16" spans="1:9" ht="14.4" customHeight="1" x14ac:dyDescent="0.3">
      <c r="A16" s="621" t="s">
        <v>507</v>
      </c>
      <c r="B16" s="622" t="s">
        <v>508</v>
      </c>
      <c r="C16" s="623" t="s">
        <v>509</v>
      </c>
      <c r="D16" s="623" t="s">
        <v>508</v>
      </c>
      <c r="E16" s="623" t="s">
        <v>508</v>
      </c>
      <c r="F16" s="624" t="s">
        <v>508</v>
      </c>
      <c r="G16" s="623" t="s">
        <v>508</v>
      </c>
      <c r="H16" s="623" t="s">
        <v>77</v>
      </c>
      <c r="I16"/>
    </row>
    <row r="17" spans="1:9" ht="14.4" customHeight="1" x14ac:dyDescent="0.3">
      <c r="A17" s="621" t="s">
        <v>521</v>
      </c>
      <c r="B17" s="622" t="s">
        <v>1208</v>
      </c>
      <c r="C17" s="623" t="s">
        <v>1209</v>
      </c>
      <c r="D17" s="623">
        <v>5199.9180518781332</v>
      </c>
      <c r="E17" s="623">
        <v>1341.56</v>
      </c>
      <c r="F17" s="624">
        <v>0.25799637352274202</v>
      </c>
      <c r="G17" s="623">
        <v>-3858.3580518781332</v>
      </c>
      <c r="H17" s="623" t="s">
        <v>2</v>
      </c>
      <c r="I17"/>
    </row>
    <row r="18" spans="1:9" ht="14.4" customHeight="1" x14ac:dyDescent="0.3">
      <c r="A18" s="621" t="s">
        <v>521</v>
      </c>
      <c r="B18" s="622" t="s">
        <v>1210</v>
      </c>
      <c r="C18" s="623" t="s">
        <v>1211</v>
      </c>
      <c r="D18" s="623">
        <v>18730.852260400832</v>
      </c>
      <c r="E18" s="623">
        <v>5006.2</v>
      </c>
      <c r="F18" s="624">
        <v>0.26727027315162161</v>
      </c>
      <c r="G18" s="623">
        <v>-13724.652260400831</v>
      </c>
      <c r="H18" s="623" t="s">
        <v>2</v>
      </c>
      <c r="I18"/>
    </row>
    <row r="19" spans="1:9" ht="14.4" customHeight="1" x14ac:dyDescent="0.3">
      <c r="A19" s="621" t="s">
        <v>521</v>
      </c>
      <c r="B19" s="622" t="s">
        <v>1216</v>
      </c>
      <c r="C19" s="623" t="s">
        <v>1217</v>
      </c>
      <c r="D19" s="623">
        <v>3893.027261460767</v>
      </c>
      <c r="E19" s="623">
        <v>2299</v>
      </c>
      <c r="F19" s="624">
        <v>0.5905430004970873</v>
      </c>
      <c r="G19" s="623">
        <v>-1594.027261460767</v>
      </c>
      <c r="H19" s="623" t="s">
        <v>2</v>
      </c>
      <c r="I19"/>
    </row>
    <row r="20" spans="1:9" ht="14.4" customHeight="1" x14ac:dyDescent="0.3">
      <c r="A20" s="621" t="s">
        <v>521</v>
      </c>
      <c r="B20" s="622" t="s">
        <v>1218</v>
      </c>
      <c r="C20" s="623" t="s">
        <v>1219</v>
      </c>
      <c r="D20" s="623">
        <v>5004.9040592028832</v>
      </c>
      <c r="E20" s="623">
        <v>1657.36</v>
      </c>
      <c r="F20" s="624">
        <v>0.33114720689850002</v>
      </c>
      <c r="G20" s="623">
        <v>-3347.5440592028835</v>
      </c>
      <c r="H20" s="623" t="s">
        <v>2</v>
      </c>
      <c r="I20"/>
    </row>
    <row r="21" spans="1:9" ht="14.4" customHeight="1" x14ac:dyDescent="0.3">
      <c r="A21" s="621" t="s">
        <v>521</v>
      </c>
      <c r="B21" s="622" t="s">
        <v>1220</v>
      </c>
      <c r="C21" s="623" t="s">
        <v>1221</v>
      </c>
      <c r="D21" s="623">
        <v>277.5601007215883</v>
      </c>
      <c r="E21" s="623">
        <v>240</v>
      </c>
      <c r="F21" s="624">
        <v>0.8646775937033413</v>
      </c>
      <c r="G21" s="623">
        <v>-37.560100721588299</v>
      </c>
      <c r="H21" s="623" t="s">
        <v>2</v>
      </c>
      <c r="I21"/>
    </row>
    <row r="22" spans="1:9" ht="14.4" customHeight="1" x14ac:dyDescent="0.3">
      <c r="A22" s="621" t="s">
        <v>521</v>
      </c>
      <c r="B22" s="622" t="s">
        <v>1222</v>
      </c>
      <c r="C22" s="623" t="s">
        <v>1223</v>
      </c>
      <c r="D22" s="623">
        <v>3264.1802346690001</v>
      </c>
      <c r="E22" s="623">
        <v>2074</v>
      </c>
      <c r="F22" s="624">
        <v>0.63538158155973001</v>
      </c>
      <c r="G22" s="623">
        <v>-1190.1802346690001</v>
      </c>
      <c r="H22" s="623" t="s">
        <v>2</v>
      </c>
      <c r="I22"/>
    </row>
    <row r="23" spans="1:9" ht="14.4" customHeight="1" x14ac:dyDescent="0.3">
      <c r="A23" s="621" t="s">
        <v>521</v>
      </c>
      <c r="B23" s="622" t="s">
        <v>6</v>
      </c>
      <c r="C23" s="623" t="s">
        <v>522</v>
      </c>
      <c r="D23" s="623">
        <v>36962.946456867918</v>
      </c>
      <c r="E23" s="623">
        <v>12618.12</v>
      </c>
      <c r="F23" s="624">
        <v>0.34137213641028569</v>
      </c>
      <c r="G23" s="623">
        <v>-24344.826456867915</v>
      </c>
      <c r="H23" s="623" t="s">
        <v>523</v>
      </c>
      <c r="I23"/>
    </row>
    <row r="24" spans="1:9" ht="14.4" customHeight="1" x14ac:dyDescent="0.3">
      <c r="A24" s="621" t="s">
        <v>508</v>
      </c>
      <c r="B24" s="622" t="s">
        <v>508</v>
      </c>
      <c r="C24" s="623" t="s">
        <v>508</v>
      </c>
      <c r="D24" s="623" t="s">
        <v>508</v>
      </c>
      <c r="E24" s="623" t="s">
        <v>508</v>
      </c>
      <c r="F24" s="624" t="s">
        <v>508</v>
      </c>
      <c r="G24" s="623" t="s">
        <v>508</v>
      </c>
      <c r="H24" s="623" t="s">
        <v>524</v>
      </c>
      <c r="I24"/>
    </row>
    <row r="25" spans="1:9" ht="14.4" customHeight="1" x14ac:dyDescent="0.3">
      <c r="A25" s="621" t="s">
        <v>525</v>
      </c>
      <c r="B25" s="622" t="s">
        <v>1208</v>
      </c>
      <c r="C25" s="623" t="s">
        <v>1209</v>
      </c>
      <c r="D25" s="623">
        <v>7581.0940160367672</v>
      </c>
      <c r="E25" s="623">
        <v>7732.96</v>
      </c>
      <c r="F25" s="624">
        <v>1.0200321989995087</v>
      </c>
      <c r="G25" s="623">
        <v>151.86598396323279</v>
      </c>
      <c r="H25" s="623" t="s">
        <v>2</v>
      </c>
      <c r="I25"/>
    </row>
    <row r="26" spans="1:9" ht="14.4" customHeight="1" x14ac:dyDescent="0.3">
      <c r="A26" s="621" t="s">
        <v>525</v>
      </c>
      <c r="B26" s="622" t="s">
        <v>1210</v>
      </c>
      <c r="C26" s="623" t="s">
        <v>1211</v>
      </c>
      <c r="D26" s="623">
        <v>19290.012846862501</v>
      </c>
      <c r="E26" s="623">
        <v>2749.21</v>
      </c>
      <c r="F26" s="624">
        <v>0.14251986361155566</v>
      </c>
      <c r="G26" s="623">
        <v>-16540.802846862502</v>
      </c>
      <c r="H26" s="623" t="s">
        <v>2</v>
      </c>
      <c r="I26"/>
    </row>
    <row r="27" spans="1:9" ht="14.4" customHeight="1" x14ac:dyDescent="0.3">
      <c r="A27" s="621" t="s">
        <v>525</v>
      </c>
      <c r="B27" s="622" t="s">
        <v>1212</v>
      </c>
      <c r="C27" s="623" t="s">
        <v>1213</v>
      </c>
      <c r="D27" s="623">
        <v>3577.9057758139165</v>
      </c>
      <c r="E27" s="623">
        <v>3852</v>
      </c>
      <c r="F27" s="624">
        <v>1.0766074461879118</v>
      </c>
      <c r="G27" s="623">
        <v>274.09422418608347</v>
      </c>
      <c r="H27" s="623" t="s">
        <v>2</v>
      </c>
      <c r="I27"/>
    </row>
    <row r="28" spans="1:9" ht="14.4" customHeight="1" x14ac:dyDescent="0.3">
      <c r="A28" s="621" t="s">
        <v>525</v>
      </c>
      <c r="B28" s="622" t="s">
        <v>1214</v>
      </c>
      <c r="C28" s="623" t="s">
        <v>1215</v>
      </c>
      <c r="D28" s="623">
        <v>93165.986171006676</v>
      </c>
      <c r="E28" s="623">
        <v>93532.239999999991</v>
      </c>
      <c r="F28" s="624">
        <v>1.0039311968245692</v>
      </c>
      <c r="G28" s="623">
        <v>366.25382899331453</v>
      </c>
      <c r="H28" s="623" t="s">
        <v>2</v>
      </c>
      <c r="I28"/>
    </row>
    <row r="29" spans="1:9" ht="14.4" customHeight="1" x14ac:dyDescent="0.3">
      <c r="A29" s="621" t="s">
        <v>525</v>
      </c>
      <c r="B29" s="622" t="s">
        <v>1218</v>
      </c>
      <c r="C29" s="623" t="s">
        <v>1219</v>
      </c>
      <c r="D29" s="623">
        <v>10794.666829051117</v>
      </c>
      <c r="E29" s="623">
        <v>4971.24</v>
      </c>
      <c r="F29" s="624">
        <v>0.46052741402089076</v>
      </c>
      <c r="G29" s="623">
        <v>-5823.4268290511172</v>
      </c>
      <c r="H29" s="623" t="s">
        <v>2</v>
      </c>
      <c r="I29"/>
    </row>
    <row r="30" spans="1:9" ht="14.4" customHeight="1" x14ac:dyDescent="0.3">
      <c r="A30" s="621" t="s">
        <v>525</v>
      </c>
      <c r="B30" s="622" t="s">
        <v>1220</v>
      </c>
      <c r="C30" s="623" t="s">
        <v>1221</v>
      </c>
      <c r="D30" s="623">
        <v>265.17337535445165</v>
      </c>
      <c r="E30" s="623">
        <v>333</v>
      </c>
      <c r="F30" s="624">
        <v>1.2557821823359374</v>
      </c>
      <c r="G30" s="623">
        <v>67.82662464554835</v>
      </c>
      <c r="H30" s="623" t="s">
        <v>2</v>
      </c>
      <c r="I30"/>
    </row>
    <row r="31" spans="1:9" ht="14.4" customHeight="1" x14ac:dyDescent="0.3">
      <c r="A31" s="621" t="s">
        <v>525</v>
      </c>
      <c r="B31" s="622" t="s">
        <v>1222</v>
      </c>
      <c r="C31" s="623" t="s">
        <v>1223</v>
      </c>
      <c r="D31" s="623">
        <v>4139.0455986941661</v>
      </c>
      <c r="E31" s="623">
        <v>3985.38</v>
      </c>
      <c r="F31" s="624">
        <v>0.96287414694280093</v>
      </c>
      <c r="G31" s="623">
        <v>-153.66559869416596</v>
      </c>
      <c r="H31" s="623" t="s">
        <v>2</v>
      </c>
      <c r="I31"/>
    </row>
    <row r="32" spans="1:9" ht="14.4" customHeight="1" x14ac:dyDescent="0.3">
      <c r="A32" s="621" t="s">
        <v>525</v>
      </c>
      <c r="B32" s="622" t="s">
        <v>6</v>
      </c>
      <c r="C32" s="623" t="s">
        <v>526</v>
      </c>
      <c r="D32" s="623">
        <v>138813.88461281959</v>
      </c>
      <c r="E32" s="623">
        <v>117156.03</v>
      </c>
      <c r="F32" s="624">
        <v>0.84397919074718075</v>
      </c>
      <c r="G32" s="623">
        <v>-21657.854612819589</v>
      </c>
      <c r="H32" s="623" t="s">
        <v>523</v>
      </c>
      <c r="I32"/>
    </row>
    <row r="33" spans="1:9" ht="14.4" customHeight="1" x14ac:dyDescent="0.3">
      <c r="A33" s="621" t="s">
        <v>508</v>
      </c>
      <c r="B33" s="622" t="s">
        <v>508</v>
      </c>
      <c r="C33" s="623" t="s">
        <v>508</v>
      </c>
      <c r="D33" s="623" t="s">
        <v>508</v>
      </c>
      <c r="E33" s="623" t="s">
        <v>508</v>
      </c>
      <c r="F33" s="624" t="s">
        <v>508</v>
      </c>
      <c r="G33" s="623" t="s">
        <v>508</v>
      </c>
      <c r="H33" s="623" t="s">
        <v>524</v>
      </c>
      <c r="I33"/>
    </row>
    <row r="34" spans="1:9" ht="14.4" customHeight="1" x14ac:dyDescent="0.3">
      <c r="A34" s="621" t="s">
        <v>527</v>
      </c>
      <c r="B34" s="622" t="s">
        <v>1208</v>
      </c>
      <c r="C34" s="623" t="s">
        <v>1209</v>
      </c>
      <c r="D34" s="623">
        <v>21670.954051819834</v>
      </c>
      <c r="E34" s="623">
        <v>15686.7</v>
      </c>
      <c r="F34" s="624">
        <v>0.72385830187677869</v>
      </c>
      <c r="G34" s="623">
        <v>-5984.254051819833</v>
      </c>
      <c r="H34" s="623" t="s">
        <v>2</v>
      </c>
      <c r="I34"/>
    </row>
    <row r="35" spans="1:9" ht="14.4" customHeight="1" x14ac:dyDescent="0.3">
      <c r="A35" s="621" t="s">
        <v>527</v>
      </c>
      <c r="B35" s="622" t="s">
        <v>1210</v>
      </c>
      <c r="C35" s="623" t="s">
        <v>1211</v>
      </c>
      <c r="D35" s="623">
        <v>17256.294065256665</v>
      </c>
      <c r="E35" s="623">
        <v>1537.1</v>
      </c>
      <c r="F35" s="624">
        <v>8.9074745376224992E-2</v>
      </c>
      <c r="G35" s="623">
        <v>-15719.194065256665</v>
      </c>
      <c r="H35" s="623" t="s">
        <v>2</v>
      </c>
      <c r="I35"/>
    </row>
    <row r="36" spans="1:9" ht="14.4" customHeight="1" x14ac:dyDescent="0.3">
      <c r="A36" s="621" t="s">
        <v>527</v>
      </c>
      <c r="B36" s="622" t="s">
        <v>1214</v>
      </c>
      <c r="C36" s="623" t="s">
        <v>1215</v>
      </c>
      <c r="D36" s="623">
        <v>33524.894846646996</v>
      </c>
      <c r="E36" s="623">
        <v>48449.740000000005</v>
      </c>
      <c r="F36" s="624">
        <v>1.4451869341163861</v>
      </c>
      <c r="G36" s="623">
        <v>14924.84515335301</v>
      </c>
      <c r="H36" s="623" t="s">
        <v>2</v>
      </c>
      <c r="I36"/>
    </row>
    <row r="37" spans="1:9" ht="14.4" customHeight="1" x14ac:dyDescent="0.3">
      <c r="A37" s="621" t="s">
        <v>527</v>
      </c>
      <c r="B37" s="622" t="s">
        <v>1218</v>
      </c>
      <c r="C37" s="623" t="s">
        <v>1219</v>
      </c>
      <c r="D37" s="623">
        <v>26582.524969058333</v>
      </c>
      <c r="E37" s="623">
        <v>6192.14</v>
      </c>
      <c r="F37" s="624">
        <v>0.23294024955144629</v>
      </c>
      <c r="G37" s="623">
        <v>-20390.384969058334</v>
      </c>
      <c r="H37" s="623" t="s">
        <v>2</v>
      </c>
      <c r="I37"/>
    </row>
    <row r="38" spans="1:9" ht="14.4" customHeight="1" x14ac:dyDescent="0.3">
      <c r="A38" s="621" t="s">
        <v>527</v>
      </c>
      <c r="B38" s="622" t="s">
        <v>1220</v>
      </c>
      <c r="C38" s="623" t="s">
        <v>1221</v>
      </c>
      <c r="D38" s="623">
        <v>348.43542164563002</v>
      </c>
      <c r="E38" s="623">
        <v>483</v>
      </c>
      <c r="F38" s="624">
        <v>1.3861966091703113</v>
      </c>
      <c r="G38" s="623">
        <v>134.56457835436998</v>
      </c>
      <c r="H38" s="623" t="s">
        <v>2</v>
      </c>
      <c r="I38"/>
    </row>
    <row r="39" spans="1:9" ht="14.4" customHeight="1" x14ac:dyDescent="0.3">
      <c r="A39" s="621" t="s">
        <v>527</v>
      </c>
      <c r="B39" s="622" t="s">
        <v>1222</v>
      </c>
      <c r="C39" s="623" t="s">
        <v>1223</v>
      </c>
      <c r="D39" s="623">
        <v>8507.0390490637674</v>
      </c>
      <c r="E39" s="623">
        <v>5776.55</v>
      </c>
      <c r="F39" s="624">
        <v>0.67903179551476633</v>
      </c>
      <c r="G39" s="623">
        <v>-2730.4890490637672</v>
      </c>
      <c r="H39" s="623" t="s">
        <v>2</v>
      </c>
      <c r="I39"/>
    </row>
    <row r="40" spans="1:9" ht="14.4" customHeight="1" x14ac:dyDescent="0.3">
      <c r="A40" s="621" t="s">
        <v>527</v>
      </c>
      <c r="B40" s="622" t="s">
        <v>6</v>
      </c>
      <c r="C40" s="623" t="s">
        <v>528</v>
      </c>
      <c r="D40" s="623">
        <v>107890.14240349123</v>
      </c>
      <c r="E40" s="623">
        <v>78125.23000000001</v>
      </c>
      <c r="F40" s="624">
        <v>0.72411833240357226</v>
      </c>
      <c r="G40" s="623">
        <v>-29764.912403491224</v>
      </c>
      <c r="H40" s="623" t="s">
        <v>523</v>
      </c>
      <c r="I40"/>
    </row>
    <row r="41" spans="1:9" ht="14.4" customHeight="1" x14ac:dyDescent="0.3">
      <c r="A41" s="621" t="s">
        <v>508</v>
      </c>
      <c r="B41" s="622" t="s">
        <v>508</v>
      </c>
      <c r="C41" s="623" t="s">
        <v>508</v>
      </c>
      <c r="D41" s="623" t="s">
        <v>508</v>
      </c>
      <c r="E41" s="623" t="s">
        <v>508</v>
      </c>
      <c r="F41" s="624" t="s">
        <v>508</v>
      </c>
      <c r="G41" s="623" t="s">
        <v>508</v>
      </c>
      <c r="H41" s="623" t="s">
        <v>524</v>
      </c>
      <c r="I41"/>
    </row>
    <row r="42" spans="1:9" ht="14.4" customHeight="1" x14ac:dyDescent="0.3">
      <c r="A42" s="621" t="s">
        <v>529</v>
      </c>
      <c r="B42" s="622" t="s">
        <v>1206</v>
      </c>
      <c r="C42" s="623" t="s">
        <v>1207</v>
      </c>
      <c r="D42" s="623">
        <v>8.141658043405501</v>
      </c>
      <c r="E42" s="623">
        <v>14.0448</v>
      </c>
      <c r="F42" s="624">
        <v>1.7250540277082587</v>
      </c>
      <c r="G42" s="623">
        <v>5.9031419565944994</v>
      </c>
      <c r="H42" s="623" t="s">
        <v>2</v>
      </c>
      <c r="I42"/>
    </row>
    <row r="43" spans="1:9" ht="14.4" customHeight="1" x14ac:dyDescent="0.3">
      <c r="A43" s="621" t="s">
        <v>529</v>
      </c>
      <c r="B43" s="622" t="s">
        <v>1208</v>
      </c>
      <c r="C43" s="623" t="s">
        <v>1209</v>
      </c>
      <c r="D43" s="623">
        <v>8377.297181605767</v>
      </c>
      <c r="E43" s="623">
        <v>6252.4400000000005</v>
      </c>
      <c r="F43" s="624">
        <v>0.74635528195521506</v>
      </c>
      <c r="G43" s="623">
        <v>-2124.8571816057665</v>
      </c>
      <c r="H43" s="623" t="s">
        <v>2</v>
      </c>
      <c r="I43"/>
    </row>
    <row r="44" spans="1:9" ht="14.4" customHeight="1" x14ac:dyDescent="0.3">
      <c r="A44" s="621" t="s">
        <v>529</v>
      </c>
      <c r="B44" s="622" t="s">
        <v>1210</v>
      </c>
      <c r="C44" s="623" t="s">
        <v>1211</v>
      </c>
      <c r="D44" s="623">
        <v>25555.565215813836</v>
      </c>
      <c r="E44" s="623">
        <v>34279.33</v>
      </c>
      <c r="F44" s="624">
        <v>1.3413645799071539</v>
      </c>
      <c r="G44" s="623">
        <v>8723.7647841861653</v>
      </c>
      <c r="H44" s="623" t="s">
        <v>2</v>
      </c>
      <c r="I44"/>
    </row>
    <row r="45" spans="1:9" ht="14.4" customHeight="1" x14ac:dyDescent="0.3">
      <c r="A45" s="621" t="s">
        <v>529</v>
      </c>
      <c r="B45" s="622" t="s">
        <v>1214</v>
      </c>
      <c r="C45" s="623" t="s">
        <v>1215</v>
      </c>
      <c r="D45" s="623">
        <v>30779.108021255335</v>
      </c>
      <c r="E45" s="623">
        <v>27854.120000000003</v>
      </c>
      <c r="F45" s="624">
        <v>0.90496839547021946</v>
      </c>
      <c r="G45" s="623">
        <v>-2924.9880212553326</v>
      </c>
      <c r="H45" s="623" t="s">
        <v>2</v>
      </c>
      <c r="I45"/>
    </row>
    <row r="46" spans="1:9" ht="14.4" customHeight="1" x14ac:dyDescent="0.3">
      <c r="A46" s="621" t="s">
        <v>529</v>
      </c>
      <c r="B46" s="622" t="s">
        <v>1218</v>
      </c>
      <c r="C46" s="623" t="s">
        <v>1219</v>
      </c>
      <c r="D46" s="623">
        <v>12703.5931522049</v>
      </c>
      <c r="E46" s="623">
        <v>1480.35</v>
      </c>
      <c r="F46" s="624">
        <v>0.11653002282610593</v>
      </c>
      <c r="G46" s="623">
        <v>-11223.243152204899</v>
      </c>
      <c r="H46" s="623" t="s">
        <v>2</v>
      </c>
      <c r="I46"/>
    </row>
    <row r="47" spans="1:9" ht="14.4" customHeight="1" x14ac:dyDescent="0.3">
      <c r="A47" s="621" t="s">
        <v>529</v>
      </c>
      <c r="B47" s="622" t="s">
        <v>1220</v>
      </c>
      <c r="C47" s="623" t="s">
        <v>1221</v>
      </c>
      <c r="D47" s="623">
        <v>384.68091202289833</v>
      </c>
      <c r="E47" s="623">
        <v>1074.52</v>
      </c>
      <c r="F47" s="624">
        <v>2.7932761060315845</v>
      </c>
      <c r="G47" s="623">
        <v>689.8390879771016</v>
      </c>
      <c r="H47" s="623" t="s">
        <v>2</v>
      </c>
      <c r="I47"/>
    </row>
    <row r="48" spans="1:9" ht="14.4" customHeight="1" x14ac:dyDescent="0.3">
      <c r="A48" s="621" t="s">
        <v>529</v>
      </c>
      <c r="B48" s="622" t="s">
        <v>1222</v>
      </c>
      <c r="C48" s="623" t="s">
        <v>1223</v>
      </c>
      <c r="D48" s="623">
        <v>5416.2988297221</v>
      </c>
      <c r="E48" s="623">
        <v>6752</v>
      </c>
      <c r="F48" s="624">
        <v>1.2466077320084705</v>
      </c>
      <c r="G48" s="623">
        <v>1335.7011702779</v>
      </c>
      <c r="H48" s="623" t="s">
        <v>2</v>
      </c>
      <c r="I48"/>
    </row>
    <row r="49" spans="1:9" ht="14.4" customHeight="1" x14ac:dyDescent="0.3">
      <c r="A49" s="621" t="s">
        <v>529</v>
      </c>
      <c r="B49" s="622" t="s">
        <v>6</v>
      </c>
      <c r="C49" s="623" t="s">
        <v>530</v>
      </c>
      <c r="D49" s="623">
        <v>85558.017047642308</v>
      </c>
      <c r="E49" s="623">
        <v>77706.804800000013</v>
      </c>
      <c r="F49" s="624">
        <v>0.90823522425408232</v>
      </c>
      <c r="G49" s="623">
        <v>-7851.2122476422956</v>
      </c>
      <c r="H49" s="623" t="s">
        <v>523</v>
      </c>
      <c r="I49"/>
    </row>
    <row r="50" spans="1:9" ht="14.4" customHeight="1" x14ac:dyDescent="0.3">
      <c r="A50" s="621" t="s">
        <v>508</v>
      </c>
      <c r="B50" s="622" t="s">
        <v>508</v>
      </c>
      <c r="C50" s="623" t="s">
        <v>508</v>
      </c>
      <c r="D50" s="623" t="s">
        <v>508</v>
      </c>
      <c r="E50" s="623" t="s">
        <v>508</v>
      </c>
      <c r="F50" s="624" t="s">
        <v>508</v>
      </c>
      <c r="G50" s="623" t="s">
        <v>508</v>
      </c>
      <c r="H50" s="623" t="s">
        <v>524</v>
      </c>
      <c r="I50"/>
    </row>
    <row r="51" spans="1:9" ht="14.4" customHeight="1" x14ac:dyDescent="0.3">
      <c r="A51" s="621" t="s">
        <v>507</v>
      </c>
      <c r="B51" s="622" t="s">
        <v>6</v>
      </c>
      <c r="C51" s="623" t="s">
        <v>509</v>
      </c>
      <c r="D51" s="623">
        <v>369224.99052082095</v>
      </c>
      <c r="E51" s="623">
        <v>285606.18479999999</v>
      </c>
      <c r="F51" s="624">
        <v>0.77352885674702021</v>
      </c>
      <c r="G51" s="623">
        <v>-83618.805720820965</v>
      </c>
      <c r="H51" s="623" t="s">
        <v>520</v>
      </c>
      <c r="I51"/>
    </row>
  </sheetData>
  <autoFilter ref="A3:G3"/>
  <mergeCells count="1">
    <mergeCell ref="A1:G1"/>
  </mergeCells>
  <conditionalFormatting sqref="F15 F52:F65536">
    <cfRule type="cellIs" dxfId="33" priority="15" stopIfTrue="1" operator="greaterThan">
      <formula>1</formula>
    </cfRule>
  </conditionalFormatting>
  <conditionalFormatting sqref="G4:G14">
    <cfRule type="cellIs" dxfId="32" priority="9" operator="greaterThan">
      <formula>0</formula>
    </cfRule>
  </conditionalFormatting>
  <conditionalFormatting sqref="B4:B14">
    <cfRule type="expression" dxfId="31" priority="12">
      <formula>AND(LEFT(H4,6)&lt;&gt;"mezera",H4&lt;&gt;"")</formula>
    </cfRule>
  </conditionalFormatting>
  <conditionalFormatting sqref="A4:A14">
    <cfRule type="expression" dxfId="30" priority="10">
      <formula>AND(H4&lt;&gt;"",H4&lt;&gt;"mezeraKL")</formula>
    </cfRule>
  </conditionalFormatting>
  <conditionalFormatting sqref="F4:F14">
    <cfRule type="cellIs" dxfId="29" priority="8" operator="greaterThan">
      <formula>1</formula>
    </cfRule>
  </conditionalFormatting>
  <conditionalFormatting sqref="B4:G14">
    <cfRule type="expression" dxfId="28" priority="11">
      <formula>OR($H4="KL",$H4="SumaKL")</formula>
    </cfRule>
    <cfRule type="expression" dxfId="27" priority="13">
      <formula>$H4="SumaNS"</formula>
    </cfRule>
  </conditionalFormatting>
  <conditionalFormatting sqref="A4:G14">
    <cfRule type="expression" dxfId="26" priority="14">
      <formula>$H4&lt;&gt;""</formula>
    </cfRule>
  </conditionalFormatting>
  <conditionalFormatting sqref="G16:G51">
    <cfRule type="cellIs" dxfId="25" priority="1" operator="greaterThan">
      <formula>0</formula>
    </cfRule>
  </conditionalFormatting>
  <conditionalFormatting sqref="F16:F51">
    <cfRule type="cellIs" dxfId="24" priority="2" operator="greaterThan">
      <formula>1</formula>
    </cfRule>
  </conditionalFormatting>
  <conditionalFormatting sqref="B16:B51">
    <cfRule type="expression" dxfId="23" priority="5">
      <formula>AND(LEFT(H16,6)&lt;&gt;"mezera",H16&lt;&gt;"")</formula>
    </cfRule>
  </conditionalFormatting>
  <conditionalFormatting sqref="A16:A51">
    <cfRule type="expression" dxfId="22" priority="3">
      <formula>AND(H16&lt;&gt;"",H16&lt;&gt;"mezeraKL")</formula>
    </cfRule>
  </conditionalFormatting>
  <conditionalFormatting sqref="B16:G51">
    <cfRule type="expression" dxfId="21" priority="4">
      <formula>OR($H16="KL",$H16="SumaKL")</formula>
    </cfRule>
    <cfRule type="expression" dxfId="20" priority="6">
      <formula>$H16="SumaNS"</formula>
    </cfRule>
  </conditionalFormatting>
  <conditionalFormatting sqref="A16:G51">
    <cfRule type="expression" dxfId="19" priority="7">
      <formula>$H16&lt;&gt;""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36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60" hidden="1" customWidth="1" outlineLevel="1"/>
    <col min="2" max="2" width="28.33203125" style="260" hidden="1" customWidth="1" outlineLevel="1"/>
    <col min="3" max="3" width="5.33203125" style="345" bestFit="1" customWidth="1" collapsed="1"/>
    <col min="4" max="4" width="18.77734375" style="349" customWidth="1"/>
    <col min="5" max="5" width="9" style="345" bestFit="1" customWidth="1"/>
    <col min="6" max="6" width="18.77734375" style="349" customWidth="1"/>
    <col min="7" max="7" width="12.44140625" style="345" hidden="1" customWidth="1" outlineLevel="1"/>
    <col min="8" max="8" width="25.77734375" style="345" customWidth="1" collapsed="1"/>
    <col min="9" max="9" width="7.77734375" style="343" customWidth="1"/>
    <col min="10" max="10" width="10" style="343" customWidth="1"/>
    <col min="11" max="11" width="11.109375" style="343" customWidth="1"/>
    <col min="12" max="16384" width="8.88671875" style="260"/>
  </cols>
  <sheetData>
    <row r="1" spans="1:11" ht="18.600000000000001" customHeight="1" thickBot="1" x14ac:dyDescent="0.4">
      <c r="A1" s="492" t="s">
        <v>1442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</row>
    <row r="2" spans="1:11" ht="14.4" customHeight="1" thickBot="1" x14ac:dyDescent="0.35">
      <c r="A2" s="389" t="s">
        <v>299</v>
      </c>
      <c r="B2" s="66"/>
      <c r="C2" s="347"/>
      <c r="D2" s="347"/>
      <c r="E2" s="347"/>
      <c r="F2" s="347"/>
      <c r="G2" s="347"/>
      <c r="H2" s="347"/>
      <c r="I2" s="348"/>
      <c r="J2" s="348"/>
      <c r="K2" s="348"/>
    </row>
    <row r="3" spans="1:11" ht="14.4" customHeight="1" thickBot="1" x14ac:dyDescent="0.35">
      <c r="A3" s="66"/>
      <c r="B3" s="66"/>
      <c r="C3" s="488"/>
      <c r="D3" s="489"/>
      <c r="E3" s="489"/>
      <c r="F3" s="489"/>
      <c r="G3" s="489"/>
      <c r="H3" s="273" t="s">
        <v>163</v>
      </c>
      <c r="I3" s="213">
        <f>IF(J3&lt;&gt;0,K3/J3,0)</f>
        <v>6.746803016539916</v>
      </c>
      <c r="J3" s="213">
        <f>SUBTOTAL(9,J5:J1048576)</f>
        <v>42332.076999999997</v>
      </c>
      <c r="K3" s="214">
        <f>SUBTOTAL(9,K5:K1048576)</f>
        <v>285606.18479999999</v>
      </c>
    </row>
    <row r="4" spans="1:11" s="344" customFormat="1" ht="14.4" customHeight="1" thickBot="1" x14ac:dyDescent="0.35">
      <c r="A4" s="726" t="s">
        <v>7</v>
      </c>
      <c r="B4" s="727" t="s">
        <v>8</v>
      </c>
      <c r="C4" s="727" t="s">
        <v>0</v>
      </c>
      <c r="D4" s="727" t="s">
        <v>9</v>
      </c>
      <c r="E4" s="727" t="s">
        <v>10</v>
      </c>
      <c r="F4" s="727" t="s">
        <v>2</v>
      </c>
      <c r="G4" s="727" t="s">
        <v>93</v>
      </c>
      <c r="H4" s="627" t="s">
        <v>14</v>
      </c>
      <c r="I4" s="628" t="s">
        <v>189</v>
      </c>
      <c r="J4" s="628" t="s">
        <v>16</v>
      </c>
      <c r="K4" s="629" t="s">
        <v>206</v>
      </c>
    </row>
    <row r="5" spans="1:11" ht="14.4" customHeight="1" x14ac:dyDescent="0.3">
      <c r="A5" s="702" t="s">
        <v>507</v>
      </c>
      <c r="B5" s="703" t="s">
        <v>509</v>
      </c>
      <c r="C5" s="706" t="s">
        <v>521</v>
      </c>
      <c r="D5" s="728" t="s">
        <v>522</v>
      </c>
      <c r="E5" s="706" t="s">
        <v>1208</v>
      </c>
      <c r="F5" s="728" t="s">
        <v>1209</v>
      </c>
      <c r="G5" s="706" t="s">
        <v>1224</v>
      </c>
      <c r="H5" s="706" t="s">
        <v>1225</v>
      </c>
      <c r="I5" s="235">
        <v>13.16</v>
      </c>
      <c r="J5" s="235">
        <v>24</v>
      </c>
      <c r="K5" s="718">
        <v>315.79000000000002</v>
      </c>
    </row>
    <row r="6" spans="1:11" ht="14.4" customHeight="1" x14ac:dyDescent="0.3">
      <c r="A6" s="686" t="s">
        <v>507</v>
      </c>
      <c r="B6" s="677" t="s">
        <v>509</v>
      </c>
      <c r="C6" s="711" t="s">
        <v>521</v>
      </c>
      <c r="D6" s="729" t="s">
        <v>522</v>
      </c>
      <c r="E6" s="711" t="s">
        <v>1208</v>
      </c>
      <c r="F6" s="729" t="s">
        <v>1209</v>
      </c>
      <c r="G6" s="711" t="s">
        <v>1226</v>
      </c>
      <c r="H6" s="711" t="s">
        <v>1227</v>
      </c>
      <c r="I6" s="238">
        <v>26.37</v>
      </c>
      <c r="J6" s="238">
        <v>24</v>
      </c>
      <c r="K6" s="719">
        <v>632.87</v>
      </c>
    </row>
    <row r="7" spans="1:11" ht="14.4" customHeight="1" x14ac:dyDescent="0.3">
      <c r="A7" s="686" t="s">
        <v>507</v>
      </c>
      <c r="B7" s="677" t="s">
        <v>509</v>
      </c>
      <c r="C7" s="711" t="s">
        <v>521</v>
      </c>
      <c r="D7" s="729" t="s">
        <v>522</v>
      </c>
      <c r="E7" s="711" t="s">
        <v>1208</v>
      </c>
      <c r="F7" s="729" t="s">
        <v>1209</v>
      </c>
      <c r="G7" s="711" t="s">
        <v>1228</v>
      </c>
      <c r="H7" s="711" t="s">
        <v>1229</v>
      </c>
      <c r="I7" s="238">
        <v>2.88</v>
      </c>
      <c r="J7" s="238">
        <v>100</v>
      </c>
      <c r="K7" s="719">
        <v>287.5</v>
      </c>
    </row>
    <row r="8" spans="1:11" ht="14.4" customHeight="1" x14ac:dyDescent="0.3">
      <c r="A8" s="686" t="s">
        <v>507</v>
      </c>
      <c r="B8" s="677" t="s">
        <v>509</v>
      </c>
      <c r="C8" s="711" t="s">
        <v>521</v>
      </c>
      <c r="D8" s="729" t="s">
        <v>522</v>
      </c>
      <c r="E8" s="711" t="s">
        <v>1208</v>
      </c>
      <c r="F8" s="729" t="s">
        <v>1209</v>
      </c>
      <c r="G8" s="711" t="s">
        <v>1230</v>
      </c>
      <c r="H8" s="711" t="s">
        <v>1231</v>
      </c>
      <c r="I8" s="238">
        <v>5.27</v>
      </c>
      <c r="J8" s="238">
        <v>20</v>
      </c>
      <c r="K8" s="719">
        <v>105.4</v>
      </c>
    </row>
    <row r="9" spans="1:11" ht="14.4" customHeight="1" x14ac:dyDescent="0.3">
      <c r="A9" s="686" t="s">
        <v>507</v>
      </c>
      <c r="B9" s="677" t="s">
        <v>509</v>
      </c>
      <c r="C9" s="711" t="s">
        <v>521</v>
      </c>
      <c r="D9" s="729" t="s">
        <v>522</v>
      </c>
      <c r="E9" s="711" t="s">
        <v>1210</v>
      </c>
      <c r="F9" s="729" t="s">
        <v>1211</v>
      </c>
      <c r="G9" s="711" t="s">
        <v>1232</v>
      </c>
      <c r="H9" s="711" t="s">
        <v>1233</v>
      </c>
      <c r="I9" s="238">
        <v>0.93</v>
      </c>
      <c r="J9" s="238">
        <v>300</v>
      </c>
      <c r="K9" s="719">
        <v>279</v>
      </c>
    </row>
    <row r="10" spans="1:11" ht="14.4" customHeight="1" x14ac:dyDescent="0.3">
      <c r="A10" s="686" t="s">
        <v>507</v>
      </c>
      <c r="B10" s="677" t="s">
        <v>509</v>
      </c>
      <c r="C10" s="711" t="s">
        <v>521</v>
      </c>
      <c r="D10" s="729" t="s">
        <v>522</v>
      </c>
      <c r="E10" s="711" t="s">
        <v>1210</v>
      </c>
      <c r="F10" s="729" t="s">
        <v>1211</v>
      </c>
      <c r="G10" s="711" t="s">
        <v>1234</v>
      </c>
      <c r="H10" s="711" t="s">
        <v>1235</v>
      </c>
      <c r="I10" s="238">
        <v>0.42</v>
      </c>
      <c r="J10" s="238">
        <v>100</v>
      </c>
      <c r="K10" s="719">
        <v>42</v>
      </c>
    </row>
    <row r="11" spans="1:11" ht="14.4" customHeight="1" x14ac:dyDescent="0.3">
      <c r="A11" s="686" t="s">
        <v>507</v>
      </c>
      <c r="B11" s="677" t="s">
        <v>509</v>
      </c>
      <c r="C11" s="711" t="s">
        <v>521</v>
      </c>
      <c r="D11" s="729" t="s">
        <v>522</v>
      </c>
      <c r="E11" s="711" t="s">
        <v>1210</v>
      </c>
      <c r="F11" s="729" t="s">
        <v>1211</v>
      </c>
      <c r="G11" s="711" t="s">
        <v>1236</v>
      </c>
      <c r="H11" s="711" t="s">
        <v>1237</v>
      </c>
      <c r="I11" s="238">
        <v>0.57999999999999996</v>
      </c>
      <c r="J11" s="238">
        <v>500</v>
      </c>
      <c r="K11" s="719">
        <v>290</v>
      </c>
    </row>
    <row r="12" spans="1:11" ht="14.4" customHeight="1" x14ac:dyDescent="0.3">
      <c r="A12" s="686" t="s">
        <v>507</v>
      </c>
      <c r="B12" s="677" t="s">
        <v>509</v>
      </c>
      <c r="C12" s="711" t="s">
        <v>521</v>
      </c>
      <c r="D12" s="729" t="s">
        <v>522</v>
      </c>
      <c r="E12" s="711" t="s">
        <v>1210</v>
      </c>
      <c r="F12" s="729" t="s">
        <v>1211</v>
      </c>
      <c r="G12" s="711" t="s">
        <v>1238</v>
      </c>
      <c r="H12" s="711" t="s">
        <v>1239</v>
      </c>
      <c r="I12" s="238">
        <v>1.81</v>
      </c>
      <c r="J12" s="238">
        <v>50</v>
      </c>
      <c r="K12" s="719">
        <v>90.5</v>
      </c>
    </row>
    <row r="13" spans="1:11" ht="14.4" customHeight="1" x14ac:dyDescent="0.3">
      <c r="A13" s="686" t="s">
        <v>507</v>
      </c>
      <c r="B13" s="677" t="s">
        <v>509</v>
      </c>
      <c r="C13" s="711" t="s">
        <v>521</v>
      </c>
      <c r="D13" s="729" t="s">
        <v>522</v>
      </c>
      <c r="E13" s="711" t="s">
        <v>1210</v>
      </c>
      <c r="F13" s="729" t="s">
        <v>1211</v>
      </c>
      <c r="G13" s="711" t="s">
        <v>1240</v>
      </c>
      <c r="H13" s="711" t="s">
        <v>1241</v>
      </c>
      <c r="I13" s="238">
        <v>2.38</v>
      </c>
      <c r="J13" s="238">
        <v>50</v>
      </c>
      <c r="K13" s="719">
        <v>119</v>
      </c>
    </row>
    <row r="14" spans="1:11" ht="14.4" customHeight="1" x14ac:dyDescent="0.3">
      <c r="A14" s="686" t="s">
        <v>507</v>
      </c>
      <c r="B14" s="677" t="s">
        <v>509</v>
      </c>
      <c r="C14" s="711" t="s">
        <v>521</v>
      </c>
      <c r="D14" s="729" t="s">
        <v>522</v>
      </c>
      <c r="E14" s="711" t="s">
        <v>1210</v>
      </c>
      <c r="F14" s="729" t="s">
        <v>1211</v>
      </c>
      <c r="G14" s="711" t="s">
        <v>1242</v>
      </c>
      <c r="H14" s="711" t="s">
        <v>1243</v>
      </c>
      <c r="I14" s="238">
        <v>1.77</v>
      </c>
      <c r="J14" s="238">
        <v>50</v>
      </c>
      <c r="K14" s="719">
        <v>88.5</v>
      </c>
    </row>
    <row r="15" spans="1:11" ht="14.4" customHeight="1" x14ac:dyDescent="0.3">
      <c r="A15" s="686" t="s">
        <v>507</v>
      </c>
      <c r="B15" s="677" t="s">
        <v>509</v>
      </c>
      <c r="C15" s="711" t="s">
        <v>521</v>
      </c>
      <c r="D15" s="729" t="s">
        <v>522</v>
      </c>
      <c r="E15" s="711" t="s">
        <v>1210</v>
      </c>
      <c r="F15" s="729" t="s">
        <v>1211</v>
      </c>
      <c r="G15" s="711" t="s">
        <v>1244</v>
      </c>
      <c r="H15" s="711" t="s">
        <v>1245</v>
      </c>
      <c r="I15" s="238">
        <v>2.82</v>
      </c>
      <c r="J15" s="238">
        <v>50</v>
      </c>
      <c r="K15" s="719">
        <v>141</v>
      </c>
    </row>
    <row r="16" spans="1:11" ht="14.4" customHeight="1" x14ac:dyDescent="0.3">
      <c r="A16" s="686" t="s">
        <v>507</v>
      </c>
      <c r="B16" s="677" t="s">
        <v>509</v>
      </c>
      <c r="C16" s="711" t="s">
        <v>521</v>
      </c>
      <c r="D16" s="729" t="s">
        <v>522</v>
      </c>
      <c r="E16" s="711" t="s">
        <v>1210</v>
      </c>
      <c r="F16" s="729" t="s">
        <v>1211</v>
      </c>
      <c r="G16" s="711" t="s">
        <v>1246</v>
      </c>
      <c r="H16" s="711" t="s">
        <v>1247</v>
      </c>
      <c r="I16" s="238">
        <v>1.77</v>
      </c>
      <c r="J16" s="238">
        <v>50</v>
      </c>
      <c r="K16" s="719">
        <v>88.5</v>
      </c>
    </row>
    <row r="17" spans="1:11" ht="14.4" customHeight="1" x14ac:dyDescent="0.3">
      <c r="A17" s="686" t="s">
        <v>507</v>
      </c>
      <c r="B17" s="677" t="s">
        <v>509</v>
      </c>
      <c r="C17" s="711" t="s">
        <v>521</v>
      </c>
      <c r="D17" s="729" t="s">
        <v>522</v>
      </c>
      <c r="E17" s="711" t="s">
        <v>1210</v>
      </c>
      <c r="F17" s="729" t="s">
        <v>1211</v>
      </c>
      <c r="G17" s="711" t="s">
        <v>1248</v>
      </c>
      <c r="H17" s="711" t="s">
        <v>1249</v>
      </c>
      <c r="I17" s="238">
        <v>1.76</v>
      </c>
      <c r="J17" s="238">
        <v>100</v>
      </c>
      <c r="K17" s="719">
        <v>176</v>
      </c>
    </row>
    <row r="18" spans="1:11" ht="14.4" customHeight="1" x14ac:dyDescent="0.3">
      <c r="A18" s="686" t="s">
        <v>507</v>
      </c>
      <c r="B18" s="677" t="s">
        <v>509</v>
      </c>
      <c r="C18" s="711" t="s">
        <v>521</v>
      </c>
      <c r="D18" s="729" t="s">
        <v>522</v>
      </c>
      <c r="E18" s="711" t="s">
        <v>1210</v>
      </c>
      <c r="F18" s="729" t="s">
        <v>1211</v>
      </c>
      <c r="G18" s="711" t="s">
        <v>1250</v>
      </c>
      <c r="H18" s="711" t="s">
        <v>1251</v>
      </c>
      <c r="I18" s="238">
        <v>0.02</v>
      </c>
      <c r="J18" s="238">
        <v>50</v>
      </c>
      <c r="K18" s="719">
        <v>1</v>
      </c>
    </row>
    <row r="19" spans="1:11" ht="14.4" customHeight="1" x14ac:dyDescent="0.3">
      <c r="A19" s="686" t="s">
        <v>507</v>
      </c>
      <c r="B19" s="677" t="s">
        <v>509</v>
      </c>
      <c r="C19" s="711" t="s">
        <v>521</v>
      </c>
      <c r="D19" s="729" t="s">
        <v>522</v>
      </c>
      <c r="E19" s="711" t="s">
        <v>1210</v>
      </c>
      <c r="F19" s="729" t="s">
        <v>1211</v>
      </c>
      <c r="G19" s="711" t="s">
        <v>1252</v>
      </c>
      <c r="H19" s="711" t="s">
        <v>1253</v>
      </c>
      <c r="I19" s="238">
        <v>2.91</v>
      </c>
      <c r="J19" s="238">
        <v>100</v>
      </c>
      <c r="K19" s="719">
        <v>291</v>
      </c>
    </row>
    <row r="20" spans="1:11" ht="14.4" customHeight="1" x14ac:dyDescent="0.3">
      <c r="A20" s="686" t="s">
        <v>507</v>
      </c>
      <c r="B20" s="677" t="s">
        <v>509</v>
      </c>
      <c r="C20" s="711" t="s">
        <v>521</v>
      </c>
      <c r="D20" s="729" t="s">
        <v>522</v>
      </c>
      <c r="E20" s="711" t="s">
        <v>1210</v>
      </c>
      <c r="F20" s="729" t="s">
        <v>1211</v>
      </c>
      <c r="G20" s="711" t="s">
        <v>1254</v>
      </c>
      <c r="H20" s="711" t="s">
        <v>1255</v>
      </c>
      <c r="I20" s="238">
        <v>7.95</v>
      </c>
      <c r="J20" s="238">
        <v>40</v>
      </c>
      <c r="K20" s="719">
        <v>318</v>
      </c>
    </row>
    <row r="21" spans="1:11" ht="14.4" customHeight="1" x14ac:dyDescent="0.3">
      <c r="A21" s="686" t="s">
        <v>507</v>
      </c>
      <c r="B21" s="677" t="s">
        <v>509</v>
      </c>
      <c r="C21" s="711" t="s">
        <v>521</v>
      </c>
      <c r="D21" s="729" t="s">
        <v>522</v>
      </c>
      <c r="E21" s="711" t="s">
        <v>1210</v>
      </c>
      <c r="F21" s="729" t="s">
        <v>1211</v>
      </c>
      <c r="G21" s="711" t="s">
        <v>1256</v>
      </c>
      <c r="H21" s="711" t="s">
        <v>1257</v>
      </c>
      <c r="I21" s="238">
        <v>6.65</v>
      </c>
      <c r="J21" s="238">
        <v>30</v>
      </c>
      <c r="K21" s="719">
        <v>199.5</v>
      </c>
    </row>
    <row r="22" spans="1:11" ht="14.4" customHeight="1" x14ac:dyDescent="0.3">
      <c r="A22" s="686" t="s">
        <v>507</v>
      </c>
      <c r="B22" s="677" t="s">
        <v>509</v>
      </c>
      <c r="C22" s="711" t="s">
        <v>521</v>
      </c>
      <c r="D22" s="729" t="s">
        <v>522</v>
      </c>
      <c r="E22" s="711" t="s">
        <v>1210</v>
      </c>
      <c r="F22" s="729" t="s">
        <v>1211</v>
      </c>
      <c r="G22" s="711" t="s">
        <v>1258</v>
      </c>
      <c r="H22" s="711" t="s">
        <v>1259</v>
      </c>
      <c r="I22" s="238">
        <v>1672.2</v>
      </c>
      <c r="J22" s="238">
        <v>1</v>
      </c>
      <c r="K22" s="719">
        <v>1672.2</v>
      </c>
    </row>
    <row r="23" spans="1:11" ht="14.4" customHeight="1" x14ac:dyDescent="0.3">
      <c r="A23" s="686" t="s">
        <v>507</v>
      </c>
      <c r="B23" s="677" t="s">
        <v>509</v>
      </c>
      <c r="C23" s="711" t="s">
        <v>521</v>
      </c>
      <c r="D23" s="729" t="s">
        <v>522</v>
      </c>
      <c r="E23" s="711" t="s">
        <v>1210</v>
      </c>
      <c r="F23" s="729" t="s">
        <v>1211</v>
      </c>
      <c r="G23" s="711" t="s">
        <v>1260</v>
      </c>
      <c r="H23" s="711" t="s">
        <v>1261</v>
      </c>
      <c r="I23" s="238">
        <v>60.5</v>
      </c>
      <c r="J23" s="238">
        <v>20</v>
      </c>
      <c r="K23" s="719">
        <v>1210</v>
      </c>
    </row>
    <row r="24" spans="1:11" ht="14.4" customHeight="1" x14ac:dyDescent="0.3">
      <c r="A24" s="686" t="s">
        <v>507</v>
      </c>
      <c r="B24" s="677" t="s">
        <v>509</v>
      </c>
      <c r="C24" s="711" t="s">
        <v>521</v>
      </c>
      <c r="D24" s="729" t="s">
        <v>522</v>
      </c>
      <c r="E24" s="711" t="s">
        <v>1216</v>
      </c>
      <c r="F24" s="729" t="s">
        <v>1217</v>
      </c>
      <c r="G24" s="711" t="s">
        <v>1262</v>
      </c>
      <c r="H24" s="711" t="s">
        <v>1263</v>
      </c>
      <c r="I24" s="238">
        <v>2299</v>
      </c>
      <c r="J24" s="238">
        <v>1</v>
      </c>
      <c r="K24" s="719">
        <v>2299</v>
      </c>
    </row>
    <row r="25" spans="1:11" ht="14.4" customHeight="1" x14ac:dyDescent="0.3">
      <c r="A25" s="686" t="s">
        <v>507</v>
      </c>
      <c r="B25" s="677" t="s">
        <v>509</v>
      </c>
      <c r="C25" s="711" t="s">
        <v>521</v>
      </c>
      <c r="D25" s="729" t="s">
        <v>522</v>
      </c>
      <c r="E25" s="711" t="s">
        <v>1218</v>
      </c>
      <c r="F25" s="729" t="s">
        <v>1219</v>
      </c>
      <c r="G25" s="711" t="s">
        <v>1264</v>
      </c>
      <c r="H25" s="711" t="s">
        <v>1265</v>
      </c>
      <c r="I25" s="238">
        <v>46.04</v>
      </c>
      <c r="J25" s="238">
        <v>36</v>
      </c>
      <c r="K25" s="719">
        <v>1657.36</v>
      </c>
    </row>
    <row r="26" spans="1:11" ht="14.4" customHeight="1" x14ac:dyDescent="0.3">
      <c r="A26" s="686" t="s">
        <v>507</v>
      </c>
      <c r="B26" s="677" t="s">
        <v>509</v>
      </c>
      <c r="C26" s="711" t="s">
        <v>521</v>
      </c>
      <c r="D26" s="729" t="s">
        <v>522</v>
      </c>
      <c r="E26" s="711" t="s">
        <v>1220</v>
      </c>
      <c r="F26" s="729" t="s">
        <v>1221</v>
      </c>
      <c r="G26" s="711" t="s">
        <v>1266</v>
      </c>
      <c r="H26" s="711" t="s">
        <v>1267</v>
      </c>
      <c r="I26" s="238">
        <v>0.3</v>
      </c>
      <c r="J26" s="238">
        <v>800</v>
      </c>
      <c r="K26" s="719">
        <v>240</v>
      </c>
    </row>
    <row r="27" spans="1:11" ht="14.4" customHeight="1" x14ac:dyDescent="0.3">
      <c r="A27" s="686" t="s">
        <v>507</v>
      </c>
      <c r="B27" s="677" t="s">
        <v>509</v>
      </c>
      <c r="C27" s="711" t="s">
        <v>521</v>
      </c>
      <c r="D27" s="729" t="s">
        <v>522</v>
      </c>
      <c r="E27" s="711" t="s">
        <v>1222</v>
      </c>
      <c r="F27" s="729" t="s">
        <v>1223</v>
      </c>
      <c r="G27" s="711" t="s">
        <v>1268</v>
      </c>
      <c r="H27" s="711" t="s">
        <v>1269</v>
      </c>
      <c r="I27" s="238">
        <v>1.22</v>
      </c>
      <c r="J27" s="238">
        <v>1700</v>
      </c>
      <c r="K27" s="719">
        <v>2074</v>
      </c>
    </row>
    <row r="28" spans="1:11" ht="14.4" customHeight="1" x14ac:dyDescent="0.3">
      <c r="A28" s="686" t="s">
        <v>507</v>
      </c>
      <c r="B28" s="677" t="s">
        <v>509</v>
      </c>
      <c r="C28" s="711" t="s">
        <v>525</v>
      </c>
      <c r="D28" s="729" t="s">
        <v>526</v>
      </c>
      <c r="E28" s="711" t="s">
        <v>1208</v>
      </c>
      <c r="F28" s="729" t="s">
        <v>1209</v>
      </c>
      <c r="G28" s="711" t="s">
        <v>1270</v>
      </c>
      <c r="H28" s="711" t="s">
        <v>1271</v>
      </c>
      <c r="I28" s="238">
        <v>16.100000000000001</v>
      </c>
      <c r="J28" s="238">
        <v>300</v>
      </c>
      <c r="K28" s="719">
        <v>4830</v>
      </c>
    </row>
    <row r="29" spans="1:11" ht="14.4" customHeight="1" x14ac:dyDescent="0.3">
      <c r="A29" s="686" t="s">
        <v>507</v>
      </c>
      <c r="B29" s="677" t="s">
        <v>509</v>
      </c>
      <c r="C29" s="711" t="s">
        <v>525</v>
      </c>
      <c r="D29" s="729" t="s">
        <v>526</v>
      </c>
      <c r="E29" s="711" t="s">
        <v>1208</v>
      </c>
      <c r="F29" s="729" t="s">
        <v>1209</v>
      </c>
      <c r="G29" s="711" t="s">
        <v>1272</v>
      </c>
      <c r="H29" s="711" t="s">
        <v>1273</v>
      </c>
      <c r="I29" s="238">
        <v>8.58</v>
      </c>
      <c r="J29" s="238">
        <v>12</v>
      </c>
      <c r="K29" s="719">
        <v>102.96</v>
      </c>
    </row>
    <row r="30" spans="1:11" ht="14.4" customHeight="1" x14ac:dyDescent="0.3">
      <c r="A30" s="686" t="s">
        <v>507</v>
      </c>
      <c r="B30" s="677" t="s">
        <v>509</v>
      </c>
      <c r="C30" s="711" t="s">
        <v>525</v>
      </c>
      <c r="D30" s="729" t="s">
        <v>526</v>
      </c>
      <c r="E30" s="711" t="s">
        <v>1208</v>
      </c>
      <c r="F30" s="729" t="s">
        <v>1209</v>
      </c>
      <c r="G30" s="711" t="s">
        <v>1274</v>
      </c>
      <c r="H30" s="711" t="s">
        <v>1275</v>
      </c>
      <c r="I30" s="238">
        <v>0.56000000000000005</v>
      </c>
      <c r="J30" s="238">
        <v>5000</v>
      </c>
      <c r="K30" s="719">
        <v>2800</v>
      </c>
    </row>
    <row r="31" spans="1:11" ht="14.4" customHeight="1" x14ac:dyDescent="0.3">
      <c r="A31" s="686" t="s">
        <v>507</v>
      </c>
      <c r="B31" s="677" t="s">
        <v>509</v>
      </c>
      <c r="C31" s="711" t="s">
        <v>525</v>
      </c>
      <c r="D31" s="729" t="s">
        <v>526</v>
      </c>
      <c r="E31" s="711" t="s">
        <v>1210</v>
      </c>
      <c r="F31" s="729" t="s">
        <v>1211</v>
      </c>
      <c r="G31" s="711" t="s">
        <v>1276</v>
      </c>
      <c r="H31" s="711" t="s">
        <v>1277</v>
      </c>
      <c r="I31" s="238">
        <v>3.51</v>
      </c>
      <c r="J31" s="238">
        <v>150</v>
      </c>
      <c r="K31" s="719">
        <v>526.5</v>
      </c>
    </row>
    <row r="32" spans="1:11" ht="14.4" customHeight="1" x14ac:dyDescent="0.3">
      <c r="A32" s="686" t="s">
        <v>507</v>
      </c>
      <c r="B32" s="677" t="s">
        <v>509</v>
      </c>
      <c r="C32" s="711" t="s">
        <v>525</v>
      </c>
      <c r="D32" s="729" t="s">
        <v>526</v>
      </c>
      <c r="E32" s="711" t="s">
        <v>1210</v>
      </c>
      <c r="F32" s="729" t="s">
        <v>1211</v>
      </c>
      <c r="G32" s="711" t="s">
        <v>1278</v>
      </c>
      <c r="H32" s="711" t="s">
        <v>1279</v>
      </c>
      <c r="I32" s="238">
        <v>0.22</v>
      </c>
      <c r="J32" s="238">
        <v>400</v>
      </c>
      <c r="K32" s="719">
        <v>88</v>
      </c>
    </row>
    <row r="33" spans="1:11" ht="14.4" customHeight="1" x14ac:dyDescent="0.3">
      <c r="A33" s="686" t="s">
        <v>507</v>
      </c>
      <c r="B33" s="677" t="s">
        <v>509</v>
      </c>
      <c r="C33" s="711" t="s">
        <v>525</v>
      </c>
      <c r="D33" s="729" t="s">
        <v>526</v>
      </c>
      <c r="E33" s="711" t="s">
        <v>1210</v>
      </c>
      <c r="F33" s="729" t="s">
        <v>1211</v>
      </c>
      <c r="G33" s="711" t="s">
        <v>1234</v>
      </c>
      <c r="H33" s="711" t="s">
        <v>1235</v>
      </c>
      <c r="I33" s="238">
        <v>0.42</v>
      </c>
      <c r="J33" s="238">
        <v>400</v>
      </c>
      <c r="K33" s="719">
        <v>168</v>
      </c>
    </row>
    <row r="34" spans="1:11" ht="14.4" customHeight="1" x14ac:dyDescent="0.3">
      <c r="A34" s="686" t="s">
        <v>507</v>
      </c>
      <c r="B34" s="677" t="s">
        <v>509</v>
      </c>
      <c r="C34" s="711" t="s">
        <v>525</v>
      </c>
      <c r="D34" s="729" t="s">
        <v>526</v>
      </c>
      <c r="E34" s="711" t="s">
        <v>1210</v>
      </c>
      <c r="F34" s="729" t="s">
        <v>1211</v>
      </c>
      <c r="G34" s="711" t="s">
        <v>1236</v>
      </c>
      <c r="H34" s="711" t="s">
        <v>1237</v>
      </c>
      <c r="I34" s="238">
        <v>0.57999999999999996</v>
      </c>
      <c r="J34" s="238">
        <v>800</v>
      </c>
      <c r="K34" s="719">
        <v>464</v>
      </c>
    </row>
    <row r="35" spans="1:11" ht="14.4" customHeight="1" x14ac:dyDescent="0.3">
      <c r="A35" s="686" t="s">
        <v>507</v>
      </c>
      <c r="B35" s="677" t="s">
        <v>509</v>
      </c>
      <c r="C35" s="711" t="s">
        <v>525</v>
      </c>
      <c r="D35" s="729" t="s">
        <v>526</v>
      </c>
      <c r="E35" s="711" t="s">
        <v>1210</v>
      </c>
      <c r="F35" s="729" t="s">
        <v>1211</v>
      </c>
      <c r="G35" s="711" t="s">
        <v>1280</v>
      </c>
      <c r="H35" s="711" t="s">
        <v>1281</v>
      </c>
      <c r="I35" s="238">
        <v>1.84</v>
      </c>
      <c r="J35" s="238">
        <v>20</v>
      </c>
      <c r="K35" s="719">
        <v>36.799999999999997</v>
      </c>
    </row>
    <row r="36" spans="1:11" ht="14.4" customHeight="1" x14ac:dyDescent="0.3">
      <c r="A36" s="686" t="s">
        <v>507</v>
      </c>
      <c r="B36" s="677" t="s">
        <v>509</v>
      </c>
      <c r="C36" s="711" t="s">
        <v>525</v>
      </c>
      <c r="D36" s="729" t="s">
        <v>526</v>
      </c>
      <c r="E36" s="711" t="s">
        <v>1210</v>
      </c>
      <c r="F36" s="729" t="s">
        <v>1211</v>
      </c>
      <c r="G36" s="711" t="s">
        <v>1252</v>
      </c>
      <c r="H36" s="711" t="s">
        <v>1253</v>
      </c>
      <c r="I36" s="238">
        <v>2.91</v>
      </c>
      <c r="J36" s="238">
        <v>200</v>
      </c>
      <c r="K36" s="719">
        <v>582</v>
      </c>
    </row>
    <row r="37" spans="1:11" ht="14.4" customHeight="1" x14ac:dyDescent="0.3">
      <c r="A37" s="686" t="s">
        <v>507</v>
      </c>
      <c r="B37" s="677" t="s">
        <v>509</v>
      </c>
      <c r="C37" s="711" t="s">
        <v>525</v>
      </c>
      <c r="D37" s="729" t="s">
        <v>526</v>
      </c>
      <c r="E37" s="711" t="s">
        <v>1210</v>
      </c>
      <c r="F37" s="729" t="s">
        <v>1211</v>
      </c>
      <c r="G37" s="711" t="s">
        <v>1282</v>
      </c>
      <c r="H37" s="711" t="s">
        <v>1283</v>
      </c>
      <c r="I37" s="238">
        <v>12.1</v>
      </c>
      <c r="J37" s="238">
        <v>20</v>
      </c>
      <c r="K37" s="719">
        <v>242</v>
      </c>
    </row>
    <row r="38" spans="1:11" ht="14.4" customHeight="1" x14ac:dyDescent="0.3">
      <c r="A38" s="686" t="s">
        <v>507</v>
      </c>
      <c r="B38" s="677" t="s">
        <v>509</v>
      </c>
      <c r="C38" s="711" t="s">
        <v>525</v>
      </c>
      <c r="D38" s="729" t="s">
        <v>526</v>
      </c>
      <c r="E38" s="711" t="s">
        <v>1210</v>
      </c>
      <c r="F38" s="729" t="s">
        <v>1211</v>
      </c>
      <c r="G38" s="711" t="s">
        <v>1284</v>
      </c>
      <c r="H38" s="711" t="s">
        <v>1285</v>
      </c>
      <c r="I38" s="238">
        <v>12.84</v>
      </c>
      <c r="J38" s="238">
        <v>50</v>
      </c>
      <c r="K38" s="719">
        <v>641.91</v>
      </c>
    </row>
    <row r="39" spans="1:11" ht="14.4" customHeight="1" x14ac:dyDescent="0.3">
      <c r="A39" s="686" t="s">
        <v>507</v>
      </c>
      <c r="B39" s="677" t="s">
        <v>509</v>
      </c>
      <c r="C39" s="711" t="s">
        <v>525</v>
      </c>
      <c r="D39" s="729" t="s">
        <v>526</v>
      </c>
      <c r="E39" s="711" t="s">
        <v>1212</v>
      </c>
      <c r="F39" s="729" t="s">
        <v>1213</v>
      </c>
      <c r="G39" s="711" t="s">
        <v>1286</v>
      </c>
      <c r="H39" s="711" t="s">
        <v>1287</v>
      </c>
      <c r="I39" s="238">
        <v>6.08</v>
      </c>
      <c r="J39" s="238">
        <v>150</v>
      </c>
      <c r="K39" s="719">
        <v>912</v>
      </c>
    </row>
    <row r="40" spans="1:11" ht="14.4" customHeight="1" x14ac:dyDescent="0.3">
      <c r="A40" s="686" t="s">
        <v>507</v>
      </c>
      <c r="B40" s="677" t="s">
        <v>509</v>
      </c>
      <c r="C40" s="711" t="s">
        <v>525</v>
      </c>
      <c r="D40" s="729" t="s">
        <v>526</v>
      </c>
      <c r="E40" s="711" t="s">
        <v>1212</v>
      </c>
      <c r="F40" s="729" t="s">
        <v>1213</v>
      </c>
      <c r="G40" s="711" t="s">
        <v>1288</v>
      </c>
      <c r="H40" s="711" t="s">
        <v>1289</v>
      </c>
      <c r="I40" s="238">
        <v>2940</v>
      </c>
      <c r="J40" s="238">
        <v>1</v>
      </c>
      <c r="K40" s="719">
        <v>2940</v>
      </c>
    </row>
    <row r="41" spans="1:11" ht="14.4" customHeight="1" x14ac:dyDescent="0.3">
      <c r="A41" s="686" t="s">
        <v>507</v>
      </c>
      <c r="B41" s="677" t="s">
        <v>509</v>
      </c>
      <c r="C41" s="711" t="s">
        <v>525</v>
      </c>
      <c r="D41" s="729" t="s">
        <v>526</v>
      </c>
      <c r="E41" s="711" t="s">
        <v>1214</v>
      </c>
      <c r="F41" s="729" t="s">
        <v>1215</v>
      </c>
      <c r="G41" s="711" t="s">
        <v>1290</v>
      </c>
      <c r="H41" s="711" t="s">
        <v>1291</v>
      </c>
      <c r="I41" s="238">
        <v>3971.33</v>
      </c>
      <c r="J41" s="238">
        <v>1</v>
      </c>
      <c r="K41" s="719">
        <v>3971.33</v>
      </c>
    </row>
    <row r="42" spans="1:11" ht="14.4" customHeight="1" x14ac:dyDescent="0.3">
      <c r="A42" s="686" t="s">
        <v>507</v>
      </c>
      <c r="B42" s="677" t="s">
        <v>509</v>
      </c>
      <c r="C42" s="711" t="s">
        <v>525</v>
      </c>
      <c r="D42" s="729" t="s">
        <v>526</v>
      </c>
      <c r="E42" s="711" t="s">
        <v>1214</v>
      </c>
      <c r="F42" s="729" t="s">
        <v>1215</v>
      </c>
      <c r="G42" s="711" t="s">
        <v>1292</v>
      </c>
      <c r="H42" s="711" t="s">
        <v>1293</v>
      </c>
      <c r="I42" s="238">
        <v>3986</v>
      </c>
      <c r="J42" s="238">
        <v>1</v>
      </c>
      <c r="K42" s="719">
        <v>3986</v>
      </c>
    </row>
    <row r="43" spans="1:11" ht="14.4" customHeight="1" x14ac:dyDescent="0.3">
      <c r="A43" s="686" t="s">
        <v>507</v>
      </c>
      <c r="B43" s="677" t="s">
        <v>509</v>
      </c>
      <c r="C43" s="711" t="s">
        <v>525</v>
      </c>
      <c r="D43" s="729" t="s">
        <v>526</v>
      </c>
      <c r="E43" s="711" t="s">
        <v>1214</v>
      </c>
      <c r="F43" s="729" t="s">
        <v>1215</v>
      </c>
      <c r="G43" s="711" t="s">
        <v>1294</v>
      </c>
      <c r="H43" s="711" t="s">
        <v>1295</v>
      </c>
      <c r="I43" s="238">
        <v>3971.4133333333339</v>
      </c>
      <c r="J43" s="238">
        <v>4</v>
      </c>
      <c r="K43" s="719">
        <v>15886.07</v>
      </c>
    </row>
    <row r="44" spans="1:11" ht="14.4" customHeight="1" x14ac:dyDescent="0.3">
      <c r="A44" s="686" t="s">
        <v>507</v>
      </c>
      <c r="B44" s="677" t="s">
        <v>509</v>
      </c>
      <c r="C44" s="711" t="s">
        <v>525</v>
      </c>
      <c r="D44" s="729" t="s">
        <v>526</v>
      </c>
      <c r="E44" s="711" t="s">
        <v>1214</v>
      </c>
      <c r="F44" s="729" t="s">
        <v>1215</v>
      </c>
      <c r="G44" s="711" t="s">
        <v>1296</v>
      </c>
      <c r="H44" s="711" t="s">
        <v>1297</v>
      </c>
      <c r="I44" s="238">
        <v>271.7</v>
      </c>
      <c r="J44" s="238">
        <v>2</v>
      </c>
      <c r="K44" s="719">
        <v>543.4</v>
      </c>
    </row>
    <row r="45" spans="1:11" ht="14.4" customHeight="1" x14ac:dyDescent="0.3">
      <c r="A45" s="686" t="s">
        <v>507</v>
      </c>
      <c r="B45" s="677" t="s">
        <v>509</v>
      </c>
      <c r="C45" s="711" t="s">
        <v>525</v>
      </c>
      <c r="D45" s="729" t="s">
        <v>526</v>
      </c>
      <c r="E45" s="711" t="s">
        <v>1214</v>
      </c>
      <c r="F45" s="729" t="s">
        <v>1215</v>
      </c>
      <c r="G45" s="711" t="s">
        <v>1298</v>
      </c>
      <c r="H45" s="711" t="s">
        <v>1299</v>
      </c>
      <c r="I45" s="238">
        <v>4011.38</v>
      </c>
      <c r="J45" s="238">
        <v>1</v>
      </c>
      <c r="K45" s="719">
        <v>4011.38</v>
      </c>
    </row>
    <row r="46" spans="1:11" ht="14.4" customHeight="1" x14ac:dyDescent="0.3">
      <c r="A46" s="686" t="s">
        <v>507</v>
      </c>
      <c r="B46" s="677" t="s">
        <v>509</v>
      </c>
      <c r="C46" s="711" t="s">
        <v>525</v>
      </c>
      <c r="D46" s="729" t="s">
        <v>526</v>
      </c>
      <c r="E46" s="711" t="s">
        <v>1214</v>
      </c>
      <c r="F46" s="729" t="s">
        <v>1215</v>
      </c>
      <c r="G46" s="711" t="s">
        <v>1300</v>
      </c>
      <c r="H46" s="711" t="s">
        <v>1301</v>
      </c>
      <c r="I46" s="238">
        <v>4236.71</v>
      </c>
      <c r="J46" s="238">
        <v>4</v>
      </c>
      <c r="K46" s="719">
        <v>16945.16</v>
      </c>
    </row>
    <row r="47" spans="1:11" ht="14.4" customHeight="1" x14ac:dyDescent="0.3">
      <c r="A47" s="686" t="s">
        <v>507</v>
      </c>
      <c r="B47" s="677" t="s">
        <v>509</v>
      </c>
      <c r="C47" s="711" t="s">
        <v>525</v>
      </c>
      <c r="D47" s="729" t="s">
        <v>526</v>
      </c>
      <c r="E47" s="711" t="s">
        <v>1214</v>
      </c>
      <c r="F47" s="729" t="s">
        <v>1215</v>
      </c>
      <c r="G47" s="711" t="s">
        <v>1302</v>
      </c>
      <c r="H47" s="711" t="s">
        <v>1303</v>
      </c>
      <c r="I47" s="238">
        <v>3986</v>
      </c>
      <c r="J47" s="238">
        <v>1</v>
      </c>
      <c r="K47" s="719">
        <v>3986</v>
      </c>
    </row>
    <row r="48" spans="1:11" ht="14.4" customHeight="1" x14ac:dyDescent="0.3">
      <c r="A48" s="686" t="s">
        <v>507</v>
      </c>
      <c r="B48" s="677" t="s">
        <v>509</v>
      </c>
      <c r="C48" s="711" t="s">
        <v>525</v>
      </c>
      <c r="D48" s="729" t="s">
        <v>526</v>
      </c>
      <c r="E48" s="711" t="s">
        <v>1214</v>
      </c>
      <c r="F48" s="729" t="s">
        <v>1215</v>
      </c>
      <c r="G48" s="711" t="s">
        <v>1304</v>
      </c>
      <c r="H48" s="711" t="s">
        <v>1305</v>
      </c>
      <c r="I48" s="238">
        <v>3986</v>
      </c>
      <c r="J48" s="238">
        <v>2</v>
      </c>
      <c r="K48" s="719">
        <v>7972</v>
      </c>
    </row>
    <row r="49" spans="1:11" ht="14.4" customHeight="1" x14ac:dyDescent="0.3">
      <c r="A49" s="686" t="s">
        <v>507</v>
      </c>
      <c r="B49" s="677" t="s">
        <v>509</v>
      </c>
      <c r="C49" s="711" t="s">
        <v>525</v>
      </c>
      <c r="D49" s="729" t="s">
        <v>526</v>
      </c>
      <c r="E49" s="711" t="s">
        <v>1214</v>
      </c>
      <c r="F49" s="729" t="s">
        <v>1215</v>
      </c>
      <c r="G49" s="711" t="s">
        <v>1306</v>
      </c>
      <c r="H49" s="711" t="s">
        <v>1307</v>
      </c>
      <c r="I49" s="238">
        <v>4236.7700000000004</v>
      </c>
      <c r="J49" s="238">
        <v>1</v>
      </c>
      <c r="K49" s="719">
        <v>4236.7700000000004</v>
      </c>
    </row>
    <row r="50" spans="1:11" ht="14.4" customHeight="1" x14ac:dyDescent="0.3">
      <c r="A50" s="686" t="s">
        <v>507</v>
      </c>
      <c r="B50" s="677" t="s">
        <v>509</v>
      </c>
      <c r="C50" s="711" t="s">
        <v>525</v>
      </c>
      <c r="D50" s="729" t="s">
        <v>526</v>
      </c>
      <c r="E50" s="711" t="s">
        <v>1214</v>
      </c>
      <c r="F50" s="729" t="s">
        <v>1215</v>
      </c>
      <c r="G50" s="711" t="s">
        <v>1308</v>
      </c>
      <c r="H50" s="711" t="s">
        <v>1309</v>
      </c>
      <c r="I50" s="238">
        <v>7046.18</v>
      </c>
      <c r="J50" s="238">
        <v>2</v>
      </c>
      <c r="K50" s="719">
        <v>14092.36</v>
      </c>
    </row>
    <row r="51" spans="1:11" ht="14.4" customHeight="1" x14ac:dyDescent="0.3">
      <c r="A51" s="686" t="s">
        <v>507</v>
      </c>
      <c r="B51" s="677" t="s">
        <v>509</v>
      </c>
      <c r="C51" s="711" t="s">
        <v>525</v>
      </c>
      <c r="D51" s="729" t="s">
        <v>526</v>
      </c>
      <c r="E51" s="711" t="s">
        <v>1214</v>
      </c>
      <c r="F51" s="729" t="s">
        <v>1215</v>
      </c>
      <c r="G51" s="711" t="s">
        <v>1310</v>
      </c>
      <c r="H51" s="711" t="s">
        <v>1311</v>
      </c>
      <c r="I51" s="238">
        <v>3277.51</v>
      </c>
      <c r="J51" s="238">
        <v>1</v>
      </c>
      <c r="K51" s="719">
        <v>3277.51</v>
      </c>
    </row>
    <row r="52" spans="1:11" ht="14.4" customHeight="1" x14ac:dyDescent="0.3">
      <c r="A52" s="686" t="s">
        <v>507</v>
      </c>
      <c r="B52" s="677" t="s">
        <v>509</v>
      </c>
      <c r="C52" s="711" t="s">
        <v>525</v>
      </c>
      <c r="D52" s="729" t="s">
        <v>526</v>
      </c>
      <c r="E52" s="711" t="s">
        <v>1214</v>
      </c>
      <c r="F52" s="729" t="s">
        <v>1215</v>
      </c>
      <c r="G52" s="711" t="s">
        <v>1312</v>
      </c>
      <c r="H52" s="711" t="s">
        <v>1313</v>
      </c>
      <c r="I52" s="238">
        <v>2865</v>
      </c>
      <c r="J52" s="238">
        <v>3</v>
      </c>
      <c r="K52" s="719">
        <v>8594.99</v>
      </c>
    </row>
    <row r="53" spans="1:11" ht="14.4" customHeight="1" x14ac:dyDescent="0.3">
      <c r="A53" s="686" t="s">
        <v>507</v>
      </c>
      <c r="B53" s="677" t="s">
        <v>509</v>
      </c>
      <c r="C53" s="711" t="s">
        <v>525</v>
      </c>
      <c r="D53" s="729" t="s">
        <v>526</v>
      </c>
      <c r="E53" s="711" t="s">
        <v>1214</v>
      </c>
      <c r="F53" s="729" t="s">
        <v>1215</v>
      </c>
      <c r="G53" s="711" t="s">
        <v>1314</v>
      </c>
      <c r="H53" s="711" t="s">
        <v>1315</v>
      </c>
      <c r="I53" s="238">
        <v>1013.26</v>
      </c>
      <c r="J53" s="238">
        <v>1</v>
      </c>
      <c r="K53" s="719">
        <v>1013.26</v>
      </c>
    </row>
    <row r="54" spans="1:11" ht="14.4" customHeight="1" x14ac:dyDescent="0.3">
      <c r="A54" s="686" t="s">
        <v>507</v>
      </c>
      <c r="B54" s="677" t="s">
        <v>509</v>
      </c>
      <c r="C54" s="711" t="s">
        <v>525</v>
      </c>
      <c r="D54" s="729" t="s">
        <v>526</v>
      </c>
      <c r="E54" s="711" t="s">
        <v>1214</v>
      </c>
      <c r="F54" s="729" t="s">
        <v>1215</v>
      </c>
      <c r="G54" s="711" t="s">
        <v>1316</v>
      </c>
      <c r="H54" s="711" t="s">
        <v>1317</v>
      </c>
      <c r="I54" s="238">
        <v>5016.01</v>
      </c>
      <c r="J54" s="238">
        <v>1</v>
      </c>
      <c r="K54" s="719">
        <v>5016.01</v>
      </c>
    </row>
    <row r="55" spans="1:11" ht="14.4" customHeight="1" x14ac:dyDescent="0.3">
      <c r="A55" s="686" t="s">
        <v>507</v>
      </c>
      <c r="B55" s="677" t="s">
        <v>509</v>
      </c>
      <c r="C55" s="711" t="s">
        <v>525</v>
      </c>
      <c r="D55" s="729" t="s">
        <v>526</v>
      </c>
      <c r="E55" s="711" t="s">
        <v>1218</v>
      </c>
      <c r="F55" s="729" t="s">
        <v>1219</v>
      </c>
      <c r="G55" s="711" t="s">
        <v>1264</v>
      </c>
      <c r="H55" s="711" t="s">
        <v>1265</v>
      </c>
      <c r="I55" s="238">
        <v>46.03</v>
      </c>
      <c r="J55" s="238">
        <v>108</v>
      </c>
      <c r="K55" s="719">
        <v>4971.24</v>
      </c>
    </row>
    <row r="56" spans="1:11" ht="14.4" customHeight="1" x14ac:dyDescent="0.3">
      <c r="A56" s="686" t="s">
        <v>507</v>
      </c>
      <c r="B56" s="677" t="s">
        <v>509</v>
      </c>
      <c r="C56" s="711" t="s">
        <v>525</v>
      </c>
      <c r="D56" s="729" t="s">
        <v>526</v>
      </c>
      <c r="E56" s="711" t="s">
        <v>1220</v>
      </c>
      <c r="F56" s="729" t="s">
        <v>1221</v>
      </c>
      <c r="G56" s="711" t="s">
        <v>1266</v>
      </c>
      <c r="H56" s="711" t="s">
        <v>1267</v>
      </c>
      <c r="I56" s="238">
        <v>0.3</v>
      </c>
      <c r="J56" s="238">
        <v>800</v>
      </c>
      <c r="K56" s="719">
        <v>240</v>
      </c>
    </row>
    <row r="57" spans="1:11" ht="14.4" customHeight="1" x14ac:dyDescent="0.3">
      <c r="A57" s="686" t="s">
        <v>507</v>
      </c>
      <c r="B57" s="677" t="s">
        <v>509</v>
      </c>
      <c r="C57" s="711" t="s">
        <v>525</v>
      </c>
      <c r="D57" s="729" t="s">
        <v>526</v>
      </c>
      <c r="E57" s="711" t="s">
        <v>1220</v>
      </c>
      <c r="F57" s="729" t="s">
        <v>1221</v>
      </c>
      <c r="G57" s="711" t="s">
        <v>1318</v>
      </c>
      <c r="H57" s="711" t="s">
        <v>1319</v>
      </c>
      <c r="I57" s="238">
        <v>0.31</v>
      </c>
      <c r="J57" s="238">
        <v>300</v>
      </c>
      <c r="K57" s="719">
        <v>93</v>
      </c>
    </row>
    <row r="58" spans="1:11" ht="14.4" customHeight="1" x14ac:dyDescent="0.3">
      <c r="A58" s="686" t="s">
        <v>507</v>
      </c>
      <c r="B58" s="677" t="s">
        <v>509</v>
      </c>
      <c r="C58" s="711" t="s">
        <v>525</v>
      </c>
      <c r="D58" s="729" t="s">
        <v>526</v>
      </c>
      <c r="E58" s="711" t="s">
        <v>1222</v>
      </c>
      <c r="F58" s="729" t="s">
        <v>1223</v>
      </c>
      <c r="G58" s="711" t="s">
        <v>1268</v>
      </c>
      <c r="H58" s="711" t="s">
        <v>1269</v>
      </c>
      <c r="I58" s="238">
        <v>1.22</v>
      </c>
      <c r="J58" s="238">
        <v>1300</v>
      </c>
      <c r="K58" s="719">
        <v>1584.68</v>
      </c>
    </row>
    <row r="59" spans="1:11" ht="14.4" customHeight="1" x14ac:dyDescent="0.3">
      <c r="A59" s="686" t="s">
        <v>507</v>
      </c>
      <c r="B59" s="677" t="s">
        <v>509</v>
      </c>
      <c r="C59" s="711" t="s">
        <v>525</v>
      </c>
      <c r="D59" s="729" t="s">
        <v>526</v>
      </c>
      <c r="E59" s="711" t="s">
        <v>1222</v>
      </c>
      <c r="F59" s="729" t="s">
        <v>1223</v>
      </c>
      <c r="G59" s="711" t="s">
        <v>1320</v>
      </c>
      <c r="H59" s="711" t="s">
        <v>1321</v>
      </c>
      <c r="I59" s="238">
        <v>0.81</v>
      </c>
      <c r="J59" s="238">
        <v>2000</v>
      </c>
      <c r="K59" s="719">
        <v>1614.2</v>
      </c>
    </row>
    <row r="60" spans="1:11" ht="14.4" customHeight="1" x14ac:dyDescent="0.3">
      <c r="A60" s="686" t="s">
        <v>507</v>
      </c>
      <c r="B60" s="677" t="s">
        <v>509</v>
      </c>
      <c r="C60" s="711" t="s">
        <v>525</v>
      </c>
      <c r="D60" s="729" t="s">
        <v>526</v>
      </c>
      <c r="E60" s="711" t="s">
        <v>1222</v>
      </c>
      <c r="F60" s="729" t="s">
        <v>1223</v>
      </c>
      <c r="G60" s="711" t="s">
        <v>1322</v>
      </c>
      <c r="H60" s="711" t="s">
        <v>1323</v>
      </c>
      <c r="I60" s="238">
        <v>0.79</v>
      </c>
      <c r="J60" s="238">
        <v>1000</v>
      </c>
      <c r="K60" s="719">
        <v>786.5</v>
      </c>
    </row>
    <row r="61" spans="1:11" ht="14.4" customHeight="1" x14ac:dyDescent="0.3">
      <c r="A61" s="686" t="s">
        <v>507</v>
      </c>
      <c r="B61" s="677" t="s">
        <v>509</v>
      </c>
      <c r="C61" s="711" t="s">
        <v>527</v>
      </c>
      <c r="D61" s="729" t="s">
        <v>528</v>
      </c>
      <c r="E61" s="711" t="s">
        <v>1208</v>
      </c>
      <c r="F61" s="729" t="s">
        <v>1209</v>
      </c>
      <c r="G61" s="711" t="s">
        <v>1324</v>
      </c>
      <c r="H61" s="711" t="s">
        <v>1325</v>
      </c>
      <c r="I61" s="238">
        <v>0.23</v>
      </c>
      <c r="J61" s="238">
        <v>1000</v>
      </c>
      <c r="K61" s="719">
        <v>230</v>
      </c>
    </row>
    <row r="62" spans="1:11" ht="14.4" customHeight="1" x14ac:dyDescent="0.3">
      <c r="A62" s="686" t="s">
        <v>507</v>
      </c>
      <c r="B62" s="677" t="s">
        <v>509</v>
      </c>
      <c r="C62" s="711" t="s">
        <v>527</v>
      </c>
      <c r="D62" s="729" t="s">
        <v>528</v>
      </c>
      <c r="E62" s="711" t="s">
        <v>1208</v>
      </c>
      <c r="F62" s="729" t="s">
        <v>1209</v>
      </c>
      <c r="G62" s="711" t="s">
        <v>1270</v>
      </c>
      <c r="H62" s="711" t="s">
        <v>1271</v>
      </c>
      <c r="I62" s="238">
        <v>16.100000000000001</v>
      </c>
      <c r="J62" s="238">
        <v>200</v>
      </c>
      <c r="K62" s="719">
        <v>3220</v>
      </c>
    </row>
    <row r="63" spans="1:11" ht="14.4" customHeight="1" x14ac:dyDescent="0.3">
      <c r="A63" s="686" t="s">
        <v>507</v>
      </c>
      <c r="B63" s="677" t="s">
        <v>509</v>
      </c>
      <c r="C63" s="711" t="s">
        <v>527</v>
      </c>
      <c r="D63" s="729" t="s">
        <v>528</v>
      </c>
      <c r="E63" s="711" t="s">
        <v>1208</v>
      </c>
      <c r="F63" s="729" t="s">
        <v>1209</v>
      </c>
      <c r="G63" s="711" t="s">
        <v>1326</v>
      </c>
      <c r="H63" s="711" t="s">
        <v>1327</v>
      </c>
      <c r="I63" s="238">
        <v>1.33</v>
      </c>
      <c r="J63" s="238">
        <v>1000</v>
      </c>
      <c r="K63" s="719">
        <v>1331</v>
      </c>
    </row>
    <row r="64" spans="1:11" ht="14.4" customHeight="1" x14ac:dyDescent="0.3">
      <c r="A64" s="686" t="s">
        <v>507</v>
      </c>
      <c r="B64" s="677" t="s">
        <v>509</v>
      </c>
      <c r="C64" s="711" t="s">
        <v>527</v>
      </c>
      <c r="D64" s="729" t="s">
        <v>528</v>
      </c>
      <c r="E64" s="711" t="s">
        <v>1208</v>
      </c>
      <c r="F64" s="729" t="s">
        <v>1209</v>
      </c>
      <c r="G64" s="711" t="s">
        <v>1328</v>
      </c>
      <c r="H64" s="711" t="s">
        <v>1329</v>
      </c>
      <c r="I64" s="238">
        <v>13.01</v>
      </c>
      <c r="J64" s="238">
        <v>2</v>
      </c>
      <c r="K64" s="719">
        <v>26.02</v>
      </c>
    </row>
    <row r="65" spans="1:11" ht="14.4" customHeight="1" x14ac:dyDescent="0.3">
      <c r="A65" s="686" t="s">
        <v>507</v>
      </c>
      <c r="B65" s="677" t="s">
        <v>509</v>
      </c>
      <c r="C65" s="711" t="s">
        <v>527</v>
      </c>
      <c r="D65" s="729" t="s">
        <v>528</v>
      </c>
      <c r="E65" s="711" t="s">
        <v>1208</v>
      </c>
      <c r="F65" s="729" t="s">
        <v>1209</v>
      </c>
      <c r="G65" s="711" t="s">
        <v>1274</v>
      </c>
      <c r="H65" s="711" t="s">
        <v>1275</v>
      </c>
      <c r="I65" s="238">
        <v>0.56000000000000005</v>
      </c>
      <c r="J65" s="238">
        <v>5000</v>
      </c>
      <c r="K65" s="719">
        <v>2800</v>
      </c>
    </row>
    <row r="66" spans="1:11" ht="14.4" customHeight="1" x14ac:dyDescent="0.3">
      <c r="A66" s="686" t="s">
        <v>507</v>
      </c>
      <c r="B66" s="677" t="s">
        <v>509</v>
      </c>
      <c r="C66" s="711" t="s">
        <v>527</v>
      </c>
      <c r="D66" s="729" t="s">
        <v>528</v>
      </c>
      <c r="E66" s="711" t="s">
        <v>1208</v>
      </c>
      <c r="F66" s="729" t="s">
        <v>1209</v>
      </c>
      <c r="G66" s="711" t="s">
        <v>1330</v>
      </c>
      <c r="H66" s="711" t="s">
        <v>1331</v>
      </c>
      <c r="I66" s="238">
        <v>5.0916666666666659</v>
      </c>
      <c r="J66" s="238">
        <v>1026</v>
      </c>
      <c r="K66" s="719">
        <v>5227.1099999999997</v>
      </c>
    </row>
    <row r="67" spans="1:11" ht="14.4" customHeight="1" x14ac:dyDescent="0.3">
      <c r="A67" s="686" t="s">
        <v>507</v>
      </c>
      <c r="B67" s="677" t="s">
        <v>509</v>
      </c>
      <c r="C67" s="711" t="s">
        <v>527</v>
      </c>
      <c r="D67" s="729" t="s">
        <v>528</v>
      </c>
      <c r="E67" s="711" t="s">
        <v>1208</v>
      </c>
      <c r="F67" s="729" t="s">
        <v>1209</v>
      </c>
      <c r="G67" s="711" t="s">
        <v>1332</v>
      </c>
      <c r="H67" s="711" t="s">
        <v>1333</v>
      </c>
      <c r="I67" s="238">
        <v>5.09</v>
      </c>
      <c r="J67" s="238">
        <v>500</v>
      </c>
      <c r="K67" s="719">
        <v>2547.25</v>
      </c>
    </row>
    <row r="68" spans="1:11" ht="14.4" customHeight="1" x14ac:dyDescent="0.3">
      <c r="A68" s="686" t="s">
        <v>507</v>
      </c>
      <c r="B68" s="677" t="s">
        <v>509</v>
      </c>
      <c r="C68" s="711" t="s">
        <v>527</v>
      </c>
      <c r="D68" s="729" t="s">
        <v>528</v>
      </c>
      <c r="E68" s="711" t="s">
        <v>1208</v>
      </c>
      <c r="F68" s="729" t="s">
        <v>1209</v>
      </c>
      <c r="G68" s="711" t="s">
        <v>1334</v>
      </c>
      <c r="H68" s="711" t="s">
        <v>1335</v>
      </c>
      <c r="I68" s="238">
        <v>6.11</v>
      </c>
      <c r="J68" s="238">
        <v>50</v>
      </c>
      <c r="K68" s="719">
        <v>305.32</v>
      </c>
    </row>
    <row r="69" spans="1:11" ht="14.4" customHeight="1" x14ac:dyDescent="0.3">
      <c r="A69" s="686" t="s">
        <v>507</v>
      </c>
      <c r="B69" s="677" t="s">
        <v>509</v>
      </c>
      <c r="C69" s="711" t="s">
        <v>527</v>
      </c>
      <c r="D69" s="729" t="s">
        <v>528</v>
      </c>
      <c r="E69" s="711" t="s">
        <v>1210</v>
      </c>
      <c r="F69" s="729" t="s">
        <v>1211</v>
      </c>
      <c r="G69" s="711" t="s">
        <v>1278</v>
      </c>
      <c r="H69" s="711" t="s">
        <v>1279</v>
      </c>
      <c r="I69" s="238">
        <v>0.21</v>
      </c>
      <c r="J69" s="238">
        <v>400</v>
      </c>
      <c r="K69" s="719">
        <v>84</v>
      </c>
    </row>
    <row r="70" spans="1:11" ht="14.4" customHeight="1" x14ac:dyDescent="0.3">
      <c r="A70" s="686" t="s">
        <v>507</v>
      </c>
      <c r="B70" s="677" t="s">
        <v>509</v>
      </c>
      <c r="C70" s="711" t="s">
        <v>527</v>
      </c>
      <c r="D70" s="729" t="s">
        <v>528</v>
      </c>
      <c r="E70" s="711" t="s">
        <v>1210</v>
      </c>
      <c r="F70" s="729" t="s">
        <v>1211</v>
      </c>
      <c r="G70" s="711" t="s">
        <v>1234</v>
      </c>
      <c r="H70" s="711" t="s">
        <v>1235</v>
      </c>
      <c r="I70" s="238">
        <v>0.41499999999999998</v>
      </c>
      <c r="J70" s="238">
        <v>400</v>
      </c>
      <c r="K70" s="719">
        <v>166</v>
      </c>
    </row>
    <row r="71" spans="1:11" ht="14.4" customHeight="1" x14ac:dyDescent="0.3">
      <c r="A71" s="686" t="s">
        <v>507</v>
      </c>
      <c r="B71" s="677" t="s">
        <v>509</v>
      </c>
      <c r="C71" s="711" t="s">
        <v>527</v>
      </c>
      <c r="D71" s="729" t="s">
        <v>528</v>
      </c>
      <c r="E71" s="711" t="s">
        <v>1210</v>
      </c>
      <c r="F71" s="729" t="s">
        <v>1211</v>
      </c>
      <c r="G71" s="711" t="s">
        <v>1236</v>
      </c>
      <c r="H71" s="711" t="s">
        <v>1237</v>
      </c>
      <c r="I71" s="238">
        <v>0.57999999999999996</v>
      </c>
      <c r="J71" s="238">
        <v>800</v>
      </c>
      <c r="K71" s="719">
        <v>464</v>
      </c>
    </row>
    <row r="72" spans="1:11" ht="14.4" customHeight="1" x14ac:dyDescent="0.3">
      <c r="A72" s="686" t="s">
        <v>507</v>
      </c>
      <c r="B72" s="677" t="s">
        <v>509</v>
      </c>
      <c r="C72" s="711" t="s">
        <v>527</v>
      </c>
      <c r="D72" s="729" t="s">
        <v>528</v>
      </c>
      <c r="E72" s="711" t="s">
        <v>1210</v>
      </c>
      <c r="F72" s="729" t="s">
        <v>1211</v>
      </c>
      <c r="G72" s="711" t="s">
        <v>1252</v>
      </c>
      <c r="H72" s="711" t="s">
        <v>1253</v>
      </c>
      <c r="I72" s="238">
        <v>2.9050000000000002</v>
      </c>
      <c r="J72" s="238">
        <v>200</v>
      </c>
      <c r="K72" s="719">
        <v>581</v>
      </c>
    </row>
    <row r="73" spans="1:11" ht="14.4" customHeight="1" x14ac:dyDescent="0.3">
      <c r="A73" s="686" t="s">
        <v>507</v>
      </c>
      <c r="B73" s="677" t="s">
        <v>509</v>
      </c>
      <c r="C73" s="711" t="s">
        <v>527</v>
      </c>
      <c r="D73" s="729" t="s">
        <v>528</v>
      </c>
      <c r="E73" s="711" t="s">
        <v>1210</v>
      </c>
      <c r="F73" s="729" t="s">
        <v>1211</v>
      </c>
      <c r="G73" s="711" t="s">
        <v>1282</v>
      </c>
      <c r="H73" s="711" t="s">
        <v>1283</v>
      </c>
      <c r="I73" s="238">
        <v>12.105</v>
      </c>
      <c r="J73" s="238">
        <v>20</v>
      </c>
      <c r="K73" s="719">
        <v>242.1</v>
      </c>
    </row>
    <row r="74" spans="1:11" ht="14.4" customHeight="1" x14ac:dyDescent="0.3">
      <c r="A74" s="686" t="s">
        <v>507</v>
      </c>
      <c r="B74" s="677" t="s">
        <v>509</v>
      </c>
      <c r="C74" s="711" t="s">
        <v>527</v>
      </c>
      <c r="D74" s="729" t="s">
        <v>528</v>
      </c>
      <c r="E74" s="711" t="s">
        <v>1214</v>
      </c>
      <c r="F74" s="729" t="s">
        <v>1215</v>
      </c>
      <c r="G74" s="711" t="s">
        <v>1336</v>
      </c>
      <c r="H74" s="711" t="s">
        <v>1337</v>
      </c>
      <c r="I74" s="238">
        <v>1.19</v>
      </c>
      <c r="J74" s="238">
        <v>1000</v>
      </c>
      <c r="K74" s="719">
        <v>1185.69</v>
      </c>
    </row>
    <row r="75" spans="1:11" ht="14.4" customHeight="1" x14ac:dyDescent="0.3">
      <c r="A75" s="686" t="s">
        <v>507</v>
      </c>
      <c r="B75" s="677" t="s">
        <v>509</v>
      </c>
      <c r="C75" s="711" t="s">
        <v>527</v>
      </c>
      <c r="D75" s="729" t="s">
        <v>528</v>
      </c>
      <c r="E75" s="711" t="s">
        <v>1214</v>
      </c>
      <c r="F75" s="729" t="s">
        <v>1215</v>
      </c>
      <c r="G75" s="711" t="s">
        <v>1338</v>
      </c>
      <c r="H75" s="711" t="s">
        <v>1339</v>
      </c>
      <c r="I75" s="238">
        <v>44.77</v>
      </c>
      <c r="J75" s="238">
        <v>150</v>
      </c>
      <c r="K75" s="719">
        <v>6715.5</v>
      </c>
    </row>
    <row r="76" spans="1:11" ht="14.4" customHeight="1" x14ac:dyDescent="0.3">
      <c r="A76" s="686" t="s">
        <v>507</v>
      </c>
      <c r="B76" s="677" t="s">
        <v>509</v>
      </c>
      <c r="C76" s="711" t="s">
        <v>527</v>
      </c>
      <c r="D76" s="729" t="s">
        <v>528</v>
      </c>
      <c r="E76" s="711" t="s">
        <v>1214</v>
      </c>
      <c r="F76" s="729" t="s">
        <v>1215</v>
      </c>
      <c r="G76" s="711" t="s">
        <v>1340</v>
      </c>
      <c r="H76" s="711" t="s">
        <v>1341</v>
      </c>
      <c r="I76" s="238">
        <v>161.5</v>
      </c>
      <c r="J76" s="238">
        <v>6</v>
      </c>
      <c r="K76" s="719">
        <v>969</v>
      </c>
    </row>
    <row r="77" spans="1:11" ht="14.4" customHeight="1" x14ac:dyDescent="0.3">
      <c r="A77" s="686" t="s">
        <v>507</v>
      </c>
      <c r="B77" s="677" t="s">
        <v>509</v>
      </c>
      <c r="C77" s="711" t="s">
        <v>527</v>
      </c>
      <c r="D77" s="729" t="s">
        <v>528</v>
      </c>
      <c r="E77" s="711" t="s">
        <v>1214</v>
      </c>
      <c r="F77" s="729" t="s">
        <v>1215</v>
      </c>
      <c r="G77" s="711" t="s">
        <v>1342</v>
      </c>
      <c r="H77" s="711" t="s">
        <v>1343</v>
      </c>
      <c r="I77" s="238">
        <v>160.55000000000001</v>
      </c>
      <c r="J77" s="238">
        <v>2</v>
      </c>
      <c r="K77" s="719">
        <v>321.10000000000002</v>
      </c>
    </row>
    <row r="78" spans="1:11" ht="14.4" customHeight="1" x14ac:dyDescent="0.3">
      <c r="A78" s="686" t="s">
        <v>507</v>
      </c>
      <c r="B78" s="677" t="s">
        <v>509</v>
      </c>
      <c r="C78" s="711" t="s">
        <v>527</v>
      </c>
      <c r="D78" s="729" t="s">
        <v>528</v>
      </c>
      <c r="E78" s="711" t="s">
        <v>1214</v>
      </c>
      <c r="F78" s="729" t="s">
        <v>1215</v>
      </c>
      <c r="G78" s="711" t="s">
        <v>1344</v>
      </c>
      <c r="H78" s="711" t="s">
        <v>1345</v>
      </c>
      <c r="I78" s="238">
        <v>71.39</v>
      </c>
      <c r="J78" s="238">
        <v>150</v>
      </c>
      <c r="K78" s="719">
        <v>10708.5</v>
      </c>
    </row>
    <row r="79" spans="1:11" ht="14.4" customHeight="1" x14ac:dyDescent="0.3">
      <c r="A79" s="686" t="s">
        <v>507</v>
      </c>
      <c r="B79" s="677" t="s">
        <v>509</v>
      </c>
      <c r="C79" s="711" t="s">
        <v>527</v>
      </c>
      <c r="D79" s="729" t="s">
        <v>528</v>
      </c>
      <c r="E79" s="711" t="s">
        <v>1214</v>
      </c>
      <c r="F79" s="729" t="s">
        <v>1215</v>
      </c>
      <c r="G79" s="711" t="s">
        <v>1346</v>
      </c>
      <c r="H79" s="711" t="s">
        <v>1347</v>
      </c>
      <c r="I79" s="238">
        <v>44.77</v>
      </c>
      <c r="J79" s="238">
        <v>150</v>
      </c>
      <c r="K79" s="719">
        <v>6715.5</v>
      </c>
    </row>
    <row r="80" spans="1:11" ht="14.4" customHeight="1" x14ac:dyDescent="0.3">
      <c r="A80" s="686" t="s">
        <v>507</v>
      </c>
      <c r="B80" s="677" t="s">
        <v>509</v>
      </c>
      <c r="C80" s="711" t="s">
        <v>527</v>
      </c>
      <c r="D80" s="729" t="s">
        <v>528</v>
      </c>
      <c r="E80" s="711" t="s">
        <v>1214</v>
      </c>
      <c r="F80" s="729" t="s">
        <v>1215</v>
      </c>
      <c r="G80" s="711" t="s">
        <v>1348</v>
      </c>
      <c r="H80" s="711" t="s">
        <v>1349</v>
      </c>
      <c r="I80" s="238">
        <v>71.39</v>
      </c>
      <c r="J80" s="238">
        <v>150</v>
      </c>
      <c r="K80" s="719">
        <v>10708.5</v>
      </c>
    </row>
    <row r="81" spans="1:11" ht="14.4" customHeight="1" x14ac:dyDescent="0.3">
      <c r="A81" s="686" t="s">
        <v>507</v>
      </c>
      <c r="B81" s="677" t="s">
        <v>509</v>
      </c>
      <c r="C81" s="711" t="s">
        <v>527</v>
      </c>
      <c r="D81" s="729" t="s">
        <v>528</v>
      </c>
      <c r="E81" s="711" t="s">
        <v>1214</v>
      </c>
      <c r="F81" s="729" t="s">
        <v>1215</v>
      </c>
      <c r="G81" s="711" t="s">
        <v>1350</v>
      </c>
      <c r="H81" s="711" t="s">
        <v>1351</v>
      </c>
      <c r="I81" s="238">
        <v>107.69</v>
      </c>
      <c r="J81" s="238">
        <v>5</v>
      </c>
      <c r="K81" s="719">
        <v>538.45000000000005</v>
      </c>
    </row>
    <row r="82" spans="1:11" ht="14.4" customHeight="1" x14ac:dyDescent="0.3">
      <c r="A82" s="686" t="s">
        <v>507</v>
      </c>
      <c r="B82" s="677" t="s">
        <v>509</v>
      </c>
      <c r="C82" s="711" t="s">
        <v>527</v>
      </c>
      <c r="D82" s="729" t="s">
        <v>528</v>
      </c>
      <c r="E82" s="711" t="s">
        <v>1214</v>
      </c>
      <c r="F82" s="729" t="s">
        <v>1215</v>
      </c>
      <c r="G82" s="711" t="s">
        <v>1352</v>
      </c>
      <c r="H82" s="711" t="s">
        <v>1353</v>
      </c>
      <c r="I82" s="238">
        <v>179.08</v>
      </c>
      <c r="J82" s="238">
        <v>30</v>
      </c>
      <c r="K82" s="719">
        <v>5372.4</v>
      </c>
    </row>
    <row r="83" spans="1:11" ht="14.4" customHeight="1" x14ac:dyDescent="0.3">
      <c r="A83" s="686" t="s">
        <v>507</v>
      </c>
      <c r="B83" s="677" t="s">
        <v>509</v>
      </c>
      <c r="C83" s="711" t="s">
        <v>527</v>
      </c>
      <c r="D83" s="729" t="s">
        <v>528</v>
      </c>
      <c r="E83" s="711" t="s">
        <v>1214</v>
      </c>
      <c r="F83" s="729" t="s">
        <v>1215</v>
      </c>
      <c r="G83" s="711" t="s">
        <v>1354</v>
      </c>
      <c r="H83" s="711" t="s">
        <v>1355</v>
      </c>
      <c r="I83" s="238">
        <v>107.69</v>
      </c>
      <c r="J83" s="238">
        <v>15</v>
      </c>
      <c r="K83" s="719">
        <v>1615.35</v>
      </c>
    </row>
    <row r="84" spans="1:11" ht="14.4" customHeight="1" x14ac:dyDescent="0.3">
      <c r="A84" s="686" t="s">
        <v>507</v>
      </c>
      <c r="B84" s="677" t="s">
        <v>509</v>
      </c>
      <c r="C84" s="711" t="s">
        <v>527</v>
      </c>
      <c r="D84" s="729" t="s">
        <v>528</v>
      </c>
      <c r="E84" s="711" t="s">
        <v>1214</v>
      </c>
      <c r="F84" s="729" t="s">
        <v>1215</v>
      </c>
      <c r="G84" s="711" t="s">
        <v>1356</v>
      </c>
      <c r="H84" s="711" t="s">
        <v>1357</v>
      </c>
      <c r="I84" s="238">
        <v>72</v>
      </c>
      <c r="J84" s="238">
        <v>50</v>
      </c>
      <c r="K84" s="719">
        <v>3599.75</v>
      </c>
    </row>
    <row r="85" spans="1:11" ht="14.4" customHeight="1" x14ac:dyDescent="0.3">
      <c r="A85" s="686" t="s">
        <v>507</v>
      </c>
      <c r="B85" s="677" t="s">
        <v>509</v>
      </c>
      <c r="C85" s="711" t="s">
        <v>527</v>
      </c>
      <c r="D85" s="729" t="s">
        <v>528</v>
      </c>
      <c r="E85" s="711" t="s">
        <v>1218</v>
      </c>
      <c r="F85" s="729" t="s">
        <v>1219</v>
      </c>
      <c r="G85" s="711" t="s">
        <v>1358</v>
      </c>
      <c r="H85" s="711" t="s">
        <v>1359</v>
      </c>
      <c r="I85" s="238">
        <v>43.92</v>
      </c>
      <c r="J85" s="238">
        <v>108</v>
      </c>
      <c r="K85" s="719">
        <v>4743.75</v>
      </c>
    </row>
    <row r="86" spans="1:11" ht="14.4" customHeight="1" x14ac:dyDescent="0.3">
      <c r="A86" s="686" t="s">
        <v>507</v>
      </c>
      <c r="B86" s="677" t="s">
        <v>509</v>
      </c>
      <c r="C86" s="711" t="s">
        <v>527</v>
      </c>
      <c r="D86" s="729" t="s">
        <v>528</v>
      </c>
      <c r="E86" s="711" t="s">
        <v>1218</v>
      </c>
      <c r="F86" s="729" t="s">
        <v>1219</v>
      </c>
      <c r="G86" s="711" t="s">
        <v>1360</v>
      </c>
      <c r="H86" s="711" t="s">
        <v>1361</v>
      </c>
      <c r="I86" s="238">
        <v>60.35</v>
      </c>
      <c r="J86" s="238">
        <v>24</v>
      </c>
      <c r="K86" s="719">
        <v>1448.39</v>
      </c>
    </row>
    <row r="87" spans="1:11" ht="14.4" customHeight="1" x14ac:dyDescent="0.3">
      <c r="A87" s="686" t="s">
        <v>507</v>
      </c>
      <c r="B87" s="677" t="s">
        <v>509</v>
      </c>
      <c r="C87" s="711" t="s">
        <v>527</v>
      </c>
      <c r="D87" s="729" t="s">
        <v>528</v>
      </c>
      <c r="E87" s="711" t="s">
        <v>1220</v>
      </c>
      <c r="F87" s="729" t="s">
        <v>1221</v>
      </c>
      <c r="G87" s="711" t="s">
        <v>1266</v>
      </c>
      <c r="H87" s="711" t="s">
        <v>1267</v>
      </c>
      <c r="I87" s="238">
        <v>0.3</v>
      </c>
      <c r="J87" s="238">
        <v>500</v>
      </c>
      <c r="K87" s="719">
        <v>150</v>
      </c>
    </row>
    <row r="88" spans="1:11" ht="14.4" customHeight="1" x14ac:dyDescent="0.3">
      <c r="A88" s="686" t="s">
        <v>507</v>
      </c>
      <c r="B88" s="677" t="s">
        <v>509</v>
      </c>
      <c r="C88" s="711" t="s">
        <v>527</v>
      </c>
      <c r="D88" s="729" t="s">
        <v>528</v>
      </c>
      <c r="E88" s="711" t="s">
        <v>1220</v>
      </c>
      <c r="F88" s="729" t="s">
        <v>1221</v>
      </c>
      <c r="G88" s="711" t="s">
        <v>1318</v>
      </c>
      <c r="H88" s="711" t="s">
        <v>1319</v>
      </c>
      <c r="I88" s="238">
        <v>0.30499999999999999</v>
      </c>
      <c r="J88" s="238">
        <v>900</v>
      </c>
      <c r="K88" s="719">
        <v>273</v>
      </c>
    </row>
    <row r="89" spans="1:11" ht="14.4" customHeight="1" x14ac:dyDescent="0.3">
      <c r="A89" s="686" t="s">
        <v>507</v>
      </c>
      <c r="B89" s="677" t="s">
        <v>509</v>
      </c>
      <c r="C89" s="711" t="s">
        <v>527</v>
      </c>
      <c r="D89" s="729" t="s">
        <v>528</v>
      </c>
      <c r="E89" s="711" t="s">
        <v>1220</v>
      </c>
      <c r="F89" s="729" t="s">
        <v>1221</v>
      </c>
      <c r="G89" s="711" t="s">
        <v>1362</v>
      </c>
      <c r="H89" s="711" t="s">
        <v>1363</v>
      </c>
      <c r="I89" s="238">
        <v>0.3</v>
      </c>
      <c r="J89" s="238">
        <v>200</v>
      </c>
      <c r="K89" s="719">
        <v>60</v>
      </c>
    </row>
    <row r="90" spans="1:11" ht="14.4" customHeight="1" x14ac:dyDescent="0.3">
      <c r="A90" s="686" t="s">
        <v>507</v>
      </c>
      <c r="B90" s="677" t="s">
        <v>509</v>
      </c>
      <c r="C90" s="711" t="s">
        <v>527</v>
      </c>
      <c r="D90" s="729" t="s">
        <v>528</v>
      </c>
      <c r="E90" s="711" t="s">
        <v>1222</v>
      </c>
      <c r="F90" s="729" t="s">
        <v>1223</v>
      </c>
      <c r="G90" s="711" t="s">
        <v>1268</v>
      </c>
      <c r="H90" s="711" t="s">
        <v>1269</v>
      </c>
      <c r="I90" s="238">
        <v>1.22</v>
      </c>
      <c r="J90" s="238">
        <v>1000</v>
      </c>
      <c r="K90" s="719">
        <v>1218.3</v>
      </c>
    </row>
    <row r="91" spans="1:11" ht="14.4" customHeight="1" x14ac:dyDescent="0.3">
      <c r="A91" s="686" t="s">
        <v>507</v>
      </c>
      <c r="B91" s="677" t="s">
        <v>509</v>
      </c>
      <c r="C91" s="711" t="s">
        <v>527</v>
      </c>
      <c r="D91" s="729" t="s">
        <v>528</v>
      </c>
      <c r="E91" s="711" t="s">
        <v>1222</v>
      </c>
      <c r="F91" s="729" t="s">
        <v>1223</v>
      </c>
      <c r="G91" s="711" t="s">
        <v>1364</v>
      </c>
      <c r="H91" s="711" t="s">
        <v>1365</v>
      </c>
      <c r="I91" s="238">
        <v>0.77</v>
      </c>
      <c r="J91" s="238">
        <v>2000</v>
      </c>
      <c r="K91" s="719">
        <v>1540</v>
      </c>
    </row>
    <row r="92" spans="1:11" ht="14.4" customHeight="1" x14ac:dyDescent="0.3">
      <c r="A92" s="686" t="s">
        <v>507</v>
      </c>
      <c r="B92" s="677" t="s">
        <v>509</v>
      </c>
      <c r="C92" s="711" t="s">
        <v>527</v>
      </c>
      <c r="D92" s="729" t="s">
        <v>528</v>
      </c>
      <c r="E92" s="711" t="s">
        <v>1222</v>
      </c>
      <c r="F92" s="729" t="s">
        <v>1223</v>
      </c>
      <c r="G92" s="711" t="s">
        <v>1366</v>
      </c>
      <c r="H92" s="711" t="s">
        <v>1367</v>
      </c>
      <c r="I92" s="238">
        <v>1.1599999999999999</v>
      </c>
      <c r="J92" s="238">
        <v>500</v>
      </c>
      <c r="K92" s="719">
        <v>579.95000000000005</v>
      </c>
    </row>
    <row r="93" spans="1:11" ht="14.4" customHeight="1" x14ac:dyDescent="0.3">
      <c r="A93" s="686" t="s">
        <v>507</v>
      </c>
      <c r="B93" s="677" t="s">
        <v>509</v>
      </c>
      <c r="C93" s="711" t="s">
        <v>527</v>
      </c>
      <c r="D93" s="729" t="s">
        <v>528</v>
      </c>
      <c r="E93" s="711" t="s">
        <v>1222</v>
      </c>
      <c r="F93" s="729" t="s">
        <v>1223</v>
      </c>
      <c r="G93" s="711" t="s">
        <v>1368</v>
      </c>
      <c r="H93" s="711" t="s">
        <v>1369</v>
      </c>
      <c r="I93" s="238">
        <v>1.22</v>
      </c>
      <c r="J93" s="238">
        <v>2000</v>
      </c>
      <c r="K93" s="719">
        <v>2438.3000000000002</v>
      </c>
    </row>
    <row r="94" spans="1:11" ht="14.4" customHeight="1" x14ac:dyDescent="0.3">
      <c r="A94" s="686" t="s">
        <v>507</v>
      </c>
      <c r="B94" s="677" t="s">
        <v>509</v>
      </c>
      <c r="C94" s="711" t="s">
        <v>529</v>
      </c>
      <c r="D94" s="729" t="s">
        <v>530</v>
      </c>
      <c r="E94" s="711" t="s">
        <v>1208</v>
      </c>
      <c r="F94" s="729" t="s">
        <v>1209</v>
      </c>
      <c r="G94" s="711" t="s">
        <v>1270</v>
      </c>
      <c r="H94" s="711" t="s">
        <v>1271</v>
      </c>
      <c r="I94" s="238">
        <v>16.100000000000001</v>
      </c>
      <c r="J94" s="238">
        <v>150</v>
      </c>
      <c r="K94" s="719">
        <v>2415</v>
      </c>
    </row>
    <row r="95" spans="1:11" ht="14.4" customHeight="1" x14ac:dyDescent="0.3">
      <c r="A95" s="686" t="s">
        <v>507</v>
      </c>
      <c r="B95" s="677" t="s">
        <v>509</v>
      </c>
      <c r="C95" s="711" t="s">
        <v>529</v>
      </c>
      <c r="D95" s="729" t="s">
        <v>530</v>
      </c>
      <c r="E95" s="711" t="s">
        <v>1208</v>
      </c>
      <c r="F95" s="729" t="s">
        <v>1209</v>
      </c>
      <c r="G95" s="711" t="s">
        <v>1370</v>
      </c>
      <c r="H95" s="711" t="s">
        <v>1371</v>
      </c>
      <c r="I95" s="238">
        <v>14.31</v>
      </c>
      <c r="J95" s="238">
        <v>250</v>
      </c>
      <c r="K95" s="719">
        <v>3578</v>
      </c>
    </row>
    <row r="96" spans="1:11" ht="14.4" customHeight="1" x14ac:dyDescent="0.3">
      <c r="A96" s="686" t="s">
        <v>507</v>
      </c>
      <c r="B96" s="677" t="s">
        <v>509</v>
      </c>
      <c r="C96" s="711" t="s">
        <v>529</v>
      </c>
      <c r="D96" s="729" t="s">
        <v>530</v>
      </c>
      <c r="E96" s="711" t="s">
        <v>1208</v>
      </c>
      <c r="F96" s="729" t="s">
        <v>1209</v>
      </c>
      <c r="G96" s="711" t="s">
        <v>1372</v>
      </c>
      <c r="H96" s="711" t="s">
        <v>1373</v>
      </c>
      <c r="I96" s="238">
        <v>0.86</v>
      </c>
      <c r="J96" s="238">
        <v>300</v>
      </c>
      <c r="K96" s="719">
        <v>259.44</v>
      </c>
    </row>
    <row r="97" spans="1:11" ht="14.4" customHeight="1" x14ac:dyDescent="0.3">
      <c r="A97" s="686" t="s">
        <v>507</v>
      </c>
      <c r="B97" s="677" t="s">
        <v>509</v>
      </c>
      <c r="C97" s="711" t="s">
        <v>529</v>
      </c>
      <c r="D97" s="729" t="s">
        <v>530</v>
      </c>
      <c r="E97" s="711" t="s">
        <v>1210</v>
      </c>
      <c r="F97" s="729" t="s">
        <v>1211</v>
      </c>
      <c r="G97" s="711" t="s">
        <v>1374</v>
      </c>
      <c r="H97" s="711" t="s">
        <v>1375</v>
      </c>
      <c r="I97" s="238">
        <v>12.73</v>
      </c>
      <c r="J97" s="238">
        <v>50</v>
      </c>
      <c r="K97" s="719">
        <v>636.5</v>
      </c>
    </row>
    <row r="98" spans="1:11" ht="14.4" customHeight="1" x14ac:dyDescent="0.3">
      <c r="A98" s="686" t="s">
        <v>507</v>
      </c>
      <c r="B98" s="677" t="s">
        <v>509</v>
      </c>
      <c r="C98" s="711" t="s">
        <v>529</v>
      </c>
      <c r="D98" s="729" t="s">
        <v>530</v>
      </c>
      <c r="E98" s="711" t="s">
        <v>1210</v>
      </c>
      <c r="F98" s="729" t="s">
        <v>1211</v>
      </c>
      <c r="G98" s="711" t="s">
        <v>1232</v>
      </c>
      <c r="H98" s="711" t="s">
        <v>1233</v>
      </c>
      <c r="I98" s="238">
        <v>0.93</v>
      </c>
      <c r="J98" s="238">
        <v>200</v>
      </c>
      <c r="K98" s="719">
        <v>186</v>
      </c>
    </row>
    <row r="99" spans="1:11" ht="14.4" customHeight="1" x14ac:dyDescent="0.3">
      <c r="A99" s="686" t="s">
        <v>507</v>
      </c>
      <c r="B99" s="677" t="s">
        <v>509</v>
      </c>
      <c r="C99" s="711" t="s">
        <v>529</v>
      </c>
      <c r="D99" s="729" t="s">
        <v>530</v>
      </c>
      <c r="E99" s="711" t="s">
        <v>1210</v>
      </c>
      <c r="F99" s="729" t="s">
        <v>1211</v>
      </c>
      <c r="G99" s="711" t="s">
        <v>1376</v>
      </c>
      <c r="H99" s="711" t="s">
        <v>1377</v>
      </c>
      <c r="I99" s="238">
        <v>1.43</v>
      </c>
      <c r="J99" s="238">
        <v>300</v>
      </c>
      <c r="K99" s="719">
        <v>429</v>
      </c>
    </row>
    <row r="100" spans="1:11" ht="14.4" customHeight="1" x14ac:dyDescent="0.3">
      <c r="A100" s="686" t="s">
        <v>507</v>
      </c>
      <c r="B100" s="677" t="s">
        <v>509</v>
      </c>
      <c r="C100" s="711" t="s">
        <v>529</v>
      </c>
      <c r="D100" s="729" t="s">
        <v>530</v>
      </c>
      <c r="E100" s="711" t="s">
        <v>1210</v>
      </c>
      <c r="F100" s="729" t="s">
        <v>1211</v>
      </c>
      <c r="G100" s="711" t="s">
        <v>1234</v>
      </c>
      <c r="H100" s="711" t="s">
        <v>1235</v>
      </c>
      <c r="I100" s="238">
        <v>0.42</v>
      </c>
      <c r="J100" s="238">
        <v>200</v>
      </c>
      <c r="K100" s="719">
        <v>84</v>
      </c>
    </row>
    <row r="101" spans="1:11" ht="14.4" customHeight="1" x14ac:dyDescent="0.3">
      <c r="A101" s="686" t="s">
        <v>507</v>
      </c>
      <c r="B101" s="677" t="s">
        <v>509</v>
      </c>
      <c r="C101" s="711" t="s">
        <v>529</v>
      </c>
      <c r="D101" s="729" t="s">
        <v>530</v>
      </c>
      <c r="E101" s="711" t="s">
        <v>1210</v>
      </c>
      <c r="F101" s="729" t="s">
        <v>1211</v>
      </c>
      <c r="G101" s="711" t="s">
        <v>1236</v>
      </c>
      <c r="H101" s="711" t="s">
        <v>1237</v>
      </c>
      <c r="I101" s="238">
        <v>0.57999999999999996</v>
      </c>
      <c r="J101" s="238">
        <v>400</v>
      </c>
      <c r="K101" s="719">
        <v>232</v>
      </c>
    </row>
    <row r="102" spans="1:11" ht="14.4" customHeight="1" x14ac:dyDescent="0.3">
      <c r="A102" s="686" t="s">
        <v>507</v>
      </c>
      <c r="B102" s="677" t="s">
        <v>509</v>
      </c>
      <c r="C102" s="711" t="s">
        <v>529</v>
      </c>
      <c r="D102" s="729" t="s">
        <v>530</v>
      </c>
      <c r="E102" s="711" t="s">
        <v>1210</v>
      </c>
      <c r="F102" s="729" t="s">
        <v>1211</v>
      </c>
      <c r="G102" s="711" t="s">
        <v>1378</v>
      </c>
      <c r="H102" s="711" t="s">
        <v>1379</v>
      </c>
      <c r="I102" s="238">
        <v>4.2300000000000004</v>
      </c>
      <c r="J102" s="238">
        <v>100</v>
      </c>
      <c r="K102" s="719">
        <v>423</v>
      </c>
    </row>
    <row r="103" spans="1:11" ht="14.4" customHeight="1" x14ac:dyDescent="0.3">
      <c r="A103" s="686" t="s">
        <v>507</v>
      </c>
      <c r="B103" s="677" t="s">
        <v>509</v>
      </c>
      <c r="C103" s="711" t="s">
        <v>529</v>
      </c>
      <c r="D103" s="729" t="s">
        <v>530</v>
      </c>
      <c r="E103" s="711" t="s">
        <v>1210</v>
      </c>
      <c r="F103" s="729" t="s">
        <v>1211</v>
      </c>
      <c r="G103" s="711" t="s">
        <v>1380</v>
      </c>
      <c r="H103" s="711" t="s">
        <v>1381</v>
      </c>
      <c r="I103" s="238">
        <v>34.729999999999997</v>
      </c>
      <c r="J103" s="238">
        <v>40</v>
      </c>
      <c r="K103" s="719">
        <v>1389.1</v>
      </c>
    </row>
    <row r="104" spans="1:11" ht="14.4" customHeight="1" x14ac:dyDescent="0.3">
      <c r="A104" s="686" t="s">
        <v>507</v>
      </c>
      <c r="B104" s="677" t="s">
        <v>509</v>
      </c>
      <c r="C104" s="711" t="s">
        <v>529</v>
      </c>
      <c r="D104" s="729" t="s">
        <v>530</v>
      </c>
      <c r="E104" s="711" t="s">
        <v>1210</v>
      </c>
      <c r="F104" s="729" t="s">
        <v>1211</v>
      </c>
      <c r="G104" s="711" t="s">
        <v>1252</v>
      </c>
      <c r="H104" s="711" t="s">
        <v>1253</v>
      </c>
      <c r="I104" s="238">
        <v>2.9050000000000002</v>
      </c>
      <c r="J104" s="238">
        <v>200</v>
      </c>
      <c r="K104" s="719">
        <v>581</v>
      </c>
    </row>
    <row r="105" spans="1:11" ht="14.4" customHeight="1" x14ac:dyDescent="0.3">
      <c r="A105" s="686" t="s">
        <v>507</v>
      </c>
      <c r="B105" s="677" t="s">
        <v>509</v>
      </c>
      <c r="C105" s="711" t="s">
        <v>529</v>
      </c>
      <c r="D105" s="729" t="s">
        <v>530</v>
      </c>
      <c r="E105" s="711" t="s">
        <v>1210</v>
      </c>
      <c r="F105" s="729" t="s">
        <v>1211</v>
      </c>
      <c r="G105" s="711" t="s">
        <v>1282</v>
      </c>
      <c r="H105" s="711" t="s">
        <v>1283</v>
      </c>
      <c r="I105" s="238">
        <v>12.1</v>
      </c>
      <c r="J105" s="238">
        <v>10</v>
      </c>
      <c r="K105" s="719">
        <v>121</v>
      </c>
    </row>
    <row r="106" spans="1:11" ht="14.4" customHeight="1" x14ac:dyDescent="0.3">
      <c r="A106" s="686" t="s">
        <v>507</v>
      </c>
      <c r="B106" s="677" t="s">
        <v>509</v>
      </c>
      <c r="C106" s="711" t="s">
        <v>529</v>
      </c>
      <c r="D106" s="729" t="s">
        <v>530</v>
      </c>
      <c r="E106" s="711" t="s">
        <v>1210</v>
      </c>
      <c r="F106" s="729" t="s">
        <v>1211</v>
      </c>
      <c r="G106" s="711" t="s">
        <v>1382</v>
      </c>
      <c r="H106" s="711" t="s">
        <v>1383</v>
      </c>
      <c r="I106" s="238">
        <v>17.3</v>
      </c>
      <c r="J106" s="238">
        <v>100</v>
      </c>
      <c r="K106" s="719">
        <v>1730.3</v>
      </c>
    </row>
    <row r="107" spans="1:11" ht="14.4" customHeight="1" x14ac:dyDescent="0.3">
      <c r="A107" s="686" t="s">
        <v>507</v>
      </c>
      <c r="B107" s="677" t="s">
        <v>509</v>
      </c>
      <c r="C107" s="711" t="s">
        <v>529</v>
      </c>
      <c r="D107" s="729" t="s">
        <v>530</v>
      </c>
      <c r="E107" s="711" t="s">
        <v>1210</v>
      </c>
      <c r="F107" s="729" t="s">
        <v>1211</v>
      </c>
      <c r="G107" s="711" t="s">
        <v>1384</v>
      </c>
      <c r="H107" s="711" t="s">
        <v>1385</v>
      </c>
      <c r="I107" s="238">
        <v>170.25</v>
      </c>
      <c r="J107" s="238">
        <v>2</v>
      </c>
      <c r="K107" s="719">
        <v>340.49</v>
      </c>
    </row>
    <row r="108" spans="1:11" ht="14.4" customHeight="1" x14ac:dyDescent="0.3">
      <c r="A108" s="686" t="s">
        <v>507</v>
      </c>
      <c r="B108" s="677" t="s">
        <v>509</v>
      </c>
      <c r="C108" s="711" t="s">
        <v>529</v>
      </c>
      <c r="D108" s="729" t="s">
        <v>530</v>
      </c>
      <c r="E108" s="711" t="s">
        <v>1210</v>
      </c>
      <c r="F108" s="729" t="s">
        <v>1211</v>
      </c>
      <c r="G108" s="711" t="s">
        <v>1386</v>
      </c>
      <c r="H108" s="711" t="s">
        <v>1387</v>
      </c>
      <c r="I108" s="238">
        <v>4235.1099999999997</v>
      </c>
      <c r="J108" s="238">
        <v>3</v>
      </c>
      <c r="K108" s="719">
        <v>12705.33</v>
      </c>
    </row>
    <row r="109" spans="1:11" ht="14.4" customHeight="1" x14ac:dyDescent="0.3">
      <c r="A109" s="686" t="s">
        <v>507</v>
      </c>
      <c r="B109" s="677" t="s">
        <v>509</v>
      </c>
      <c r="C109" s="711" t="s">
        <v>529</v>
      </c>
      <c r="D109" s="729" t="s">
        <v>530</v>
      </c>
      <c r="E109" s="711" t="s">
        <v>1210</v>
      </c>
      <c r="F109" s="729" t="s">
        <v>1211</v>
      </c>
      <c r="G109" s="711" t="s">
        <v>1388</v>
      </c>
      <c r="H109" s="711" t="s">
        <v>1389</v>
      </c>
      <c r="I109" s="238">
        <v>76.23</v>
      </c>
      <c r="J109" s="238">
        <v>60</v>
      </c>
      <c r="K109" s="719">
        <v>4573.8</v>
      </c>
    </row>
    <row r="110" spans="1:11" ht="14.4" customHeight="1" x14ac:dyDescent="0.3">
      <c r="A110" s="686" t="s">
        <v>507</v>
      </c>
      <c r="B110" s="677" t="s">
        <v>509</v>
      </c>
      <c r="C110" s="711" t="s">
        <v>529</v>
      </c>
      <c r="D110" s="729" t="s">
        <v>530</v>
      </c>
      <c r="E110" s="711" t="s">
        <v>1210</v>
      </c>
      <c r="F110" s="729" t="s">
        <v>1211</v>
      </c>
      <c r="G110" s="711" t="s">
        <v>1390</v>
      </c>
      <c r="H110" s="711" t="s">
        <v>1391</v>
      </c>
      <c r="I110" s="238">
        <v>2.9</v>
      </c>
      <c r="J110" s="238">
        <v>100</v>
      </c>
      <c r="K110" s="719">
        <v>290</v>
      </c>
    </row>
    <row r="111" spans="1:11" ht="14.4" customHeight="1" x14ac:dyDescent="0.3">
      <c r="A111" s="686" t="s">
        <v>507</v>
      </c>
      <c r="B111" s="677" t="s">
        <v>509</v>
      </c>
      <c r="C111" s="711" t="s">
        <v>529</v>
      </c>
      <c r="D111" s="729" t="s">
        <v>530</v>
      </c>
      <c r="E111" s="711" t="s">
        <v>1210</v>
      </c>
      <c r="F111" s="729" t="s">
        <v>1211</v>
      </c>
      <c r="G111" s="711" t="s">
        <v>1392</v>
      </c>
      <c r="H111" s="711" t="s">
        <v>1393</v>
      </c>
      <c r="I111" s="238">
        <v>10.88</v>
      </c>
      <c r="J111" s="238">
        <v>900</v>
      </c>
      <c r="K111" s="719">
        <v>9790.11</v>
      </c>
    </row>
    <row r="112" spans="1:11" ht="14.4" customHeight="1" x14ac:dyDescent="0.3">
      <c r="A112" s="686" t="s">
        <v>507</v>
      </c>
      <c r="B112" s="677" t="s">
        <v>509</v>
      </c>
      <c r="C112" s="711" t="s">
        <v>529</v>
      </c>
      <c r="D112" s="729" t="s">
        <v>530</v>
      </c>
      <c r="E112" s="711" t="s">
        <v>1210</v>
      </c>
      <c r="F112" s="729" t="s">
        <v>1211</v>
      </c>
      <c r="G112" s="711" t="s">
        <v>1394</v>
      </c>
      <c r="H112" s="711" t="s">
        <v>1395</v>
      </c>
      <c r="I112" s="238">
        <v>25.59</v>
      </c>
      <c r="J112" s="238">
        <v>30</v>
      </c>
      <c r="K112" s="719">
        <v>767.7</v>
      </c>
    </row>
    <row r="113" spans="1:11" ht="14.4" customHeight="1" x14ac:dyDescent="0.3">
      <c r="A113" s="686" t="s">
        <v>507</v>
      </c>
      <c r="B113" s="677" t="s">
        <v>509</v>
      </c>
      <c r="C113" s="711" t="s">
        <v>529</v>
      </c>
      <c r="D113" s="729" t="s">
        <v>530</v>
      </c>
      <c r="E113" s="711" t="s">
        <v>1214</v>
      </c>
      <c r="F113" s="729" t="s">
        <v>1215</v>
      </c>
      <c r="G113" s="711" t="s">
        <v>1396</v>
      </c>
      <c r="H113" s="711" t="s">
        <v>1397</v>
      </c>
      <c r="I113" s="238">
        <v>138.47499999999999</v>
      </c>
      <c r="J113" s="238">
        <v>17</v>
      </c>
      <c r="K113" s="719">
        <v>2365.87</v>
      </c>
    </row>
    <row r="114" spans="1:11" ht="14.4" customHeight="1" x14ac:dyDescent="0.3">
      <c r="A114" s="686" t="s">
        <v>507</v>
      </c>
      <c r="B114" s="677" t="s">
        <v>509</v>
      </c>
      <c r="C114" s="711" t="s">
        <v>529</v>
      </c>
      <c r="D114" s="729" t="s">
        <v>530</v>
      </c>
      <c r="E114" s="711" t="s">
        <v>1214</v>
      </c>
      <c r="F114" s="729" t="s">
        <v>1215</v>
      </c>
      <c r="G114" s="711" t="s">
        <v>1398</v>
      </c>
      <c r="H114" s="711" t="s">
        <v>1399</v>
      </c>
      <c r="I114" s="238">
        <v>535.61500000000001</v>
      </c>
      <c r="J114" s="238">
        <v>2</v>
      </c>
      <c r="K114" s="719">
        <v>1071.23</v>
      </c>
    </row>
    <row r="115" spans="1:11" ht="14.4" customHeight="1" x14ac:dyDescent="0.3">
      <c r="A115" s="686" t="s">
        <v>507</v>
      </c>
      <c r="B115" s="677" t="s">
        <v>509</v>
      </c>
      <c r="C115" s="711" t="s">
        <v>529</v>
      </c>
      <c r="D115" s="729" t="s">
        <v>530</v>
      </c>
      <c r="E115" s="711" t="s">
        <v>1214</v>
      </c>
      <c r="F115" s="729" t="s">
        <v>1215</v>
      </c>
      <c r="G115" s="711" t="s">
        <v>1400</v>
      </c>
      <c r="H115" s="711" t="s">
        <v>1401</v>
      </c>
      <c r="I115" s="238">
        <v>152.58500000000001</v>
      </c>
      <c r="J115" s="238">
        <v>32</v>
      </c>
      <c r="K115" s="719">
        <v>4825.1699999999992</v>
      </c>
    </row>
    <row r="116" spans="1:11" ht="14.4" customHeight="1" x14ac:dyDescent="0.3">
      <c r="A116" s="686" t="s">
        <v>507</v>
      </c>
      <c r="B116" s="677" t="s">
        <v>509</v>
      </c>
      <c r="C116" s="711" t="s">
        <v>529</v>
      </c>
      <c r="D116" s="729" t="s">
        <v>530</v>
      </c>
      <c r="E116" s="711" t="s">
        <v>1214</v>
      </c>
      <c r="F116" s="729" t="s">
        <v>1215</v>
      </c>
      <c r="G116" s="711" t="s">
        <v>1402</v>
      </c>
      <c r="H116" s="711" t="s">
        <v>1403</v>
      </c>
      <c r="I116" s="238">
        <v>337.94499999999999</v>
      </c>
      <c r="J116" s="238">
        <v>6</v>
      </c>
      <c r="K116" s="719">
        <v>2015.21</v>
      </c>
    </row>
    <row r="117" spans="1:11" ht="14.4" customHeight="1" x14ac:dyDescent="0.3">
      <c r="A117" s="686" t="s">
        <v>507</v>
      </c>
      <c r="B117" s="677" t="s">
        <v>509</v>
      </c>
      <c r="C117" s="711" t="s">
        <v>529</v>
      </c>
      <c r="D117" s="729" t="s">
        <v>530</v>
      </c>
      <c r="E117" s="711" t="s">
        <v>1214</v>
      </c>
      <c r="F117" s="729" t="s">
        <v>1215</v>
      </c>
      <c r="G117" s="711" t="s">
        <v>1404</v>
      </c>
      <c r="H117" s="711" t="s">
        <v>1405</v>
      </c>
      <c r="I117" s="238">
        <v>147.19999999999999</v>
      </c>
      <c r="J117" s="238">
        <v>1</v>
      </c>
      <c r="K117" s="719">
        <v>147.19999999999999</v>
      </c>
    </row>
    <row r="118" spans="1:11" ht="14.4" customHeight="1" x14ac:dyDescent="0.3">
      <c r="A118" s="686" t="s">
        <v>507</v>
      </c>
      <c r="B118" s="677" t="s">
        <v>509</v>
      </c>
      <c r="C118" s="711" t="s">
        <v>529</v>
      </c>
      <c r="D118" s="729" t="s">
        <v>530</v>
      </c>
      <c r="E118" s="711" t="s">
        <v>1214</v>
      </c>
      <c r="F118" s="729" t="s">
        <v>1215</v>
      </c>
      <c r="G118" s="711" t="s">
        <v>1406</v>
      </c>
      <c r="H118" s="711" t="s">
        <v>1407</v>
      </c>
      <c r="I118" s="238">
        <v>170.655</v>
      </c>
      <c r="J118" s="238">
        <v>34</v>
      </c>
      <c r="K118" s="719">
        <v>5803.17</v>
      </c>
    </row>
    <row r="119" spans="1:11" ht="14.4" customHeight="1" x14ac:dyDescent="0.3">
      <c r="A119" s="686" t="s">
        <v>507</v>
      </c>
      <c r="B119" s="677" t="s">
        <v>509</v>
      </c>
      <c r="C119" s="711" t="s">
        <v>529</v>
      </c>
      <c r="D119" s="729" t="s">
        <v>530</v>
      </c>
      <c r="E119" s="711" t="s">
        <v>1214</v>
      </c>
      <c r="F119" s="729" t="s">
        <v>1215</v>
      </c>
      <c r="G119" s="711" t="s">
        <v>1408</v>
      </c>
      <c r="H119" s="711" t="s">
        <v>1409</v>
      </c>
      <c r="I119" s="238">
        <v>149.61500000000001</v>
      </c>
      <c r="J119" s="238">
        <v>7</v>
      </c>
      <c r="K119" s="719">
        <v>1047.21</v>
      </c>
    </row>
    <row r="120" spans="1:11" ht="14.4" customHeight="1" x14ac:dyDescent="0.3">
      <c r="A120" s="686" t="s">
        <v>507</v>
      </c>
      <c r="B120" s="677" t="s">
        <v>509</v>
      </c>
      <c r="C120" s="711" t="s">
        <v>529</v>
      </c>
      <c r="D120" s="729" t="s">
        <v>530</v>
      </c>
      <c r="E120" s="711" t="s">
        <v>1214</v>
      </c>
      <c r="F120" s="729" t="s">
        <v>1215</v>
      </c>
      <c r="G120" s="711" t="s">
        <v>1410</v>
      </c>
      <c r="H120" s="711" t="s">
        <v>1411</v>
      </c>
      <c r="I120" s="238">
        <v>158.51</v>
      </c>
      <c r="J120" s="238">
        <v>2</v>
      </c>
      <c r="K120" s="719">
        <v>317.02999999999997</v>
      </c>
    </row>
    <row r="121" spans="1:11" ht="14.4" customHeight="1" x14ac:dyDescent="0.3">
      <c r="A121" s="686" t="s">
        <v>507</v>
      </c>
      <c r="B121" s="677" t="s">
        <v>509</v>
      </c>
      <c r="C121" s="711" t="s">
        <v>529</v>
      </c>
      <c r="D121" s="729" t="s">
        <v>530</v>
      </c>
      <c r="E121" s="711" t="s">
        <v>1214</v>
      </c>
      <c r="F121" s="729" t="s">
        <v>1215</v>
      </c>
      <c r="G121" s="711" t="s">
        <v>1412</v>
      </c>
      <c r="H121" s="711" t="s">
        <v>1413</v>
      </c>
      <c r="I121" s="238">
        <v>149.54</v>
      </c>
      <c r="J121" s="238">
        <v>3</v>
      </c>
      <c r="K121" s="719">
        <v>448.62</v>
      </c>
    </row>
    <row r="122" spans="1:11" ht="14.4" customHeight="1" x14ac:dyDescent="0.3">
      <c r="A122" s="686" t="s">
        <v>507</v>
      </c>
      <c r="B122" s="677" t="s">
        <v>509</v>
      </c>
      <c r="C122" s="711" t="s">
        <v>529</v>
      </c>
      <c r="D122" s="729" t="s">
        <v>530</v>
      </c>
      <c r="E122" s="711" t="s">
        <v>1214</v>
      </c>
      <c r="F122" s="729" t="s">
        <v>1215</v>
      </c>
      <c r="G122" s="711" t="s">
        <v>1414</v>
      </c>
      <c r="H122" s="711" t="s">
        <v>1415</v>
      </c>
      <c r="I122" s="238">
        <v>3746.58</v>
      </c>
      <c r="J122" s="238">
        <v>1</v>
      </c>
      <c r="K122" s="719">
        <v>3746.58</v>
      </c>
    </row>
    <row r="123" spans="1:11" ht="14.4" customHeight="1" x14ac:dyDescent="0.3">
      <c r="A123" s="686" t="s">
        <v>507</v>
      </c>
      <c r="B123" s="677" t="s">
        <v>509</v>
      </c>
      <c r="C123" s="711" t="s">
        <v>529</v>
      </c>
      <c r="D123" s="729" t="s">
        <v>530</v>
      </c>
      <c r="E123" s="711" t="s">
        <v>1214</v>
      </c>
      <c r="F123" s="729" t="s">
        <v>1215</v>
      </c>
      <c r="G123" s="711" t="s">
        <v>1416</v>
      </c>
      <c r="H123" s="711" t="s">
        <v>1417</v>
      </c>
      <c r="I123" s="238">
        <v>176.89</v>
      </c>
      <c r="J123" s="238">
        <v>3</v>
      </c>
      <c r="K123" s="719">
        <v>525.51</v>
      </c>
    </row>
    <row r="124" spans="1:11" ht="14.4" customHeight="1" x14ac:dyDescent="0.3">
      <c r="A124" s="686" t="s">
        <v>507</v>
      </c>
      <c r="B124" s="677" t="s">
        <v>509</v>
      </c>
      <c r="C124" s="711" t="s">
        <v>529</v>
      </c>
      <c r="D124" s="729" t="s">
        <v>530</v>
      </c>
      <c r="E124" s="711" t="s">
        <v>1214</v>
      </c>
      <c r="F124" s="729" t="s">
        <v>1215</v>
      </c>
      <c r="G124" s="711" t="s">
        <v>1418</v>
      </c>
      <c r="H124" s="711" t="s">
        <v>1419</v>
      </c>
      <c r="I124" s="238">
        <v>154.02499999999998</v>
      </c>
      <c r="J124" s="238">
        <v>7</v>
      </c>
      <c r="K124" s="719">
        <v>1100.6200000000001</v>
      </c>
    </row>
    <row r="125" spans="1:11" ht="14.4" customHeight="1" x14ac:dyDescent="0.3">
      <c r="A125" s="686" t="s">
        <v>507</v>
      </c>
      <c r="B125" s="677" t="s">
        <v>509</v>
      </c>
      <c r="C125" s="711" t="s">
        <v>529</v>
      </c>
      <c r="D125" s="729" t="s">
        <v>530</v>
      </c>
      <c r="E125" s="711" t="s">
        <v>1214</v>
      </c>
      <c r="F125" s="729" t="s">
        <v>1215</v>
      </c>
      <c r="G125" s="711" t="s">
        <v>1420</v>
      </c>
      <c r="H125" s="711" t="s">
        <v>1421</v>
      </c>
      <c r="I125" s="238">
        <v>2488.9699999999998</v>
      </c>
      <c r="J125" s="238">
        <v>1</v>
      </c>
      <c r="K125" s="719">
        <v>2488.9699999999998</v>
      </c>
    </row>
    <row r="126" spans="1:11" ht="14.4" customHeight="1" x14ac:dyDescent="0.3">
      <c r="A126" s="686" t="s">
        <v>507</v>
      </c>
      <c r="B126" s="677" t="s">
        <v>509</v>
      </c>
      <c r="C126" s="711" t="s">
        <v>529</v>
      </c>
      <c r="D126" s="729" t="s">
        <v>530</v>
      </c>
      <c r="E126" s="711" t="s">
        <v>1214</v>
      </c>
      <c r="F126" s="729" t="s">
        <v>1215</v>
      </c>
      <c r="G126" s="711" t="s">
        <v>1422</v>
      </c>
      <c r="H126" s="711" t="s">
        <v>1423</v>
      </c>
      <c r="I126" s="238">
        <v>1951.73</v>
      </c>
      <c r="J126" s="238">
        <v>1</v>
      </c>
      <c r="K126" s="719">
        <v>1951.73</v>
      </c>
    </row>
    <row r="127" spans="1:11" ht="14.4" customHeight="1" x14ac:dyDescent="0.3">
      <c r="A127" s="686" t="s">
        <v>507</v>
      </c>
      <c r="B127" s="677" t="s">
        <v>509</v>
      </c>
      <c r="C127" s="711" t="s">
        <v>529</v>
      </c>
      <c r="D127" s="729" t="s">
        <v>530</v>
      </c>
      <c r="E127" s="711" t="s">
        <v>1218</v>
      </c>
      <c r="F127" s="729" t="s">
        <v>1219</v>
      </c>
      <c r="G127" s="711" t="s">
        <v>1424</v>
      </c>
      <c r="H127" s="711" t="s">
        <v>1425</v>
      </c>
      <c r="I127" s="238">
        <v>31.36</v>
      </c>
      <c r="J127" s="238">
        <v>24</v>
      </c>
      <c r="K127" s="719">
        <v>752.72</v>
      </c>
    </row>
    <row r="128" spans="1:11" ht="14.4" customHeight="1" x14ac:dyDescent="0.3">
      <c r="A128" s="686" t="s">
        <v>507</v>
      </c>
      <c r="B128" s="677" t="s">
        <v>509</v>
      </c>
      <c r="C128" s="711" t="s">
        <v>529</v>
      </c>
      <c r="D128" s="729" t="s">
        <v>530</v>
      </c>
      <c r="E128" s="711" t="s">
        <v>1218</v>
      </c>
      <c r="F128" s="729" t="s">
        <v>1219</v>
      </c>
      <c r="G128" s="711" t="s">
        <v>1426</v>
      </c>
      <c r="H128" s="711" t="s">
        <v>1427</v>
      </c>
      <c r="I128" s="238">
        <v>30.32</v>
      </c>
      <c r="J128" s="238">
        <v>24</v>
      </c>
      <c r="K128" s="719">
        <v>727.63</v>
      </c>
    </row>
    <row r="129" spans="1:11" ht="14.4" customHeight="1" x14ac:dyDescent="0.3">
      <c r="A129" s="686" t="s">
        <v>507</v>
      </c>
      <c r="B129" s="677" t="s">
        <v>509</v>
      </c>
      <c r="C129" s="711" t="s">
        <v>529</v>
      </c>
      <c r="D129" s="729" t="s">
        <v>530</v>
      </c>
      <c r="E129" s="711" t="s">
        <v>1220</v>
      </c>
      <c r="F129" s="729" t="s">
        <v>1221</v>
      </c>
      <c r="G129" s="711" t="s">
        <v>1266</v>
      </c>
      <c r="H129" s="711" t="s">
        <v>1267</v>
      </c>
      <c r="I129" s="238">
        <v>0.3</v>
      </c>
      <c r="J129" s="238">
        <v>1100</v>
      </c>
      <c r="K129" s="719">
        <v>330</v>
      </c>
    </row>
    <row r="130" spans="1:11" ht="14.4" customHeight="1" x14ac:dyDescent="0.3">
      <c r="A130" s="686" t="s">
        <v>507</v>
      </c>
      <c r="B130" s="677" t="s">
        <v>509</v>
      </c>
      <c r="C130" s="711" t="s">
        <v>529</v>
      </c>
      <c r="D130" s="729" t="s">
        <v>530</v>
      </c>
      <c r="E130" s="711" t="s">
        <v>1220</v>
      </c>
      <c r="F130" s="729" t="s">
        <v>1221</v>
      </c>
      <c r="G130" s="711" t="s">
        <v>1428</v>
      </c>
      <c r="H130" s="711" t="s">
        <v>1429</v>
      </c>
      <c r="I130" s="238">
        <v>372.26</v>
      </c>
      <c r="J130" s="238">
        <v>2</v>
      </c>
      <c r="K130" s="719">
        <v>744.52</v>
      </c>
    </row>
    <row r="131" spans="1:11" ht="14.4" customHeight="1" x14ac:dyDescent="0.3">
      <c r="A131" s="686" t="s">
        <v>507</v>
      </c>
      <c r="B131" s="677" t="s">
        <v>509</v>
      </c>
      <c r="C131" s="711" t="s">
        <v>529</v>
      </c>
      <c r="D131" s="729" t="s">
        <v>530</v>
      </c>
      <c r="E131" s="711" t="s">
        <v>1222</v>
      </c>
      <c r="F131" s="729" t="s">
        <v>1223</v>
      </c>
      <c r="G131" s="711" t="s">
        <v>1430</v>
      </c>
      <c r="H131" s="711" t="s">
        <v>1431</v>
      </c>
      <c r="I131" s="238">
        <v>7.5</v>
      </c>
      <c r="J131" s="238">
        <v>50</v>
      </c>
      <c r="K131" s="719">
        <v>375</v>
      </c>
    </row>
    <row r="132" spans="1:11" ht="14.4" customHeight="1" x14ac:dyDescent="0.3">
      <c r="A132" s="686" t="s">
        <v>507</v>
      </c>
      <c r="B132" s="677" t="s">
        <v>509</v>
      </c>
      <c r="C132" s="711" t="s">
        <v>529</v>
      </c>
      <c r="D132" s="729" t="s">
        <v>530</v>
      </c>
      <c r="E132" s="711" t="s">
        <v>1222</v>
      </c>
      <c r="F132" s="729" t="s">
        <v>1223</v>
      </c>
      <c r="G132" s="711" t="s">
        <v>1432</v>
      </c>
      <c r="H132" s="711" t="s">
        <v>1433</v>
      </c>
      <c r="I132" s="238">
        <v>7.5049999999999999</v>
      </c>
      <c r="J132" s="238">
        <v>200</v>
      </c>
      <c r="K132" s="719">
        <v>1501.5</v>
      </c>
    </row>
    <row r="133" spans="1:11" ht="14.4" customHeight="1" x14ac:dyDescent="0.3">
      <c r="A133" s="686" t="s">
        <v>507</v>
      </c>
      <c r="B133" s="677" t="s">
        <v>509</v>
      </c>
      <c r="C133" s="711" t="s">
        <v>529</v>
      </c>
      <c r="D133" s="729" t="s">
        <v>530</v>
      </c>
      <c r="E133" s="711" t="s">
        <v>1222</v>
      </c>
      <c r="F133" s="729" t="s">
        <v>1223</v>
      </c>
      <c r="G133" s="711" t="s">
        <v>1434</v>
      </c>
      <c r="H133" s="711" t="s">
        <v>1435</v>
      </c>
      <c r="I133" s="238">
        <v>7.5</v>
      </c>
      <c r="J133" s="238">
        <v>250</v>
      </c>
      <c r="K133" s="719">
        <v>1875</v>
      </c>
    </row>
    <row r="134" spans="1:11" ht="14.4" customHeight="1" x14ac:dyDescent="0.3">
      <c r="A134" s="686" t="s">
        <v>507</v>
      </c>
      <c r="B134" s="677" t="s">
        <v>509</v>
      </c>
      <c r="C134" s="711" t="s">
        <v>529</v>
      </c>
      <c r="D134" s="729" t="s">
        <v>530</v>
      </c>
      <c r="E134" s="711" t="s">
        <v>1222</v>
      </c>
      <c r="F134" s="729" t="s">
        <v>1223</v>
      </c>
      <c r="G134" s="711" t="s">
        <v>1436</v>
      </c>
      <c r="H134" s="711" t="s">
        <v>1437</v>
      </c>
      <c r="I134" s="238">
        <v>7.5</v>
      </c>
      <c r="J134" s="238">
        <v>300</v>
      </c>
      <c r="K134" s="719">
        <v>2250</v>
      </c>
    </row>
    <row r="135" spans="1:11" ht="14.4" customHeight="1" x14ac:dyDescent="0.3">
      <c r="A135" s="686" t="s">
        <v>507</v>
      </c>
      <c r="B135" s="677" t="s">
        <v>509</v>
      </c>
      <c r="C135" s="711" t="s">
        <v>529</v>
      </c>
      <c r="D135" s="729" t="s">
        <v>530</v>
      </c>
      <c r="E135" s="711" t="s">
        <v>1222</v>
      </c>
      <c r="F135" s="729" t="s">
        <v>1223</v>
      </c>
      <c r="G135" s="711" t="s">
        <v>1438</v>
      </c>
      <c r="H135" s="711" t="s">
        <v>1439</v>
      </c>
      <c r="I135" s="238">
        <v>7.5049999999999999</v>
      </c>
      <c r="J135" s="238">
        <v>100</v>
      </c>
      <c r="K135" s="719">
        <v>750.5</v>
      </c>
    </row>
    <row r="136" spans="1:11" ht="14.4" customHeight="1" thickBot="1" x14ac:dyDescent="0.35">
      <c r="A136" s="642" t="s">
        <v>507</v>
      </c>
      <c r="B136" s="679" t="s">
        <v>509</v>
      </c>
      <c r="C136" s="715" t="s">
        <v>529</v>
      </c>
      <c r="D136" s="730" t="s">
        <v>530</v>
      </c>
      <c r="E136" s="715" t="s">
        <v>1206</v>
      </c>
      <c r="F136" s="730" t="s">
        <v>1207</v>
      </c>
      <c r="G136" s="715" t="s">
        <v>1440</v>
      </c>
      <c r="H136" s="715" t="s">
        <v>1441</v>
      </c>
      <c r="I136" s="680">
        <v>182.4</v>
      </c>
      <c r="J136" s="680">
        <v>7.6999999999999999E-2</v>
      </c>
      <c r="K136" s="720">
        <v>14.0448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M31"/>
  <sheetViews>
    <sheetView showGridLines="0" showRowColHeaders="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M1"/>
    </sheetView>
  </sheetViews>
  <sheetFormatPr defaultRowHeight="14.4" outlineLevelRow="1" x14ac:dyDescent="0.3"/>
  <cols>
    <col min="1" max="1" width="37.21875" customWidth="1"/>
    <col min="2" max="3" width="12.21875" customWidth="1"/>
    <col min="4" max="4" width="12.21875" hidden="1" customWidth="1"/>
    <col min="5" max="5" width="12.21875" customWidth="1"/>
    <col min="6" max="6" width="12.21875" hidden="1" customWidth="1"/>
    <col min="7" max="8" width="12.21875" customWidth="1"/>
    <col min="9" max="9" width="12.21875" hidden="1" customWidth="1"/>
    <col min="10" max="10" width="12.21875" customWidth="1"/>
    <col min="11" max="11" width="12.21875" hidden="1" customWidth="1"/>
    <col min="12" max="12" width="12.21875" customWidth="1"/>
    <col min="13" max="13" width="12.21875" hidden="1" customWidth="1"/>
  </cols>
  <sheetData>
    <row r="1" spans="1:13" ht="18.600000000000001" thickBot="1" x14ac:dyDescent="0.4">
      <c r="A1" s="522" t="s">
        <v>134</v>
      </c>
      <c r="B1" s="523"/>
      <c r="C1" s="523"/>
      <c r="D1" s="523"/>
      <c r="E1" s="523"/>
      <c r="F1" s="523"/>
      <c r="G1" s="523"/>
      <c r="H1" s="523"/>
      <c r="I1" s="523"/>
      <c r="J1" s="523"/>
      <c r="K1" s="523"/>
      <c r="L1" s="523"/>
      <c r="M1" s="523"/>
    </row>
    <row r="2" spans="1:13" ht="15" thickBot="1" x14ac:dyDescent="0.35">
      <c r="A2" s="389" t="s">
        <v>299</v>
      </c>
      <c r="B2" s="390"/>
      <c r="C2" s="390"/>
      <c r="D2" s="390"/>
      <c r="E2" s="390"/>
      <c r="F2" s="390"/>
      <c r="G2" s="390"/>
      <c r="H2" s="390"/>
      <c r="I2" s="390"/>
      <c r="J2" s="390"/>
      <c r="K2" s="390"/>
      <c r="L2" s="390"/>
      <c r="M2" s="390"/>
    </row>
    <row r="3" spans="1:13" x14ac:dyDescent="0.3">
      <c r="A3" s="410" t="s">
        <v>293</v>
      </c>
      <c r="B3" s="524" t="s">
        <v>270</v>
      </c>
      <c r="C3" s="391">
        <v>0</v>
      </c>
      <c r="D3" s="392">
        <v>101</v>
      </c>
      <c r="E3" s="392">
        <v>102</v>
      </c>
      <c r="F3" s="413">
        <v>203</v>
      </c>
      <c r="G3" s="392" t="s">
        <v>250</v>
      </c>
      <c r="H3" s="392" t="s">
        <v>251</v>
      </c>
      <c r="I3" s="392" t="s">
        <v>252</v>
      </c>
      <c r="J3" s="392" t="s">
        <v>253</v>
      </c>
      <c r="K3" s="392" t="s">
        <v>254</v>
      </c>
      <c r="L3" s="392">
        <v>930</v>
      </c>
      <c r="M3" s="393">
        <v>940</v>
      </c>
    </row>
    <row r="4" spans="1:13" ht="60.6" outlineLevel="1" thickBot="1" x14ac:dyDescent="0.35">
      <c r="A4" s="411">
        <v>2014</v>
      </c>
      <c r="B4" s="525"/>
      <c r="C4" s="394" t="s">
        <v>271</v>
      </c>
      <c r="D4" s="395" t="s">
        <v>272</v>
      </c>
      <c r="E4" s="395" t="s">
        <v>273</v>
      </c>
      <c r="F4" s="414" t="s">
        <v>274</v>
      </c>
      <c r="G4" s="395" t="s">
        <v>275</v>
      </c>
      <c r="H4" s="395" t="s">
        <v>276</v>
      </c>
      <c r="I4" s="395" t="s">
        <v>277</v>
      </c>
      <c r="J4" s="395" t="s">
        <v>278</v>
      </c>
      <c r="K4" s="395" t="s">
        <v>279</v>
      </c>
      <c r="L4" s="395" t="s">
        <v>280</v>
      </c>
      <c r="M4" s="396" t="s">
        <v>281</v>
      </c>
    </row>
    <row r="5" spans="1:13" x14ac:dyDescent="0.3">
      <c r="A5" s="397" t="s">
        <v>282</v>
      </c>
      <c r="B5" s="441"/>
      <c r="C5" s="442"/>
      <c r="D5" s="443"/>
      <c r="E5" s="443"/>
      <c r="F5" s="443"/>
      <c r="G5" s="443"/>
      <c r="H5" s="443"/>
      <c r="I5" s="443"/>
      <c r="J5" s="443"/>
      <c r="K5" s="443"/>
      <c r="L5" s="443"/>
      <c r="M5" s="444"/>
    </row>
    <row r="6" spans="1:13" ht="15" collapsed="1" thickBot="1" x14ac:dyDescent="0.35">
      <c r="A6" s="398" t="s">
        <v>97</v>
      </c>
      <c r="B6" s="445">
        <f xml:space="preserve">
TRUNC(IF($A$4&lt;=12,SUMIFS('ON Data'!D:D,'ON Data'!$B:$B,$A$4,'ON Data'!$C:$C,1),SUMIFS('ON Data'!D:D,'ON Data'!$C:$C,1)/'ON Data'!$B$3),1)</f>
        <v>29</v>
      </c>
      <c r="C6" s="446">
        <f xml:space="preserve">
TRUNC(IF($A$4&lt;=12,SUMIFS('ON Data'!E:E,'ON Data'!$B:$B,$A$4,'ON Data'!$C:$C,1),SUMIFS('ON Data'!E:E,'ON Data'!$C:$C,1)/'ON Data'!$B$3),1)</f>
        <v>0</v>
      </c>
      <c r="D6" s="447">
        <f xml:space="preserve">
TRUNC(IF($A$4&lt;=12,SUMIFS('ON Data'!F:F,'ON Data'!$B:$B,$A$4,'ON Data'!$C:$C,1),SUMIFS('ON Data'!F:F,'ON Data'!$C:$C,1)/'ON Data'!$B$3),1)</f>
        <v>0</v>
      </c>
      <c r="E6" s="447">
        <f xml:space="preserve">
TRUNC(IF($A$4&lt;=12,SUMIFS('ON Data'!G:G,'ON Data'!$B:$B,$A$4,'ON Data'!$C:$C,1),SUMIFS('ON Data'!G:G,'ON Data'!$C:$C,1)/'ON Data'!$B$3),1)</f>
        <v>7.5</v>
      </c>
      <c r="F6" s="447">
        <f xml:space="preserve">
TRUNC(IF($A$4&lt;=12,SUMIFS('ON Data'!H:H,'ON Data'!$B:$B,$A$4,'ON Data'!$C:$C,1),SUMIFS('ON Data'!H:H,'ON Data'!$C:$C,1)/'ON Data'!$B$3),1)</f>
        <v>0</v>
      </c>
      <c r="G6" s="447">
        <f xml:space="preserve">
TRUNC(IF($A$4&lt;=12,SUMIFS('ON Data'!I:I,'ON Data'!$B:$B,$A$4,'ON Data'!$C:$C,1),SUMIFS('ON Data'!I:I,'ON Data'!$C:$C,1)/'ON Data'!$B$3),1)</f>
        <v>17.7</v>
      </c>
      <c r="H6" s="447">
        <f xml:space="preserve">
TRUNC(IF($A$4&lt;=12,SUMIFS('ON Data'!J:J,'ON Data'!$B:$B,$A$4,'ON Data'!$C:$C,1),SUMIFS('ON Data'!J:J,'ON Data'!$C:$C,1)/'ON Data'!$B$3),1)</f>
        <v>0.5</v>
      </c>
      <c r="I6" s="447">
        <f xml:space="preserve">
TRUNC(IF($A$4&lt;=12,SUMIFS('ON Data'!K:K,'ON Data'!$B:$B,$A$4,'ON Data'!$C:$C,1),SUMIFS('ON Data'!K:K,'ON Data'!$C:$C,1)/'ON Data'!$B$3),1)</f>
        <v>0</v>
      </c>
      <c r="J6" s="447">
        <f xml:space="preserve">
TRUNC(IF($A$4&lt;=12,SUMIFS('ON Data'!L:L,'ON Data'!$B:$B,$A$4,'ON Data'!$C:$C,1),SUMIFS('ON Data'!L:L,'ON Data'!$C:$C,1)/'ON Data'!$B$3),1)</f>
        <v>3</v>
      </c>
      <c r="K6" s="447">
        <f xml:space="preserve">
TRUNC(IF($A$4&lt;=12,SUMIFS('ON Data'!M:M,'ON Data'!$B:$B,$A$4,'ON Data'!$C:$C,1),SUMIFS('ON Data'!M:M,'ON Data'!$C:$C,1)/'ON Data'!$B$3),1)</f>
        <v>0</v>
      </c>
      <c r="L6" s="447">
        <f xml:space="preserve">
TRUNC(IF($A$4&lt;=12,SUMIFS('ON Data'!N:N,'ON Data'!$B:$B,$A$4,'ON Data'!$C:$C,1),SUMIFS('ON Data'!N:N,'ON Data'!$C:$C,1)/'ON Data'!$B$3),1)</f>
        <v>0.2</v>
      </c>
      <c r="M6" s="448">
        <f xml:space="preserve">
TRUNC(IF($A$4&lt;=12,SUMIFS('ON Data'!O:O,'ON Data'!$B:$B,$A$4,'ON Data'!$C:$C,1),SUMIFS('ON Data'!O:O,'ON Data'!$C:$C,1)/'ON Data'!$B$3),1)</f>
        <v>0</v>
      </c>
    </row>
    <row r="7" spans="1:13" hidden="1" outlineLevel="1" x14ac:dyDescent="0.3">
      <c r="A7" s="398" t="s">
        <v>135</v>
      </c>
      <c r="B7" s="445"/>
      <c r="C7" s="449"/>
      <c r="D7" s="447"/>
      <c r="E7" s="447"/>
      <c r="F7" s="447"/>
      <c r="G7" s="447"/>
      <c r="H7" s="447"/>
      <c r="I7" s="447"/>
      <c r="J7" s="447"/>
      <c r="K7" s="447"/>
      <c r="L7" s="447"/>
      <c r="M7" s="448"/>
    </row>
    <row r="8" spans="1:13" hidden="1" outlineLevel="1" x14ac:dyDescent="0.3">
      <c r="A8" s="398" t="s">
        <v>99</v>
      </c>
      <c r="B8" s="445"/>
      <c r="C8" s="449"/>
      <c r="D8" s="447"/>
      <c r="E8" s="447"/>
      <c r="F8" s="447"/>
      <c r="G8" s="447"/>
      <c r="H8" s="447"/>
      <c r="I8" s="447"/>
      <c r="J8" s="447"/>
      <c r="K8" s="447"/>
      <c r="L8" s="447"/>
      <c r="M8" s="448"/>
    </row>
    <row r="9" spans="1:13" ht="15" hidden="1" outlineLevel="1" thickBot="1" x14ac:dyDescent="0.35">
      <c r="A9" s="399" t="s">
        <v>72</v>
      </c>
      <c r="B9" s="450"/>
      <c r="C9" s="451"/>
      <c r="D9" s="452"/>
      <c r="E9" s="452"/>
      <c r="F9" s="452"/>
      <c r="G9" s="452"/>
      <c r="H9" s="452"/>
      <c r="I9" s="452"/>
      <c r="J9" s="452"/>
      <c r="K9" s="452"/>
      <c r="L9" s="452"/>
      <c r="M9" s="453"/>
    </row>
    <row r="10" spans="1:13" x14ac:dyDescent="0.3">
      <c r="A10" s="400" t="s">
        <v>283</v>
      </c>
      <c r="B10" s="415"/>
      <c r="C10" s="416"/>
      <c r="D10" s="417"/>
      <c r="E10" s="417"/>
      <c r="F10" s="417"/>
      <c r="G10" s="417"/>
      <c r="H10" s="417"/>
      <c r="I10" s="417"/>
      <c r="J10" s="417"/>
      <c r="K10" s="417"/>
      <c r="L10" s="417"/>
      <c r="M10" s="418"/>
    </row>
    <row r="11" spans="1:13" x14ac:dyDescent="0.3">
      <c r="A11" s="401" t="s">
        <v>284</v>
      </c>
      <c r="B11" s="419">
        <f xml:space="preserve">
IF($A$4&lt;=12,SUMIFS('ON Data'!D:D,'ON Data'!$B:$B,$A$4,'ON Data'!$C:$C,2),SUMIFS('ON Data'!D:D,'ON Data'!$C:$C,2))</f>
        <v>9017.9</v>
      </c>
      <c r="C11" s="420">
        <f xml:space="preserve">
IF($A$4&lt;=12,SUMIFS('ON Data'!E:E,'ON Data'!$B:$B,$A$4,'ON Data'!$C:$C,2),SUMIFS('ON Data'!E:E,'ON Data'!$C:$C,2))</f>
        <v>0</v>
      </c>
      <c r="D11" s="421">
        <f xml:space="preserve">
IF($A$4&lt;=12,SUMIFS('ON Data'!F:F,'ON Data'!$B:$B,$A$4,'ON Data'!$C:$C,2),SUMIFS('ON Data'!F:F,'ON Data'!$C:$C,2))</f>
        <v>0</v>
      </c>
      <c r="E11" s="421">
        <f xml:space="preserve">
IF($A$4&lt;=12,SUMIFS('ON Data'!G:G,'ON Data'!$B:$B,$A$4,'ON Data'!$C:$C,2),SUMIFS('ON Data'!G:G,'ON Data'!$C:$C,2))</f>
        <v>2262.4</v>
      </c>
      <c r="F11" s="421">
        <f xml:space="preserve">
IF($A$4&lt;=12,SUMIFS('ON Data'!H:H,'ON Data'!$B:$B,$A$4,'ON Data'!$C:$C,2),SUMIFS('ON Data'!H:H,'ON Data'!$C:$C,2))</f>
        <v>0</v>
      </c>
      <c r="G11" s="421">
        <f xml:space="preserve">
IF($A$4&lt;=12,SUMIFS('ON Data'!I:I,'ON Data'!$B:$B,$A$4,'ON Data'!$C:$C,2),SUMIFS('ON Data'!I:I,'ON Data'!$C:$C,2))</f>
        <v>5539.5</v>
      </c>
      <c r="H11" s="421">
        <f xml:space="preserve">
IF($A$4&lt;=12,SUMIFS('ON Data'!J:J,'ON Data'!$B:$B,$A$4,'ON Data'!$C:$C,2),SUMIFS('ON Data'!J:J,'ON Data'!$C:$C,2))</f>
        <v>172</v>
      </c>
      <c r="I11" s="421">
        <f xml:space="preserve">
IF($A$4&lt;=12,SUMIFS('ON Data'!K:K,'ON Data'!$B:$B,$A$4,'ON Data'!$C:$C,2),SUMIFS('ON Data'!K:K,'ON Data'!$C:$C,2))</f>
        <v>0</v>
      </c>
      <c r="J11" s="421">
        <f xml:space="preserve">
IF($A$4&lt;=12,SUMIFS('ON Data'!L:L,'ON Data'!$B:$B,$A$4,'ON Data'!$C:$C,2),SUMIFS('ON Data'!L:L,'ON Data'!$C:$C,2))</f>
        <v>964</v>
      </c>
      <c r="K11" s="421">
        <f xml:space="preserve">
IF($A$4&lt;=12,SUMIFS('ON Data'!M:M,'ON Data'!$B:$B,$A$4,'ON Data'!$C:$C,2),SUMIFS('ON Data'!M:M,'ON Data'!$C:$C,2))</f>
        <v>0</v>
      </c>
      <c r="L11" s="421">
        <f xml:space="preserve">
IF($A$4&lt;=12,SUMIFS('ON Data'!N:N,'ON Data'!$B:$B,$A$4,'ON Data'!$C:$C,2),SUMIFS('ON Data'!N:N,'ON Data'!$C:$C,2))</f>
        <v>80</v>
      </c>
      <c r="M11" s="422">
        <f xml:space="preserve">
IF($A$4&lt;=12,SUMIFS('ON Data'!O:O,'ON Data'!$B:$B,$A$4,'ON Data'!$C:$C,2),SUMIFS('ON Data'!O:O,'ON Data'!$C:$C,2))</f>
        <v>0</v>
      </c>
    </row>
    <row r="12" spans="1:13" x14ac:dyDescent="0.3">
      <c r="A12" s="401" t="s">
        <v>285</v>
      </c>
      <c r="B12" s="419">
        <f xml:space="preserve">
IF($A$4&lt;=12,SUMIFS('ON Data'!D:D,'ON Data'!$B:$B,$A$4,'ON Data'!$C:$C,3),SUMIFS('ON Data'!D:D,'ON Data'!$C:$C,3))</f>
        <v>209</v>
      </c>
      <c r="C12" s="420">
        <f xml:space="preserve">
IF($A$4&lt;=12,SUMIFS('ON Data'!E:E,'ON Data'!$B:$B,$A$4,'ON Data'!$C:$C,3),SUMIFS('ON Data'!E:E,'ON Data'!$C:$C,3))</f>
        <v>0</v>
      </c>
      <c r="D12" s="421">
        <f xml:space="preserve">
IF($A$4&lt;=12,SUMIFS('ON Data'!F:F,'ON Data'!$B:$B,$A$4,'ON Data'!$C:$C,3),SUMIFS('ON Data'!F:F,'ON Data'!$C:$C,3))</f>
        <v>0</v>
      </c>
      <c r="E12" s="421">
        <f xml:space="preserve">
IF($A$4&lt;=12,SUMIFS('ON Data'!G:G,'ON Data'!$B:$B,$A$4,'ON Data'!$C:$C,3),SUMIFS('ON Data'!G:G,'ON Data'!$C:$C,3))</f>
        <v>204</v>
      </c>
      <c r="F12" s="421">
        <f xml:space="preserve">
IF($A$4&lt;=12,SUMIFS('ON Data'!H:H,'ON Data'!$B:$B,$A$4,'ON Data'!$C:$C,3),SUMIFS('ON Data'!H:H,'ON Data'!$C:$C,3))</f>
        <v>0</v>
      </c>
      <c r="G12" s="421">
        <f xml:space="preserve">
IF($A$4&lt;=12,SUMIFS('ON Data'!I:I,'ON Data'!$B:$B,$A$4,'ON Data'!$C:$C,3),SUMIFS('ON Data'!I:I,'ON Data'!$C:$C,3))</f>
        <v>0</v>
      </c>
      <c r="H12" s="421">
        <f xml:space="preserve">
IF($A$4&lt;=12,SUMIFS('ON Data'!J:J,'ON Data'!$B:$B,$A$4,'ON Data'!$C:$C,3),SUMIFS('ON Data'!J:J,'ON Data'!$C:$C,3))</f>
        <v>5</v>
      </c>
      <c r="I12" s="421">
        <f xml:space="preserve">
IF($A$4&lt;=12,SUMIFS('ON Data'!K:K,'ON Data'!$B:$B,$A$4,'ON Data'!$C:$C,3),SUMIFS('ON Data'!K:K,'ON Data'!$C:$C,3))</f>
        <v>0</v>
      </c>
      <c r="J12" s="421">
        <f xml:space="preserve">
IF($A$4&lt;=12,SUMIFS('ON Data'!L:L,'ON Data'!$B:$B,$A$4,'ON Data'!$C:$C,3),SUMIFS('ON Data'!L:L,'ON Data'!$C:$C,3))</f>
        <v>0</v>
      </c>
      <c r="K12" s="421">
        <f xml:space="preserve">
IF($A$4&lt;=12,SUMIFS('ON Data'!M:M,'ON Data'!$B:$B,$A$4,'ON Data'!$C:$C,3),SUMIFS('ON Data'!M:M,'ON Data'!$C:$C,3))</f>
        <v>0</v>
      </c>
      <c r="L12" s="421">
        <f xml:space="preserve">
IF($A$4&lt;=12,SUMIFS('ON Data'!N:N,'ON Data'!$B:$B,$A$4,'ON Data'!$C:$C,3),SUMIFS('ON Data'!N:N,'ON Data'!$C:$C,3))</f>
        <v>0</v>
      </c>
      <c r="M12" s="422">
        <f xml:space="preserve">
IF($A$4&lt;=12,SUMIFS('ON Data'!O:O,'ON Data'!$B:$B,$A$4,'ON Data'!$C:$C,3),SUMIFS('ON Data'!O:O,'ON Data'!$C:$C,3))</f>
        <v>0</v>
      </c>
    </row>
    <row r="13" spans="1:13" x14ac:dyDescent="0.3">
      <c r="A13" s="401" t="s">
        <v>294</v>
      </c>
      <c r="B13" s="419">
        <f xml:space="preserve">
IF($A$4&lt;=12,SUMIFS('ON Data'!D:D,'ON Data'!$B:$B,$A$4,'ON Data'!$C:$C,4),SUMIFS('ON Data'!D:D,'ON Data'!$C:$C,4))</f>
        <v>370</v>
      </c>
      <c r="C13" s="420">
        <f xml:space="preserve">
IF($A$4&lt;=12,SUMIFS('ON Data'!E:E,'ON Data'!$B:$B,$A$4,'ON Data'!$C:$C,4),SUMIFS('ON Data'!E:E,'ON Data'!$C:$C,4))</f>
        <v>0</v>
      </c>
      <c r="D13" s="421">
        <f xml:space="preserve">
IF($A$4&lt;=12,SUMIFS('ON Data'!F:F,'ON Data'!$B:$B,$A$4,'ON Data'!$C:$C,4),SUMIFS('ON Data'!F:F,'ON Data'!$C:$C,4))</f>
        <v>0</v>
      </c>
      <c r="E13" s="421">
        <f xml:space="preserve">
IF($A$4&lt;=12,SUMIFS('ON Data'!G:G,'ON Data'!$B:$B,$A$4,'ON Data'!$C:$C,4),SUMIFS('ON Data'!G:G,'ON Data'!$C:$C,4))</f>
        <v>204</v>
      </c>
      <c r="F13" s="421">
        <f xml:space="preserve">
IF($A$4&lt;=12,SUMIFS('ON Data'!H:H,'ON Data'!$B:$B,$A$4,'ON Data'!$C:$C,4),SUMIFS('ON Data'!H:H,'ON Data'!$C:$C,4))</f>
        <v>0</v>
      </c>
      <c r="G13" s="421">
        <f xml:space="preserve">
IF($A$4&lt;=12,SUMIFS('ON Data'!I:I,'ON Data'!$B:$B,$A$4,'ON Data'!$C:$C,4),SUMIFS('ON Data'!I:I,'ON Data'!$C:$C,4))</f>
        <v>146</v>
      </c>
      <c r="H13" s="421">
        <f xml:space="preserve">
IF($A$4&lt;=12,SUMIFS('ON Data'!J:J,'ON Data'!$B:$B,$A$4,'ON Data'!$C:$C,4),SUMIFS('ON Data'!J:J,'ON Data'!$C:$C,4))</f>
        <v>0</v>
      </c>
      <c r="I13" s="421">
        <f xml:space="preserve">
IF($A$4&lt;=12,SUMIFS('ON Data'!K:K,'ON Data'!$B:$B,$A$4,'ON Data'!$C:$C,4),SUMIFS('ON Data'!K:K,'ON Data'!$C:$C,4))</f>
        <v>0</v>
      </c>
      <c r="J13" s="421">
        <f xml:space="preserve">
IF($A$4&lt;=12,SUMIFS('ON Data'!L:L,'ON Data'!$B:$B,$A$4,'ON Data'!$C:$C,4),SUMIFS('ON Data'!L:L,'ON Data'!$C:$C,4))</f>
        <v>20</v>
      </c>
      <c r="K13" s="421">
        <f xml:space="preserve">
IF($A$4&lt;=12,SUMIFS('ON Data'!M:M,'ON Data'!$B:$B,$A$4,'ON Data'!$C:$C,4),SUMIFS('ON Data'!M:M,'ON Data'!$C:$C,4))</f>
        <v>0</v>
      </c>
      <c r="L13" s="421">
        <f xml:space="preserve">
IF($A$4&lt;=12,SUMIFS('ON Data'!N:N,'ON Data'!$B:$B,$A$4,'ON Data'!$C:$C,4),SUMIFS('ON Data'!N:N,'ON Data'!$C:$C,4))</f>
        <v>0</v>
      </c>
      <c r="M13" s="422">
        <f xml:space="preserve">
IF($A$4&lt;=12,SUMIFS('ON Data'!O:O,'ON Data'!$B:$B,$A$4,'ON Data'!$C:$C,4),SUMIFS('ON Data'!O:O,'ON Data'!$C:$C,4))</f>
        <v>0</v>
      </c>
    </row>
    <row r="14" spans="1:13" ht="15" thickBot="1" x14ac:dyDescent="0.35">
      <c r="A14" s="402" t="s">
        <v>286</v>
      </c>
      <c r="B14" s="423">
        <f xml:space="preserve">
IF($A$4&lt;=12,SUMIFS('ON Data'!D:D,'ON Data'!$B:$B,$A$4,'ON Data'!$C:$C,5),SUMIFS('ON Data'!D:D,'ON Data'!$C:$C,5))</f>
        <v>2571</v>
      </c>
      <c r="C14" s="424">
        <f xml:space="preserve">
IF($A$4&lt;=12,SUMIFS('ON Data'!E:E,'ON Data'!$B:$B,$A$4,'ON Data'!$C:$C,5),SUMIFS('ON Data'!E:E,'ON Data'!$C:$C,5))</f>
        <v>2571</v>
      </c>
      <c r="D14" s="425">
        <f xml:space="preserve">
IF($A$4&lt;=12,SUMIFS('ON Data'!F:F,'ON Data'!$B:$B,$A$4,'ON Data'!$C:$C,5),SUMIFS('ON Data'!F:F,'ON Data'!$C:$C,5))</f>
        <v>0</v>
      </c>
      <c r="E14" s="425">
        <f xml:space="preserve">
IF($A$4&lt;=12,SUMIFS('ON Data'!G:G,'ON Data'!$B:$B,$A$4,'ON Data'!$C:$C,5),SUMIFS('ON Data'!G:G,'ON Data'!$C:$C,5))</f>
        <v>0</v>
      </c>
      <c r="F14" s="425">
        <f xml:space="preserve">
IF($A$4&lt;=12,SUMIFS('ON Data'!H:H,'ON Data'!$B:$B,$A$4,'ON Data'!$C:$C,5),SUMIFS('ON Data'!H:H,'ON Data'!$C:$C,5))</f>
        <v>0</v>
      </c>
      <c r="G14" s="425">
        <f xml:space="preserve">
IF($A$4&lt;=12,SUMIFS('ON Data'!I:I,'ON Data'!$B:$B,$A$4,'ON Data'!$C:$C,5),SUMIFS('ON Data'!I:I,'ON Data'!$C:$C,5))</f>
        <v>0</v>
      </c>
      <c r="H14" s="425">
        <f xml:space="preserve">
IF($A$4&lt;=12,SUMIFS('ON Data'!J:J,'ON Data'!$B:$B,$A$4,'ON Data'!$C:$C,5),SUMIFS('ON Data'!J:J,'ON Data'!$C:$C,5))</f>
        <v>0</v>
      </c>
      <c r="I14" s="425">
        <f xml:space="preserve">
IF($A$4&lt;=12,SUMIFS('ON Data'!K:K,'ON Data'!$B:$B,$A$4,'ON Data'!$C:$C,5),SUMIFS('ON Data'!K:K,'ON Data'!$C:$C,5))</f>
        <v>0</v>
      </c>
      <c r="J14" s="425">
        <f xml:space="preserve">
IF($A$4&lt;=12,SUMIFS('ON Data'!L:L,'ON Data'!$B:$B,$A$4,'ON Data'!$C:$C,5),SUMIFS('ON Data'!L:L,'ON Data'!$C:$C,5))</f>
        <v>0</v>
      </c>
      <c r="K14" s="425">
        <f xml:space="preserve">
IF($A$4&lt;=12,SUMIFS('ON Data'!M:M,'ON Data'!$B:$B,$A$4,'ON Data'!$C:$C,5),SUMIFS('ON Data'!M:M,'ON Data'!$C:$C,5))</f>
        <v>0</v>
      </c>
      <c r="L14" s="425">
        <f xml:space="preserve">
IF($A$4&lt;=12,SUMIFS('ON Data'!N:N,'ON Data'!$B:$B,$A$4,'ON Data'!$C:$C,5),SUMIFS('ON Data'!N:N,'ON Data'!$C:$C,5))</f>
        <v>0</v>
      </c>
      <c r="M14" s="426">
        <f xml:space="preserve">
IF($A$4&lt;=12,SUMIFS('ON Data'!O:O,'ON Data'!$B:$B,$A$4,'ON Data'!$C:$C,5),SUMIFS('ON Data'!O:O,'ON Data'!$C:$C,5))</f>
        <v>0</v>
      </c>
    </row>
    <row r="15" spans="1:13" x14ac:dyDescent="0.3">
      <c r="A15" s="295" t="s">
        <v>298</v>
      </c>
      <c r="B15" s="427"/>
      <c r="C15" s="428"/>
      <c r="D15" s="429"/>
      <c r="E15" s="429"/>
      <c r="F15" s="429"/>
      <c r="G15" s="429"/>
      <c r="H15" s="429"/>
      <c r="I15" s="429"/>
      <c r="J15" s="429"/>
      <c r="K15" s="429"/>
      <c r="L15" s="429"/>
      <c r="M15" s="430"/>
    </row>
    <row r="16" spans="1:13" x14ac:dyDescent="0.3">
      <c r="A16" s="403" t="s">
        <v>287</v>
      </c>
      <c r="B16" s="419">
        <f xml:space="preserve">
IF($A$4&lt;=12,SUMIFS('ON Data'!D:D,'ON Data'!$B:$B,$A$4,'ON Data'!$C:$C,7),SUMIFS('ON Data'!D:D,'ON Data'!$C:$C,7))</f>
        <v>0</v>
      </c>
      <c r="C16" s="420">
        <f xml:space="preserve">
IF($A$4&lt;=12,SUMIFS('ON Data'!E:E,'ON Data'!$B:$B,$A$4,'ON Data'!$C:$C,7),SUMIFS('ON Data'!E:E,'ON Data'!$C:$C,7))</f>
        <v>0</v>
      </c>
      <c r="D16" s="421">
        <f xml:space="preserve">
IF($A$4&lt;=12,SUMIFS('ON Data'!F:F,'ON Data'!$B:$B,$A$4,'ON Data'!$C:$C,7),SUMIFS('ON Data'!F:F,'ON Data'!$C:$C,7))</f>
        <v>0</v>
      </c>
      <c r="E16" s="421">
        <f xml:space="preserve">
IF($A$4&lt;=12,SUMIFS('ON Data'!G:G,'ON Data'!$B:$B,$A$4,'ON Data'!$C:$C,7),SUMIFS('ON Data'!G:G,'ON Data'!$C:$C,7))</f>
        <v>0</v>
      </c>
      <c r="F16" s="421">
        <f xml:space="preserve">
IF($A$4&lt;=12,SUMIFS('ON Data'!H:H,'ON Data'!$B:$B,$A$4,'ON Data'!$C:$C,7),SUMIFS('ON Data'!H:H,'ON Data'!$C:$C,7))</f>
        <v>0</v>
      </c>
      <c r="G16" s="421">
        <f xml:space="preserve">
IF($A$4&lt;=12,SUMIFS('ON Data'!I:I,'ON Data'!$B:$B,$A$4,'ON Data'!$C:$C,7),SUMIFS('ON Data'!I:I,'ON Data'!$C:$C,7))</f>
        <v>0</v>
      </c>
      <c r="H16" s="421">
        <f xml:space="preserve">
IF($A$4&lt;=12,SUMIFS('ON Data'!J:J,'ON Data'!$B:$B,$A$4,'ON Data'!$C:$C,7),SUMIFS('ON Data'!J:J,'ON Data'!$C:$C,7))</f>
        <v>0</v>
      </c>
      <c r="I16" s="421">
        <f xml:space="preserve">
IF($A$4&lt;=12,SUMIFS('ON Data'!K:K,'ON Data'!$B:$B,$A$4,'ON Data'!$C:$C,7),SUMIFS('ON Data'!K:K,'ON Data'!$C:$C,7))</f>
        <v>0</v>
      </c>
      <c r="J16" s="421">
        <f xml:space="preserve">
IF($A$4&lt;=12,SUMIFS('ON Data'!L:L,'ON Data'!$B:$B,$A$4,'ON Data'!$C:$C,7),SUMIFS('ON Data'!L:L,'ON Data'!$C:$C,7))</f>
        <v>0</v>
      </c>
      <c r="K16" s="421">
        <f xml:space="preserve">
IF($A$4&lt;=12,SUMIFS('ON Data'!M:M,'ON Data'!$B:$B,$A$4,'ON Data'!$C:$C,7),SUMIFS('ON Data'!M:M,'ON Data'!$C:$C,7))</f>
        <v>0</v>
      </c>
      <c r="L16" s="421">
        <f xml:space="preserve">
IF($A$4&lt;=12,SUMIFS('ON Data'!N:N,'ON Data'!$B:$B,$A$4,'ON Data'!$C:$C,7),SUMIFS('ON Data'!N:N,'ON Data'!$C:$C,7))</f>
        <v>0</v>
      </c>
      <c r="M16" s="422">
        <f xml:space="preserve">
IF($A$4&lt;=12,SUMIFS('ON Data'!O:O,'ON Data'!$B:$B,$A$4,'ON Data'!$C:$C,7),SUMIFS('ON Data'!O:O,'ON Data'!$C:$C,7))</f>
        <v>0</v>
      </c>
    </row>
    <row r="17" spans="1:13" x14ac:dyDescent="0.3">
      <c r="A17" s="403" t="s">
        <v>288</v>
      </c>
      <c r="B17" s="419">
        <f xml:space="preserve">
IF($A$4&lt;=12,SUMIFS('ON Data'!D:D,'ON Data'!$B:$B,$A$4,'ON Data'!$C:$C,8),SUMIFS('ON Data'!D:D,'ON Data'!$C:$C,8))</f>
        <v>0</v>
      </c>
      <c r="C17" s="420">
        <f xml:space="preserve">
IF($A$4&lt;=12,SUMIFS('ON Data'!E:E,'ON Data'!$B:$B,$A$4,'ON Data'!$C:$C,8),SUMIFS('ON Data'!E:E,'ON Data'!$C:$C,8))</f>
        <v>0</v>
      </c>
      <c r="D17" s="421">
        <f xml:space="preserve">
IF($A$4&lt;=12,SUMIFS('ON Data'!F:F,'ON Data'!$B:$B,$A$4,'ON Data'!$C:$C,8),SUMIFS('ON Data'!F:F,'ON Data'!$C:$C,8))</f>
        <v>0</v>
      </c>
      <c r="E17" s="421">
        <f xml:space="preserve">
IF($A$4&lt;=12,SUMIFS('ON Data'!G:G,'ON Data'!$B:$B,$A$4,'ON Data'!$C:$C,8),SUMIFS('ON Data'!G:G,'ON Data'!$C:$C,8))</f>
        <v>0</v>
      </c>
      <c r="F17" s="421">
        <f xml:space="preserve">
IF($A$4&lt;=12,SUMIFS('ON Data'!H:H,'ON Data'!$B:$B,$A$4,'ON Data'!$C:$C,8),SUMIFS('ON Data'!H:H,'ON Data'!$C:$C,8))</f>
        <v>0</v>
      </c>
      <c r="G17" s="421">
        <f xml:space="preserve">
IF($A$4&lt;=12,SUMIFS('ON Data'!I:I,'ON Data'!$B:$B,$A$4,'ON Data'!$C:$C,8),SUMIFS('ON Data'!I:I,'ON Data'!$C:$C,8))</f>
        <v>0</v>
      </c>
      <c r="H17" s="421">
        <f xml:space="preserve">
IF($A$4&lt;=12,SUMIFS('ON Data'!J:J,'ON Data'!$B:$B,$A$4,'ON Data'!$C:$C,8),SUMIFS('ON Data'!J:J,'ON Data'!$C:$C,8))</f>
        <v>0</v>
      </c>
      <c r="I17" s="421">
        <f xml:space="preserve">
IF($A$4&lt;=12,SUMIFS('ON Data'!K:K,'ON Data'!$B:$B,$A$4,'ON Data'!$C:$C,8),SUMIFS('ON Data'!K:K,'ON Data'!$C:$C,8))</f>
        <v>0</v>
      </c>
      <c r="J17" s="421">
        <f xml:space="preserve">
IF($A$4&lt;=12,SUMIFS('ON Data'!L:L,'ON Data'!$B:$B,$A$4,'ON Data'!$C:$C,8),SUMIFS('ON Data'!L:L,'ON Data'!$C:$C,8))</f>
        <v>0</v>
      </c>
      <c r="K17" s="421">
        <f xml:space="preserve">
IF($A$4&lt;=12,SUMIFS('ON Data'!M:M,'ON Data'!$B:$B,$A$4,'ON Data'!$C:$C,8),SUMIFS('ON Data'!M:M,'ON Data'!$C:$C,8))</f>
        <v>0</v>
      </c>
      <c r="L17" s="421">
        <f xml:space="preserve">
IF($A$4&lt;=12,SUMIFS('ON Data'!N:N,'ON Data'!$B:$B,$A$4,'ON Data'!$C:$C,8),SUMIFS('ON Data'!N:N,'ON Data'!$C:$C,8))</f>
        <v>0</v>
      </c>
      <c r="M17" s="422">
        <f xml:space="preserve">
IF($A$4&lt;=12,SUMIFS('ON Data'!O:O,'ON Data'!$B:$B,$A$4,'ON Data'!$C:$C,8),SUMIFS('ON Data'!O:O,'ON Data'!$C:$C,8))</f>
        <v>0</v>
      </c>
    </row>
    <row r="18" spans="1:13" x14ac:dyDescent="0.3">
      <c r="A18" s="403" t="s">
        <v>289</v>
      </c>
      <c r="B18" s="419">
        <f xml:space="preserve">
B19-B16-B17</f>
        <v>221620</v>
      </c>
      <c r="C18" s="420">
        <f t="shared" ref="C18:M18" si="0" xml:space="preserve">
C19-C16-C17</f>
        <v>0</v>
      </c>
      <c r="D18" s="421">
        <f t="shared" si="0"/>
        <v>0</v>
      </c>
      <c r="E18" s="421">
        <f t="shared" si="0"/>
        <v>212624</v>
      </c>
      <c r="F18" s="421">
        <f t="shared" si="0"/>
        <v>0</v>
      </c>
      <c r="G18" s="421">
        <f t="shared" si="0"/>
        <v>8996</v>
      </c>
      <c r="H18" s="421">
        <f t="shared" si="0"/>
        <v>0</v>
      </c>
      <c r="I18" s="421">
        <f t="shared" si="0"/>
        <v>0</v>
      </c>
      <c r="J18" s="421">
        <f t="shared" si="0"/>
        <v>0</v>
      </c>
      <c r="K18" s="421">
        <f t="shared" si="0"/>
        <v>0</v>
      </c>
      <c r="L18" s="421">
        <f t="shared" si="0"/>
        <v>0</v>
      </c>
      <c r="M18" s="422">
        <f t="shared" si="0"/>
        <v>0</v>
      </c>
    </row>
    <row r="19" spans="1:13" ht="15" thickBot="1" x14ac:dyDescent="0.35">
      <c r="A19" s="404" t="s">
        <v>290</v>
      </c>
      <c r="B19" s="431">
        <f xml:space="preserve">
IF($A$4&lt;=12,SUMIFS('ON Data'!D:D,'ON Data'!$B:$B,$A$4,'ON Data'!$C:$C,9),SUMIFS('ON Data'!D:D,'ON Data'!$C:$C,9))</f>
        <v>221620</v>
      </c>
      <c r="C19" s="432">
        <f xml:space="preserve">
IF($A$4&lt;=12,SUMIFS('ON Data'!E:E,'ON Data'!$B:$B,$A$4,'ON Data'!$C:$C,9),SUMIFS('ON Data'!E:E,'ON Data'!$C:$C,9))</f>
        <v>0</v>
      </c>
      <c r="D19" s="433">
        <f xml:space="preserve">
IF($A$4&lt;=12,SUMIFS('ON Data'!F:F,'ON Data'!$B:$B,$A$4,'ON Data'!$C:$C,9),SUMIFS('ON Data'!F:F,'ON Data'!$C:$C,9))</f>
        <v>0</v>
      </c>
      <c r="E19" s="433">
        <f xml:space="preserve">
IF($A$4&lt;=12,SUMIFS('ON Data'!G:G,'ON Data'!$B:$B,$A$4,'ON Data'!$C:$C,9),SUMIFS('ON Data'!G:G,'ON Data'!$C:$C,9))</f>
        <v>212624</v>
      </c>
      <c r="F19" s="433">
        <f xml:space="preserve">
IF($A$4&lt;=12,SUMIFS('ON Data'!H:H,'ON Data'!$B:$B,$A$4,'ON Data'!$C:$C,9),SUMIFS('ON Data'!H:H,'ON Data'!$C:$C,9))</f>
        <v>0</v>
      </c>
      <c r="G19" s="433">
        <f xml:space="preserve">
IF($A$4&lt;=12,SUMIFS('ON Data'!I:I,'ON Data'!$B:$B,$A$4,'ON Data'!$C:$C,9),SUMIFS('ON Data'!I:I,'ON Data'!$C:$C,9))</f>
        <v>8996</v>
      </c>
      <c r="H19" s="433">
        <f xml:space="preserve">
IF($A$4&lt;=12,SUMIFS('ON Data'!J:J,'ON Data'!$B:$B,$A$4,'ON Data'!$C:$C,9),SUMIFS('ON Data'!J:J,'ON Data'!$C:$C,9))</f>
        <v>0</v>
      </c>
      <c r="I19" s="433">
        <f xml:space="preserve">
IF($A$4&lt;=12,SUMIFS('ON Data'!K:K,'ON Data'!$B:$B,$A$4,'ON Data'!$C:$C,9),SUMIFS('ON Data'!K:K,'ON Data'!$C:$C,9))</f>
        <v>0</v>
      </c>
      <c r="J19" s="433">
        <f xml:space="preserve">
IF($A$4&lt;=12,SUMIFS('ON Data'!L:L,'ON Data'!$B:$B,$A$4,'ON Data'!$C:$C,9),SUMIFS('ON Data'!L:L,'ON Data'!$C:$C,9))</f>
        <v>0</v>
      </c>
      <c r="K19" s="433">
        <f xml:space="preserve">
IF($A$4&lt;=12,SUMIFS('ON Data'!M:M,'ON Data'!$B:$B,$A$4,'ON Data'!$C:$C,9),SUMIFS('ON Data'!M:M,'ON Data'!$C:$C,9))</f>
        <v>0</v>
      </c>
      <c r="L19" s="433">
        <f xml:space="preserve">
IF($A$4&lt;=12,SUMIFS('ON Data'!N:N,'ON Data'!$B:$B,$A$4,'ON Data'!$C:$C,9),SUMIFS('ON Data'!N:N,'ON Data'!$C:$C,9))</f>
        <v>0</v>
      </c>
      <c r="M19" s="434">
        <f xml:space="preserve">
IF($A$4&lt;=12,SUMIFS('ON Data'!O:O,'ON Data'!$B:$B,$A$4,'ON Data'!$C:$C,9),SUMIFS('ON Data'!O:O,'ON Data'!$C:$C,9))</f>
        <v>0</v>
      </c>
    </row>
    <row r="20" spans="1:13" ht="15" collapsed="1" thickBot="1" x14ac:dyDescent="0.35">
      <c r="A20" s="405" t="s">
        <v>97</v>
      </c>
      <c r="B20" s="435">
        <f xml:space="preserve">
IF($A$4&lt;=12,SUMIFS('ON Data'!D:D,'ON Data'!$B:$B,$A$4,'ON Data'!$C:$C,6),SUMIFS('ON Data'!D:D,'ON Data'!$C:$C,6))</f>
        <v>3017060</v>
      </c>
      <c r="C20" s="436">
        <f xml:space="preserve">
IF($A$4&lt;=12,SUMIFS('ON Data'!E:E,'ON Data'!$B:$B,$A$4,'ON Data'!$C:$C,6),SUMIFS('ON Data'!E:E,'ON Data'!$C:$C,6))</f>
        <v>832950</v>
      </c>
      <c r="D20" s="437">
        <f xml:space="preserve">
IF($A$4&lt;=12,SUMIFS('ON Data'!F:F,'ON Data'!$B:$B,$A$4,'ON Data'!$C:$C,6),SUMIFS('ON Data'!F:F,'ON Data'!$C:$C,6))</f>
        <v>0</v>
      </c>
      <c r="E20" s="437">
        <f xml:space="preserve">
IF($A$4&lt;=12,SUMIFS('ON Data'!G:G,'ON Data'!$B:$B,$A$4,'ON Data'!$C:$C,6),SUMIFS('ON Data'!G:G,'ON Data'!$C:$C,6))</f>
        <v>1073364</v>
      </c>
      <c r="F20" s="437">
        <f xml:space="preserve">
IF($A$4&lt;=12,SUMIFS('ON Data'!H:H,'ON Data'!$B:$B,$A$4,'ON Data'!$C:$C,6),SUMIFS('ON Data'!H:H,'ON Data'!$C:$C,6))</f>
        <v>0</v>
      </c>
      <c r="G20" s="437">
        <f xml:space="preserve">
IF($A$4&lt;=12,SUMIFS('ON Data'!I:I,'ON Data'!$B:$B,$A$4,'ON Data'!$C:$C,6),SUMIFS('ON Data'!I:I,'ON Data'!$C:$C,6))</f>
        <v>979554</v>
      </c>
      <c r="H20" s="437">
        <f xml:space="preserve">
IF($A$4&lt;=12,SUMIFS('ON Data'!J:J,'ON Data'!$B:$B,$A$4,'ON Data'!$C:$C,6),SUMIFS('ON Data'!J:J,'ON Data'!$C:$C,6))</f>
        <v>24529</v>
      </c>
      <c r="I20" s="437">
        <f xml:space="preserve">
IF($A$4&lt;=12,SUMIFS('ON Data'!K:K,'ON Data'!$B:$B,$A$4,'ON Data'!$C:$C,6),SUMIFS('ON Data'!K:K,'ON Data'!$C:$C,6))</f>
        <v>0</v>
      </c>
      <c r="J20" s="437">
        <f xml:space="preserve">
IF($A$4&lt;=12,SUMIFS('ON Data'!L:L,'ON Data'!$B:$B,$A$4,'ON Data'!$C:$C,6),SUMIFS('ON Data'!L:L,'ON Data'!$C:$C,6))</f>
        <v>96954</v>
      </c>
      <c r="K20" s="437">
        <f xml:space="preserve">
IF($A$4&lt;=12,SUMIFS('ON Data'!M:M,'ON Data'!$B:$B,$A$4,'ON Data'!$C:$C,6),SUMIFS('ON Data'!M:M,'ON Data'!$C:$C,6))</f>
        <v>0</v>
      </c>
      <c r="L20" s="437">
        <f xml:space="preserve">
IF($A$4&lt;=12,SUMIFS('ON Data'!N:N,'ON Data'!$B:$B,$A$4,'ON Data'!$C:$C,6),SUMIFS('ON Data'!N:N,'ON Data'!$C:$C,6))</f>
        <v>9709</v>
      </c>
      <c r="M20" s="438">
        <f xml:space="preserve">
IF($A$4&lt;=12,SUMIFS('ON Data'!O:O,'ON Data'!$B:$B,$A$4,'ON Data'!$C:$C,6),SUMIFS('ON Data'!O:O,'ON Data'!$C:$C,6))</f>
        <v>0</v>
      </c>
    </row>
    <row r="21" spans="1:13" hidden="1" outlineLevel="1" x14ac:dyDescent="0.3">
      <c r="A21" s="398" t="s">
        <v>135</v>
      </c>
      <c r="B21" s="419"/>
      <c r="C21" s="420"/>
      <c r="D21" s="421"/>
      <c r="E21" s="421"/>
      <c r="F21" s="421"/>
      <c r="G21" s="421"/>
      <c r="H21" s="421"/>
      <c r="I21" s="421"/>
      <c r="J21" s="421"/>
      <c r="K21" s="421"/>
      <c r="L21" s="421"/>
      <c r="M21" s="422"/>
    </row>
    <row r="22" spans="1:13" hidden="1" outlineLevel="1" x14ac:dyDescent="0.3">
      <c r="A22" s="398" t="s">
        <v>99</v>
      </c>
      <c r="B22" s="419"/>
      <c r="C22" s="420"/>
      <c r="D22" s="421"/>
      <c r="E22" s="421"/>
      <c r="F22" s="421"/>
      <c r="G22" s="421"/>
      <c r="H22" s="421"/>
      <c r="I22" s="421"/>
      <c r="J22" s="421"/>
      <c r="K22" s="421"/>
      <c r="L22" s="421"/>
      <c r="M22" s="422"/>
    </row>
    <row r="23" spans="1:13" ht="15" hidden="1" outlineLevel="1" thickBot="1" x14ac:dyDescent="0.35">
      <c r="A23" s="406" t="s">
        <v>72</v>
      </c>
      <c r="B23" s="423"/>
      <c r="C23" s="424"/>
      <c r="D23" s="425"/>
      <c r="E23" s="425"/>
      <c r="F23" s="425"/>
      <c r="G23" s="425"/>
      <c r="H23" s="425"/>
      <c r="I23" s="425"/>
      <c r="J23" s="425"/>
      <c r="K23" s="425"/>
      <c r="L23" s="425"/>
      <c r="M23" s="426"/>
    </row>
    <row r="24" spans="1:13" x14ac:dyDescent="0.3">
      <c r="A24" s="400" t="s">
        <v>291</v>
      </c>
      <c r="B24" s="415"/>
      <c r="C24" s="416"/>
      <c r="D24" s="529" t="s">
        <v>272</v>
      </c>
      <c r="E24" s="530"/>
      <c r="F24" s="531" t="s">
        <v>292</v>
      </c>
      <c r="G24" s="531"/>
      <c r="H24" s="531"/>
      <c r="I24" s="531"/>
      <c r="J24" s="417"/>
      <c r="K24" s="417"/>
      <c r="L24" s="417"/>
      <c r="M24" s="418"/>
    </row>
    <row r="25" spans="1:13" ht="15" collapsed="1" thickBot="1" x14ac:dyDescent="0.35">
      <c r="A25" s="401" t="s">
        <v>97</v>
      </c>
      <c r="B25" s="419">
        <f>SUM(D25:I25)</f>
        <v>0</v>
      </c>
      <c r="C25" s="439">
        <v>0</v>
      </c>
      <c r="D25" s="526">
        <v>0</v>
      </c>
      <c r="E25" s="527"/>
      <c r="F25" s="528">
        <v>0</v>
      </c>
      <c r="G25" s="528"/>
      <c r="H25" s="528"/>
      <c r="I25" s="528"/>
      <c r="J25" s="421">
        <v>0</v>
      </c>
      <c r="K25" s="421">
        <v>0</v>
      </c>
      <c r="L25" s="421">
        <v>0</v>
      </c>
      <c r="M25" s="422">
        <v>0</v>
      </c>
    </row>
    <row r="26" spans="1:13" hidden="1" outlineLevel="1" x14ac:dyDescent="0.3">
      <c r="A26" s="407" t="s">
        <v>135</v>
      </c>
      <c r="B26" s="431">
        <f t="shared" ref="B26:B28" si="1">SUM(D26:I26)</f>
        <v>0</v>
      </c>
      <c r="C26" s="439">
        <v>0</v>
      </c>
      <c r="D26" s="526">
        <v>0</v>
      </c>
      <c r="E26" s="527"/>
      <c r="F26" s="528">
        <v>0</v>
      </c>
      <c r="G26" s="528"/>
      <c r="H26" s="528"/>
      <c r="I26" s="528"/>
      <c r="J26" s="421">
        <v>0</v>
      </c>
      <c r="K26" s="421">
        <v>0</v>
      </c>
      <c r="L26" s="421">
        <v>0</v>
      </c>
      <c r="M26" s="422">
        <v>0</v>
      </c>
    </row>
    <row r="27" spans="1:13" hidden="1" outlineLevel="1" x14ac:dyDescent="0.3">
      <c r="A27" s="407" t="s">
        <v>99</v>
      </c>
      <c r="B27" s="431">
        <f t="shared" si="1"/>
        <v>0</v>
      </c>
      <c r="C27" s="439">
        <v>0</v>
      </c>
      <c r="D27" s="526">
        <v>0</v>
      </c>
      <c r="E27" s="527"/>
      <c r="F27" s="528">
        <v>0</v>
      </c>
      <c r="G27" s="528"/>
      <c r="H27" s="528"/>
      <c r="I27" s="528"/>
      <c r="J27" s="421">
        <v>0</v>
      </c>
      <c r="K27" s="421">
        <v>0</v>
      </c>
      <c r="L27" s="421">
        <v>0</v>
      </c>
      <c r="M27" s="422">
        <v>0</v>
      </c>
    </row>
    <row r="28" spans="1:13" ht="15" hidden="1" outlineLevel="1" thickBot="1" x14ac:dyDescent="0.35">
      <c r="A28" s="407" t="s">
        <v>72</v>
      </c>
      <c r="B28" s="431">
        <f t="shared" si="1"/>
        <v>0</v>
      </c>
      <c r="C28" s="440">
        <v>0</v>
      </c>
      <c r="D28" s="519">
        <v>0</v>
      </c>
      <c r="E28" s="520"/>
      <c r="F28" s="521">
        <v>0</v>
      </c>
      <c r="G28" s="521"/>
      <c r="H28" s="521"/>
      <c r="I28" s="521"/>
      <c r="J28" s="425">
        <v>0</v>
      </c>
      <c r="K28" s="425">
        <v>0</v>
      </c>
      <c r="L28" s="425">
        <v>0</v>
      </c>
      <c r="M28" s="426">
        <v>0</v>
      </c>
    </row>
    <row r="29" spans="1:13" x14ac:dyDescent="0.3">
      <c r="A29" s="408"/>
      <c r="B29" s="408"/>
      <c r="C29" s="409"/>
      <c r="D29" s="408"/>
      <c r="E29" s="408"/>
      <c r="F29" s="409"/>
      <c r="G29" s="408"/>
      <c r="H29" s="408"/>
      <c r="I29" s="408"/>
      <c r="J29" s="408"/>
      <c r="K29" s="408"/>
      <c r="L29" s="408"/>
      <c r="M29" s="408"/>
    </row>
    <row r="30" spans="1:13" x14ac:dyDescent="0.3">
      <c r="A30" s="232" t="s">
        <v>207</v>
      </c>
      <c r="B30" s="260"/>
      <c r="C30" s="260"/>
      <c r="D30" s="260"/>
      <c r="E30" s="260"/>
      <c r="F30" s="260"/>
      <c r="G30" s="260"/>
      <c r="H30" s="260"/>
      <c r="I30" s="283"/>
      <c r="J30" s="283"/>
      <c r="K30" s="283"/>
      <c r="L30" s="283"/>
      <c r="M30" s="283"/>
    </row>
    <row r="31" spans="1:13" ht="14.4" customHeight="1" x14ac:dyDescent="0.3">
      <c r="A31" s="456" t="s">
        <v>297</v>
      </c>
      <c r="B31" s="457"/>
      <c r="C31" s="457"/>
      <c r="D31" s="457"/>
      <c r="E31" s="457"/>
      <c r="F31" s="457"/>
      <c r="G31" s="457"/>
      <c r="H31" s="457"/>
    </row>
  </sheetData>
  <mergeCells count="12">
    <mergeCell ref="D28:E28"/>
    <mergeCell ref="F28:I28"/>
    <mergeCell ref="A1:M1"/>
    <mergeCell ref="B3:B4"/>
    <mergeCell ref="D25:E25"/>
    <mergeCell ref="F25:I25"/>
    <mergeCell ref="D24:E24"/>
    <mergeCell ref="F24:I24"/>
    <mergeCell ref="D26:E26"/>
    <mergeCell ref="D27:E27"/>
    <mergeCell ref="F26:I26"/>
    <mergeCell ref="F27:I27"/>
  </mergeCells>
  <hyperlinks>
    <hyperlink ref="A2" location="Obsah!A1" display="Zpět na Obsah  KL 01  1.-4.měsíc"/>
  </hyperlinks>
  <pageMargins left="0.25" right="0.25" top="0.75" bottom="0.75" header="0.3" footer="0.3"/>
  <pageSetup paperSize="9" scale="77" orientation="landscape" r:id="rId1"/>
  <ignoredErrors>
    <ignoredError sqref="B27:B28 B25:B26" formulaRange="1"/>
    <ignoredError sqref="B6:M6" evalError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Data'!$R$3:$R$16</xm:f>
          </x14:formula1>
          <xm:sqref>A4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R18"/>
  <sheetViews>
    <sheetView showGridLines="0" showRowColHeaders="0" workbookViewId="0"/>
  </sheetViews>
  <sheetFormatPr defaultRowHeight="14.4" x14ac:dyDescent="0.3"/>
  <cols>
    <col min="1" max="16384" width="8.88671875" style="385"/>
  </cols>
  <sheetData>
    <row r="1" spans="1:18" x14ac:dyDescent="0.3">
      <c r="A1" s="385" t="s">
        <v>1443</v>
      </c>
    </row>
    <row r="2" spans="1:18" x14ac:dyDescent="0.3">
      <c r="A2" s="389" t="s">
        <v>299</v>
      </c>
    </row>
    <row r="3" spans="1:18" x14ac:dyDescent="0.3">
      <c r="B3" s="386">
        <f>MAX(B5:B1048576)</f>
        <v>2</v>
      </c>
      <c r="D3" s="386">
        <f t="shared" ref="D3:G3" si="0">SUM(D5:D1048576)</f>
        <v>3250905.9</v>
      </c>
      <c r="E3" s="386">
        <f t="shared" si="0"/>
        <v>835521</v>
      </c>
      <c r="F3" s="386">
        <f t="shared" si="0"/>
        <v>0</v>
      </c>
      <c r="G3" s="386">
        <f t="shared" si="0"/>
        <v>1288673.3999999999</v>
      </c>
      <c r="H3" s="386">
        <f t="shared" ref="H3:O3" si="1">SUM(H5:H1048576)</f>
        <v>0</v>
      </c>
      <c r="I3" s="386">
        <f t="shared" si="1"/>
        <v>994271</v>
      </c>
      <c r="J3" s="386">
        <f t="shared" si="1"/>
        <v>24707</v>
      </c>
      <c r="K3" s="386">
        <f t="shared" si="1"/>
        <v>0</v>
      </c>
      <c r="L3" s="386">
        <f t="shared" si="1"/>
        <v>97944</v>
      </c>
      <c r="M3" s="386">
        <f t="shared" si="1"/>
        <v>0</v>
      </c>
      <c r="N3" s="386">
        <f t="shared" si="1"/>
        <v>9789.5</v>
      </c>
      <c r="O3" s="386">
        <f t="shared" si="1"/>
        <v>0</v>
      </c>
      <c r="Q3" s="385" t="s">
        <v>257</v>
      </c>
      <c r="R3" s="412">
        <v>2014</v>
      </c>
    </row>
    <row r="4" spans="1:18" x14ac:dyDescent="0.3">
      <c r="A4" s="387" t="s">
        <v>8</v>
      </c>
      <c r="B4" s="388" t="s">
        <v>71</v>
      </c>
      <c r="C4" s="388" t="s">
        <v>245</v>
      </c>
      <c r="D4" s="388" t="s">
        <v>6</v>
      </c>
      <c r="E4" s="388" t="s">
        <v>246</v>
      </c>
      <c r="F4" s="388" t="s">
        <v>247</v>
      </c>
      <c r="G4" s="388" t="s">
        <v>248</v>
      </c>
      <c r="H4" s="388" t="s">
        <v>249</v>
      </c>
      <c r="I4" s="388" t="s">
        <v>250</v>
      </c>
      <c r="J4" s="388" t="s">
        <v>251</v>
      </c>
      <c r="K4" s="388" t="s">
        <v>252</v>
      </c>
      <c r="L4" s="388" t="s">
        <v>253</v>
      </c>
      <c r="M4" s="388" t="s">
        <v>254</v>
      </c>
      <c r="N4" s="388" t="s">
        <v>255</v>
      </c>
      <c r="O4" s="388" t="s">
        <v>256</v>
      </c>
      <c r="Q4" s="385" t="s">
        <v>258</v>
      </c>
      <c r="R4" s="412">
        <v>1</v>
      </c>
    </row>
    <row r="5" spans="1:18" x14ac:dyDescent="0.3">
      <c r="A5" s="385">
        <v>25</v>
      </c>
      <c r="B5" s="385">
        <v>1</v>
      </c>
      <c r="C5" s="385">
        <v>1</v>
      </c>
      <c r="D5" s="385">
        <v>29</v>
      </c>
      <c r="E5" s="385">
        <v>0</v>
      </c>
      <c r="F5" s="385">
        <v>0</v>
      </c>
      <c r="G5" s="385">
        <v>7.5</v>
      </c>
      <c r="H5" s="385">
        <v>0</v>
      </c>
      <c r="I5" s="385">
        <v>17.75</v>
      </c>
      <c r="J5" s="385">
        <v>0.5</v>
      </c>
      <c r="K5" s="385">
        <v>0</v>
      </c>
      <c r="L5" s="385">
        <v>3</v>
      </c>
      <c r="M5" s="385">
        <v>0</v>
      </c>
      <c r="N5" s="385">
        <v>0.25</v>
      </c>
      <c r="O5" s="385">
        <v>0</v>
      </c>
      <c r="Q5" s="385" t="s">
        <v>259</v>
      </c>
      <c r="R5" s="412">
        <v>2</v>
      </c>
    </row>
    <row r="6" spans="1:18" x14ac:dyDescent="0.3">
      <c r="A6" s="385">
        <v>25</v>
      </c>
      <c r="B6" s="385">
        <v>1</v>
      </c>
      <c r="C6" s="385">
        <v>2</v>
      </c>
      <c r="D6" s="385">
        <v>4804.3999999999996</v>
      </c>
      <c r="E6" s="385">
        <v>0</v>
      </c>
      <c r="F6" s="385">
        <v>0</v>
      </c>
      <c r="G6" s="385">
        <v>1146.4000000000001</v>
      </c>
      <c r="H6" s="385">
        <v>0</v>
      </c>
      <c r="I6" s="385">
        <v>3026</v>
      </c>
      <c r="J6" s="385">
        <v>92</v>
      </c>
      <c r="K6" s="385">
        <v>0</v>
      </c>
      <c r="L6" s="385">
        <v>494</v>
      </c>
      <c r="M6" s="385">
        <v>0</v>
      </c>
      <c r="N6" s="385">
        <v>46</v>
      </c>
      <c r="O6" s="385">
        <v>0</v>
      </c>
      <c r="Q6" s="385" t="s">
        <v>260</v>
      </c>
      <c r="R6" s="412">
        <v>3</v>
      </c>
    </row>
    <row r="7" spans="1:18" x14ac:dyDescent="0.3">
      <c r="A7" s="385">
        <v>25</v>
      </c>
      <c r="B7" s="385">
        <v>1</v>
      </c>
      <c r="C7" s="385">
        <v>3</v>
      </c>
      <c r="D7" s="385">
        <v>107</v>
      </c>
      <c r="E7" s="385">
        <v>0</v>
      </c>
      <c r="F7" s="385">
        <v>0</v>
      </c>
      <c r="G7" s="385">
        <v>102</v>
      </c>
      <c r="H7" s="385">
        <v>0</v>
      </c>
      <c r="I7" s="385">
        <v>0</v>
      </c>
      <c r="J7" s="385">
        <v>5</v>
      </c>
      <c r="K7" s="385">
        <v>0</v>
      </c>
      <c r="L7" s="385">
        <v>0</v>
      </c>
      <c r="M7" s="385">
        <v>0</v>
      </c>
      <c r="N7" s="385">
        <v>0</v>
      </c>
      <c r="O7" s="385">
        <v>0</v>
      </c>
      <c r="Q7" s="385" t="s">
        <v>261</v>
      </c>
      <c r="R7" s="412">
        <v>4</v>
      </c>
    </row>
    <row r="8" spans="1:18" x14ac:dyDescent="0.3">
      <c r="A8" s="385">
        <v>25</v>
      </c>
      <c r="B8" s="385">
        <v>1</v>
      </c>
      <c r="C8" s="385">
        <v>4</v>
      </c>
      <c r="D8" s="385">
        <v>228</v>
      </c>
      <c r="E8" s="385">
        <v>0</v>
      </c>
      <c r="F8" s="385">
        <v>0</v>
      </c>
      <c r="G8" s="385">
        <v>136</v>
      </c>
      <c r="H8" s="385">
        <v>0</v>
      </c>
      <c r="I8" s="385">
        <v>82</v>
      </c>
      <c r="J8" s="385">
        <v>0</v>
      </c>
      <c r="K8" s="385">
        <v>0</v>
      </c>
      <c r="L8" s="385">
        <v>10</v>
      </c>
      <c r="M8" s="385">
        <v>0</v>
      </c>
      <c r="N8" s="385">
        <v>0</v>
      </c>
      <c r="O8" s="385">
        <v>0</v>
      </c>
      <c r="Q8" s="385" t="s">
        <v>262</v>
      </c>
      <c r="R8" s="412">
        <v>5</v>
      </c>
    </row>
    <row r="9" spans="1:18" x14ac:dyDescent="0.3">
      <c r="A9" s="385">
        <v>25</v>
      </c>
      <c r="B9" s="385">
        <v>1</v>
      </c>
      <c r="C9" s="385">
        <v>5</v>
      </c>
      <c r="D9" s="385">
        <v>1359</v>
      </c>
      <c r="E9" s="385">
        <v>1359</v>
      </c>
      <c r="F9" s="385">
        <v>0</v>
      </c>
      <c r="G9" s="385">
        <v>0</v>
      </c>
      <c r="H9" s="385">
        <v>0</v>
      </c>
      <c r="I9" s="385">
        <v>0</v>
      </c>
      <c r="J9" s="385">
        <v>0</v>
      </c>
      <c r="K9" s="385">
        <v>0</v>
      </c>
      <c r="L9" s="385">
        <v>0</v>
      </c>
      <c r="M9" s="385">
        <v>0</v>
      </c>
      <c r="N9" s="385">
        <v>0</v>
      </c>
      <c r="O9" s="385">
        <v>0</v>
      </c>
      <c r="Q9" s="385" t="s">
        <v>263</v>
      </c>
      <c r="R9" s="412">
        <v>6</v>
      </c>
    </row>
    <row r="10" spans="1:18" x14ac:dyDescent="0.3">
      <c r="A10" s="385">
        <v>25</v>
      </c>
      <c r="B10" s="385">
        <v>1</v>
      </c>
      <c r="C10" s="385">
        <v>6</v>
      </c>
      <c r="D10" s="385">
        <v>1663701</v>
      </c>
      <c r="E10" s="385">
        <v>441450</v>
      </c>
      <c r="F10" s="385">
        <v>0</v>
      </c>
      <c r="G10" s="385">
        <v>654944</v>
      </c>
      <c r="H10" s="385">
        <v>0</v>
      </c>
      <c r="I10" s="385">
        <v>501034</v>
      </c>
      <c r="J10" s="385">
        <v>12589</v>
      </c>
      <c r="K10" s="385">
        <v>0</v>
      </c>
      <c r="L10" s="385">
        <v>48834</v>
      </c>
      <c r="M10" s="385">
        <v>0</v>
      </c>
      <c r="N10" s="385">
        <v>4850</v>
      </c>
      <c r="O10" s="385">
        <v>0</v>
      </c>
      <c r="Q10" s="385" t="s">
        <v>264</v>
      </c>
      <c r="R10" s="412">
        <v>7</v>
      </c>
    </row>
    <row r="11" spans="1:18" x14ac:dyDescent="0.3">
      <c r="A11" s="385">
        <v>25</v>
      </c>
      <c r="B11" s="385">
        <v>1</v>
      </c>
      <c r="C11" s="385">
        <v>9</v>
      </c>
      <c r="D11" s="385">
        <v>204476</v>
      </c>
      <c r="E11" s="385">
        <v>0</v>
      </c>
      <c r="F11" s="385">
        <v>0</v>
      </c>
      <c r="G11" s="385">
        <v>204476</v>
      </c>
      <c r="H11" s="385">
        <v>0</v>
      </c>
      <c r="I11" s="385">
        <v>0</v>
      </c>
      <c r="J11" s="385">
        <v>0</v>
      </c>
      <c r="K11" s="385">
        <v>0</v>
      </c>
      <c r="L11" s="385">
        <v>0</v>
      </c>
      <c r="M11" s="385">
        <v>0</v>
      </c>
      <c r="N11" s="385">
        <v>0</v>
      </c>
      <c r="O11" s="385">
        <v>0</v>
      </c>
      <c r="Q11" s="385" t="s">
        <v>265</v>
      </c>
      <c r="R11" s="412">
        <v>8</v>
      </c>
    </row>
    <row r="12" spans="1:18" x14ac:dyDescent="0.3">
      <c r="A12" s="385">
        <v>25</v>
      </c>
      <c r="B12" s="385">
        <v>2</v>
      </c>
      <c r="C12" s="385">
        <v>1</v>
      </c>
      <c r="D12" s="385">
        <v>29</v>
      </c>
      <c r="E12" s="385">
        <v>0</v>
      </c>
      <c r="F12" s="385">
        <v>0</v>
      </c>
      <c r="G12" s="385">
        <v>7.5</v>
      </c>
      <c r="H12" s="385">
        <v>0</v>
      </c>
      <c r="I12" s="385">
        <v>17.75</v>
      </c>
      <c r="J12" s="385">
        <v>0.5</v>
      </c>
      <c r="K12" s="385">
        <v>0</v>
      </c>
      <c r="L12" s="385">
        <v>3</v>
      </c>
      <c r="M12" s="385">
        <v>0</v>
      </c>
      <c r="N12" s="385">
        <v>0.25</v>
      </c>
      <c r="O12" s="385">
        <v>0</v>
      </c>
      <c r="Q12" s="385" t="s">
        <v>266</v>
      </c>
      <c r="R12" s="412">
        <v>9</v>
      </c>
    </row>
    <row r="13" spans="1:18" x14ac:dyDescent="0.3">
      <c r="A13" s="385">
        <v>25</v>
      </c>
      <c r="B13" s="385">
        <v>2</v>
      </c>
      <c r="C13" s="385">
        <v>2</v>
      </c>
      <c r="D13" s="385">
        <v>4213.5</v>
      </c>
      <c r="E13" s="385">
        <v>0</v>
      </c>
      <c r="F13" s="385">
        <v>0</v>
      </c>
      <c r="G13" s="385">
        <v>1116</v>
      </c>
      <c r="H13" s="385">
        <v>0</v>
      </c>
      <c r="I13" s="385">
        <v>2513.5</v>
      </c>
      <c r="J13" s="385">
        <v>80</v>
      </c>
      <c r="K13" s="385">
        <v>0</v>
      </c>
      <c r="L13" s="385">
        <v>470</v>
      </c>
      <c r="M13" s="385">
        <v>0</v>
      </c>
      <c r="N13" s="385">
        <v>34</v>
      </c>
      <c r="O13" s="385">
        <v>0</v>
      </c>
      <c r="Q13" s="385" t="s">
        <v>267</v>
      </c>
      <c r="R13" s="412">
        <v>10</v>
      </c>
    </row>
    <row r="14" spans="1:18" x14ac:dyDescent="0.3">
      <c r="A14" s="385">
        <v>25</v>
      </c>
      <c r="B14" s="385">
        <v>2</v>
      </c>
      <c r="C14" s="385">
        <v>3</v>
      </c>
      <c r="D14" s="385">
        <v>102</v>
      </c>
      <c r="E14" s="385">
        <v>0</v>
      </c>
      <c r="F14" s="385">
        <v>0</v>
      </c>
      <c r="G14" s="385">
        <v>102</v>
      </c>
      <c r="H14" s="385">
        <v>0</v>
      </c>
      <c r="I14" s="385">
        <v>0</v>
      </c>
      <c r="J14" s="385">
        <v>0</v>
      </c>
      <c r="K14" s="385">
        <v>0</v>
      </c>
      <c r="L14" s="385">
        <v>0</v>
      </c>
      <c r="M14" s="385">
        <v>0</v>
      </c>
      <c r="N14" s="385">
        <v>0</v>
      </c>
      <c r="O14" s="385">
        <v>0</v>
      </c>
      <c r="Q14" s="385" t="s">
        <v>268</v>
      </c>
      <c r="R14" s="412">
        <v>11</v>
      </c>
    </row>
    <row r="15" spans="1:18" x14ac:dyDescent="0.3">
      <c r="A15" s="385">
        <v>25</v>
      </c>
      <c r="B15" s="385">
        <v>2</v>
      </c>
      <c r="C15" s="385">
        <v>4</v>
      </c>
      <c r="D15" s="385">
        <v>142</v>
      </c>
      <c r="E15" s="385">
        <v>0</v>
      </c>
      <c r="F15" s="385">
        <v>0</v>
      </c>
      <c r="G15" s="385">
        <v>68</v>
      </c>
      <c r="H15" s="385">
        <v>0</v>
      </c>
      <c r="I15" s="385">
        <v>64</v>
      </c>
      <c r="J15" s="385">
        <v>0</v>
      </c>
      <c r="K15" s="385">
        <v>0</v>
      </c>
      <c r="L15" s="385">
        <v>10</v>
      </c>
      <c r="M15" s="385">
        <v>0</v>
      </c>
      <c r="N15" s="385">
        <v>0</v>
      </c>
      <c r="O15" s="385">
        <v>0</v>
      </c>
      <c r="Q15" s="385" t="s">
        <v>269</v>
      </c>
      <c r="R15" s="412">
        <v>12</v>
      </c>
    </row>
    <row r="16" spans="1:18" x14ac:dyDescent="0.3">
      <c r="A16" s="385">
        <v>25</v>
      </c>
      <c r="B16" s="385">
        <v>2</v>
      </c>
      <c r="C16" s="385">
        <v>5</v>
      </c>
      <c r="D16" s="385">
        <v>1212</v>
      </c>
      <c r="E16" s="385">
        <v>1212</v>
      </c>
      <c r="F16" s="385">
        <v>0</v>
      </c>
      <c r="G16" s="385">
        <v>0</v>
      </c>
      <c r="H16" s="385">
        <v>0</v>
      </c>
      <c r="I16" s="385">
        <v>0</v>
      </c>
      <c r="J16" s="385">
        <v>0</v>
      </c>
      <c r="K16" s="385">
        <v>0</v>
      </c>
      <c r="L16" s="385">
        <v>0</v>
      </c>
      <c r="M16" s="385">
        <v>0</v>
      </c>
      <c r="N16" s="385">
        <v>0</v>
      </c>
      <c r="O16" s="385">
        <v>0</v>
      </c>
      <c r="Q16" s="385" t="s">
        <v>257</v>
      </c>
      <c r="R16" s="412">
        <v>2014</v>
      </c>
    </row>
    <row r="17" spans="1:15" x14ac:dyDescent="0.3">
      <c r="A17" s="385">
        <v>25</v>
      </c>
      <c r="B17" s="385">
        <v>2</v>
      </c>
      <c r="C17" s="385">
        <v>6</v>
      </c>
      <c r="D17" s="385">
        <v>1353359</v>
      </c>
      <c r="E17" s="385">
        <v>391500</v>
      </c>
      <c r="F17" s="385">
        <v>0</v>
      </c>
      <c r="G17" s="385">
        <v>418420</v>
      </c>
      <c r="H17" s="385">
        <v>0</v>
      </c>
      <c r="I17" s="385">
        <v>478520</v>
      </c>
      <c r="J17" s="385">
        <v>11940</v>
      </c>
      <c r="K17" s="385">
        <v>0</v>
      </c>
      <c r="L17" s="385">
        <v>48120</v>
      </c>
      <c r="M17" s="385">
        <v>0</v>
      </c>
      <c r="N17" s="385">
        <v>4859</v>
      </c>
      <c r="O17" s="385">
        <v>0</v>
      </c>
    </row>
    <row r="18" spans="1:15" x14ac:dyDescent="0.3">
      <c r="A18" s="385">
        <v>25</v>
      </c>
      <c r="B18" s="385">
        <v>2</v>
      </c>
      <c r="C18" s="385">
        <v>9</v>
      </c>
      <c r="D18" s="385">
        <v>17144</v>
      </c>
      <c r="E18" s="385">
        <v>0</v>
      </c>
      <c r="F18" s="385">
        <v>0</v>
      </c>
      <c r="G18" s="385">
        <v>8148</v>
      </c>
      <c r="H18" s="385">
        <v>0</v>
      </c>
      <c r="I18" s="385">
        <v>8996</v>
      </c>
      <c r="J18" s="385">
        <v>0</v>
      </c>
      <c r="K18" s="385">
        <v>0</v>
      </c>
      <c r="L18" s="385">
        <v>0</v>
      </c>
      <c r="M18" s="385">
        <v>0</v>
      </c>
      <c r="N18" s="385">
        <v>0</v>
      </c>
      <c r="O18" s="385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0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83" bestFit="1" customWidth="1"/>
    <col min="2" max="2" width="11.6640625" style="283" hidden="1" customWidth="1"/>
    <col min="3" max="4" width="11" style="285" customWidth="1"/>
    <col min="5" max="5" width="11" style="286" customWidth="1"/>
    <col min="6" max="16384" width="8.88671875" style="283"/>
  </cols>
  <sheetData>
    <row r="1" spans="1:5" ht="18.600000000000001" thickBot="1" x14ac:dyDescent="0.4">
      <c r="A1" s="462" t="s">
        <v>155</v>
      </c>
      <c r="B1" s="462"/>
      <c r="C1" s="463"/>
      <c r="D1" s="463"/>
      <c r="E1" s="463"/>
    </row>
    <row r="2" spans="1:5" ht="14.4" customHeight="1" thickBot="1" x14ac:dyDescent="0.35">
      <c r="A2" s="389" t="s">
        <v>299</v>
      </c>
      <c r="B2" s="284"/>
    </row>
    <row r="3" spans="1:5" ht="14.4" customHeight="1" thickBot="1" x14ac:dyDescent="0.35">
      <c r="A3" s="287"/>
      <c r="C3" s="288" t="s">
        <v>135</v>
      </c>
      <c r="D3" s="289" t="s">
        <v>97</v>
      </c>
      <c r="E3" s="290" t="s">
        <v>99</v>
      </c>
    </row>
    <row r="4" spans="1:5" ht="14.4" customHeight="1" thickBot="1" x14ac:dyDescent="0.35">
      <c r="A4" s="291" t="str">
        <f>HYPERLINK("#HI!A1","NÁKLADY CELKEM (v tisících Kč)")</f>
        <v>NÁKLADY CELKEM (v tisících Kč)</v>
      </c>
      <c r="B4" s="292"/>
      <c r="C4" s="293">
        <f ca="1">IF(ISERROR(VLOOKUP("Náklady celkem",INDIRECT("HI!$A:$G"),6,0)),0,VLOOKUP("Náklady celkem",INDIRECT("HI!$A:$G"),6,0))</f>
        <v>6112</v>
      </c>
      <c r="D4" s="293">
        <f ca="1">IF(ISERROR(VLOOKUP("Náklady celkem",INDIRECT("HI!$A:$G"),5,0)),0,VLOOKUP("Náklady celkem",INDIRECT("HI!$A:$G"),5,0))</f>
        <v>6057.78971000002</v>
      </c>
      <c r="E4" s="294">
        <f ca="1">IF(C4=0,0,D4/C4)</f>
        <v>0.99113051537958441</v>
      </c>
    </row>
    <row r="5" spans="1:5" ht="14.4" customHeight="1" x14ac:dyDescent="0.3">
      <c r="A5" s="295" t="s">
        <v>199</v>
      </c>
      <c r="B5" s="296"/>
      <c r="C5" s="297"/>
      <c r="D5" s="297"/>
      <c r="E5" s="298"/>
    </row>
    <row r="6" spans="1:5" ht="14.4" customHeight="1" x14ac:dyDescent="0.3">
      <c r="A6" s="299" t="s">
        <v>204</v>
      </c>
      <c r="B6" s="300"/>
      <c r="C6" s="301"/>
      <c r="D6" s="301"/>
      <c r="E6" s="298"/>
    </row>
    <row r="7" spans="1:5" ht="14.4" customHeight="1" x14ac:dyDescent="0.3">
      <c r="A7" s="30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300" t="s">
        <v>140</v>
      </c>
      <c r="C7" s="301">
        <f>IF(ISERROR(HI!F5),"",HI!F5)</f>
        <v>170</v>
      </c>
      <c r="D7" s="301">
        <f>IF(ISERROR(HI!E5),"",HI!E5)</f>
        <v>140.62976</v>
      </c>
      <c r="E7" s="298">
        <f t="shared" ref="E7:E14" si="0">IF(C7=0,0,D7/C7)</f>
        <v>0.82723388235294115</v>
      </c>
    </row>
    <row r="8" spans="1:5" ht="14.4" customHeight="1" x14ac:dyDescent="0.3">
      <c r="A8" s="302" t="str">
        <f>HYPERLINK("#'LŽ PL'!A1","% plnění pozitivního listu")</f>
        <v>% plnění pozitivního listu</v>
      </c>
      <c r="B8" s="300" t="s">
        <v>191</v>
      </c>
      <c r="C8" s="303">
        <v>0.9</v>
      </c>
      <c r="D8" s="303">
        <f>IF(ISERROR(VLOOKUP("celkem",'LŽ PL'!$A:$F,5,0)),0,VLOOKUP("celkem",'LŽ PL'!$A:$F,5,0))</f>
        <v>1</v>
      </c>
      <c r="E8" s="298">
        <f t="shared" si="0"/>
        <v>1.1111111111111112</v>
      </c>
    </row>
    <row r="9" spans="1:5" ht="14.4" customHeight="1" x14ac:dyDescent="0.3">
      <c r="A9" s="304" t="s">
        <v>200</v>
      </c>
      <c r="B9" s="300"/>
      <c r="C9" s="301"/>
      <c r="D9" s="301"/>
      <c r="E9" s="298"/>
    </row>
    <row r="10" spans="1:5" ht="14.4" customHeight="1" x14ac:dyDescent="0.3">
      <c r="A10" s="302" t="str">
        <f>HYPERLINK("#'Léky Recepty'!A1","% záchytu v lékárně (Úhrada Kč)")</f>
        <v>% záchytu v lékárně (Úhrada Kč)</v>
      </c>
      <c r="B10" s="300" t="s">
        <v>145</v>
      </c>
      <c r="C10" s="303">
        <v>0.6</v>
      </c>
      <c r="D10" s="303">
        <f>IF(ISERROR(VLOOKUP("Celkem",'Léky Recepty'!B:H,5,0)),0,VLOOKUP("Celkem",'Léky Recepty'!B:H,5,0))</f>
        <v>0.40136035593443165</v>
      </c>
      <c r="E10" s="298">
        <f t="shared" si="0"/>
        <v>0.66893392655738615</v>
      </c>
    </row>
    <row r="11" spans="1:5" ht="14.4" customHeight="1" x14ac:dyDescent="0.3">
      <c r="A11" s="302" t="str">
        <f>HYPERLINK("#'LRp PL'!A1","% plnění pozitivního listu")</f>
        <v>% plnění pozitivního listu</v>
      </c>
      <c r="B11" s="300" t="s">
        <v>192</v>
      </c>
      <c r="C11" s="303">
        <v>0.8</v>
      </c>
      <c r="D11" s="303">
        <f>IF(ISERROR(VLOOKUP("Celkem",'LRp PL'!A:F,5,0)),0,VLOOKUP("Celkem",'LRp PL'!A:F,5,0))</f>
        <v>0.96943819060425607</v>
      </c>
      <c r="E11" s="298">
        <f t="shared" si="0"/>
        <v>1.21179773825532</v>
      </c>
    </row>
    <row r="12" spans="1:5" ht="14.4" customHeight="1" x14ac:dyDescent="0.3">
      <c r="A12" s="304" t="s">
        <v>201</v>
      </c>
      <c r="B12" s="300"/>
      <c r="C12" s="301"/>
      <c r="D12" s="301"/>
      <c r="E12" s="298"/>
    </row>
    <row r="13" spans="1:5" ht="14.4" customHeight="1" x14ac:dyDescent="0.3">
      <c r="A13" s="305" t="s">
        <v>205</v>
      </c>
      <c r="B13" s="300"/>
      <c r="C13" s="297"/>
      <c r="D13" s="297"/>
      <c r="E13" s="298"/>
    </row>
    <row r="14" spans="1:5" ht="14.4" customHeight="1" x14ac:dyDescent="0.3">
      <c r="A14" s="30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300" t="s">
        <v>140</v>
      </c>
      <c r="C14" s="301">
        <f>IF(ISERROR(HI!F6),"",HI!F6)</f>
        <v>409</v>
      </c>
      <c r="D14" s="301">
        <f>IF(ISERROR(HI!E6),"",HI!E6)</f>
        <v>285.60618000000102</v>
      </c>
      <c r="E14" s="298">
        <f t="shared" si="0"/>
        <v>0.69830361858190959</v>
      </c>
    </row>
    <row r="15" spans="1:5" ht="14.4" customHeight="1" thickBot="1" x14ac:dyDescent="0.35">
      <c r="A15" s="307" t="str">
        <f>HYPERLINK("#HI!A1","Osobní náklady")</f>
        <v>Osobní náklady</v>
      </c>
      <c r="B15" s="300"/>
      <c r="C15" s="297">
        <f ca="1">IF(ISERROR(VLOOKUP("Osobní náklady (Kč)",INDIRECT("HI!$A:$G"),6,0)),0,VLOOKUP("Osobní náklady (Kč)",INDIRECT("HI!$A:$G"),6,0))</f>
        <v>0</v>
      </c>
      <c r="D15" s="297">
        <f ca="1">IF(ISERROR(VLOOKUP("Osobní náklady (Kč)",INDIRECT("HI!$A:$G"),5,0)),0,VLOOKUP("Osobní náklady (Kč)",INDIRECT("HI!$A:$G"),5,0))</f>
        <v>0</v>
      </c>
      <c r="E15" s="298">
        <f ca="1">IF(C15=0,0,D15/C15)</f>
        <v>0</v>
      </c>
    </row>
    <row r="16" spans="1:5" ht="14.4" customHeight="1" thickBot="1" x14ac:dyDescent="0.35">
      <c r="A16" s="311"/>
      <c r="B16" s="312"/>
      <c r="C16" s="313"/>
      <c r="D16" s="313"/>
      <c r="E16" s="314"/>
    </row>
    <row r="17" spans="1:5" ht="14.4" customHeight="1" thickBot="1" x14ac:dyDescent="0.35">
      <c r="A17" s="315" t="str">
        <f>HYPERLINK("#HI!A1","VÝNOSY CELKEM (v tisících)")</f>
        <v>VÝNOSY CELKEM (v tisících)</v>
      </c>
      <c r="B17" s="316"/>
      <c r="C17" s="317">
        <f ca="1">IF(ISERROR(VLOOKUP("Výnosy celkem",INDIRECT("HI!$A:$G"),6,0)),0,VLOOKUP("Výnosy celkem",INDIRECT("HI!$A:$G"),6,0))</f>
        <v>9007.5460700000003</v>
      </c>
      <c r="D17" s="317">
        <f ca="1">IF(ISERROR(VLOOKUP("Výnosy celkem",INDIRECT("HI!$A:$G"),5,0)),0,VLOOKUP("Výnosy celkem",INDIRECT("HI!$A:$G"),5,0))</f>
        <v>7145.0655200000001</v>
      </c>
      <c r="E17" s="318">
        <f t="shared" ref="E17:E27" ca="1" si="1">IF(C17=0,0,D17/C17)</f>
        <v>0.79323108252501007</v>
      </c>
    </row>
    <row r="18" spans="1:5" ht="14.4" customHeight="1" x14ac:dyDescent="0.3">
      <c r="A18" s="319" t="str">
        <f>HYPERLINK("#HI!A1","Ambulance (body za výkony + Kč za ZUM a ZULP)")</f>
        <v>Ambulance (body za výkony + Kč za ZUM a ZULP)</v>
      </c>
      <c r="B18" s="296"/>
      <c r="C18" s="297">
        <f ca="1">IF(ISERROR(VLOOKUP("Ambulance *",INDIRECT("HI!$A:$G"),6,0)),0,VLOOKUP("Ambulance *",INDIRECT("HI!$A:$G"),6,0))</f>
        <v>3071.4760700000006</v>
      </c>
      <c r="D18" s="297">
        <f ca="1">IF(ISERROR(VLOOKUP("Ambulance *",INDIRECT("HI!$A:$G"),5,0)),0,VLOOKUP("Ambulance *",INDIRECT("HI!$A:$G"),5,0))</f>
        <v>3188.6355200000003</v>
      </c>
      <c r="E18" s="298">
        <f t="shared" ca="1" si="1"/>
        <v>1.0381443473202772</v>
      </c>
    </row>
    <row r="19" spans="1:5" ht="14.4" customHeight="1" x14ac:dyDescent="0.3">
      <c r="A19" s="320" t="str">
        <f>HYPERLINK("#'ZV Vykáz.-A'!A1","Zdravotní výkony vykázané u ambulantních pacientů (min. 100 %)")</f>
        <v>Zdravotní výkony vykázané u ambulantních pacientů (min. 100 %)</v>
      </c>
      <c r="B19" s="283" t="s">
        <v>157</v>
      </c>
      <c r="C19" s="303">
        <v>1</v>
      </c>
      <c r="D19" s="303">
        <f>IF(ISERROR(VLOOKUP("Celkem:",'ZV Vykáz.-A'!$A:$S,7,0)),"",VLOOKUP("Celkem:",'ZV Vykáz.-A'!$A:$S,7,0))</f>
        <v>1.0381443473202772</v>
      </c>
      <c r="E19" s="298">
        <f t="shared" si="1"/>
        <v>1.0381443473202772</v>
      </c>
    </row>
    <row r="20" spans="1:5" ht="14.4" customHeight="1" x14ac:dyDescent="0.3">
      <c r="A20" s="320" t="str">
        <f>HYPERLINK("#'ZV Vykáz.-H'!A1","Zdravotní výkony vykázané u hospitalizovaných pacientů (max. 85 %)")</f>
        <v>Zdravotní výkony vykázané u hospitalizovaných pacientů (max. 85 %)</v>
      </c>
      <c r="B20" s="283" t="s">
        <v>159</v>
      </c>
      <c r="C20" s="303">
        <v>0.85</v>
      </c>
      <c r="D20" s="303">
        <f>IF(ISERROR(VLOOKUP("Celkem:",'ZV Vykáz.-H'!$A:$S,7,0)),"",VLOOKUP("Celkem:",'ZV Vykáz.-H'!$A:$S,7,0))</f>
        <v>0.76570367971264108</v>
      </c>
      <c r="E20" s="298">
        <f t="shared" si="1"/>
        <v>0.9008278584854601</v>
      </c>
    </row>
    <row r="21" spans="1:5" ht="14.4" customHeight="1" x14ac:dyDescent="0.3">
      <c r="A21" s="321" t="str">
        <f>HYPERLINK("#HI!A1","Hospitalizace (casemix * 30000)")</f>
        <v>Hospitalizace (casemix * 30000)</v>
      </c>
      <c r="B21" s="300"/>
      <c r="C21" s="297">
        <f ca="1">IF(ISERROR(VLOOKUP("Hospitalizace *",INDIRECT("HI!$A:$G"),6,0)),0,VLOOKUP("Hospitalizace *",INDIRECT("HI!$A:$G"),6,0))</f>
        <v>5936.0700000000006</v>
      </c>
      <c r="D21" s="297">
        <f ca="1">IF(ISERROR(VLOOKUP("Hospitalizace *",INDIRECT("HI!$A:$G"),5,0)),0,VLOOKUP("Hospitalizace *",INDIRECT("HI!$A:$G"),5,0))</f>
        <v>3956.43</v>
      </c>
      <c r="E21" s="298">
        <f ca="1">IF(C21=0,0,D21/C21)</f>
        <v>0.66650662812264672</v>
      </c>
    </row>
    <row r="22" spans="1:5" ht="14.4" customHeight="1" x14ac:dyDescent="0.3">
      <c r="A22" s="320" t="str">
        <f>HYPERLINK("#'CaseMix'!A1","Casemix (min. 100 %)")</f>
        <v>Casemix (min. 100 %)</v>
      </c>
      <c r="B22" s="300" t="s">
        <v>74</v>
      </c>
      <c r="C22" s="303">
        <v>1</v>
      </c>
      <c r="D22" s="303">
        <f>IF(ISERROR(VLOOKUP("Celkem",CaseMix!A:M,5,0)),0,VLOOKUP("Celkem",CaseMix!A:M,5,0))</f>
        <v>0.66650662812264672</v>
      </c>
      <c r="E22" s="298">
        <f t="shared" si="1"/>
        <v>0.66650662812264672</v>
      </c>
    </row>
    <row r="23" spans="1:5" ht="14.4" customHeight="1" x14ac:dyDescent="0.3">
      <c r="A23" s="322" t="str">
        <f>HYPERLINK("#'CaseMix'!A1","DRG mimo vyjmenované baze")</f>
        <v>DRG mimo vyjmenované baze</v>
      </c>
      <c r="B23" s="300" t="s">
        <v>74</v>
      </c>
      <c r="C23" s="303">
        <v>1</v>
      </c>
      <c r="D23" s="303">
        <f>IF(ISERROR(CaseMix!E26),"",CaseMix!E26)</f>
        <v>0.66650662812264672</v>
      </c>
      <c r="E23" s="298">
        <f t="shared" si="1"/>
        <v>0.66650662812264672</v>
      </c>
    </row>
    <row r="24" spans="1:5" ht="14.4" customHeight="1" x14ac:dyDescent="0.3">
      <c r="A24" s="322" t="str">
        <f>HYPERLINK("#'CaseMix'!A1","Vyjmenované baze DRG")</f>
        <v>Vyjmenované baze DRG</v>
      </c>
      <c r="B24" s="300" t="s">
        <v>74</v>
      </c>
      <c r="C24" s="303">
        <v>1</v>
      </c>
      <c r="D24" s="303">
        <f>IF(ISERROR(CaseMix!E39),"",CaseMix!E39)</f>
        <v>0</v>
      </c>
      <c r="E24" s="298">
        <f t="shared" si="1"/>
        <v>0</v>
      </c>
    </row>
    <row r="25" spans="1:5" ht="14.4" customHeight="1" x14ac:dyDescent="0.3">
      <c r="A25" s="320" t="str">
        <f>HYPERLINK("#'CaseMix'!A1","Počet hospitalizací ukončených na pracovišti (min. 95 %)")</f>
        <v>Počet hospitalizací ukončených na pracovišti (min. 95 %)</v>
      </c>
      <c r="B25" s="300" t="s">
        <v>74</v>
      </c>
      <c r="C25" s="303">
        <v>0.95</v>
      </c>
      <c r="D25" s="303">
        <f>IF(ISERROR(CaseMix!I13),"",CaseMix!I13)</f>
        <v>0.83333333333333337</v>
      </c>
      <c r="E25" s="298">
        <f t="shared" si="1"/>
        <v>0.87719298245614041</v>
      </c>
    </row>
    <row r="26" spans="1:5" ht="14.4" customHeight="1" x14ac:dyDescent="0.3">
      <c r="A26" s="320" t="str">
        <f>HYPERLINK("#'ALOS'!A1","Průměrná délka hospitalizace (max. 100 % republikového průměru)")</f>
        <v>Průměrná délka hospitalizace (max. 100 % republikového průměru)</v>
      </c>
      <c r="B26" s="300" t="s">
        <v>89</v>
      </c>
      <c r="C26" s="303">
        <v>1</v>
      </c>
      <c r="D26" s="323">
        <f>IF(ISERROR(INDEX(ALOS!$E:$E,COUNT(ALOS!$E:$E)+32)),0,INDEX(ALOS!$E:$E,COUNT(ALOS!$E:$E)+32))</f>
        <v>0.99668722869545345</v>
      </c>
      <c r="E26" s="298">
        <f t="shared" si="1"/>
        <v>0.99668722869545345</v>
      </c>
    </row>
    <row r="27" spans="1:5" ht="27.6" x14ac:dyDescent="0.3">
      <c r="A27" s="324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7" s="300" t="s">
        <v>154</v>
      </c>
      <c r="C27" s="303">
        <f>IF(E22&gt;1,95%,95%-2*ABS(C22-D22))</f>
        <v>0.28301325624529339</v>
      </c>
      <c r="D27" s="303">
        <f>IF(ISERROR(VLOOKUP("Celkem:",'ZV Vyžád.'!$A:$M,7,0)),"",VLOOKUP("Celkem:",'ZV Vyžád.'!$A:$M,7,0))</f>
        <v>0.83381838766607841</v>
      </c>
      <c r="E27" s="298">
        <f t="shared" si="1"/>
        <v>2.9462167204754217</v>
      </c>
    </row>
    <row r="28" spans="1:5" ht="14.4" customHeight="1" thickBot="1" x14ac:dyDescent="0.35">
      <c r="A28" s="325" t="s">
        <v>202</v>
      </c>
      <c r="B28" s="308"/>
      <c r="C28" s="309"/>
      <c r="D28" s="309"/>
      <c r="E28" s="310"/>
    </row>
    <row r="29" spans="1:5" ht="14.4" customHeight="1" thickBot="1" x14ac:dyDescent="0.35">
      <c r="A29" s="326"/>
      <c r="B29" s="327"/>
      <c r="C29" s="328"/>
      <c r="D29" s="328"/>
      <c r="E29" s="329"/>
    </row>
    <row r="30" spans="1:5" ht="14.4" customHeight="1" thickBot="1" x14ac:dyDescent="0.35">
      <c r="A30" s="330" t="s">
        <v>203</v>
      </c>
      <c r="B30" s="331"/>
      <c r="C30" s="332"/>
      <c r="D30" s="332"/>
      <c r="E30" s="333"/>
    </row>
  </sheetData>
  <mergeCells count="1">
    <mergeCell ref="A1:E1"/>
  </mergeCells>
  <conditionalFormatting sqref="E22:E25 E17 E19 E8 E10:E11">
    <cfRule type="iconSet" priority="17">
      <iconSet iconSet="3Symbols2">
        <cfvo type="percent" val="0"/>
        <cfvo type="num" val="1"/>
        <cfvo type="num" val="1"/>
      </iconSet>
    </cfRule>
  </conditionalFormatting>
  <conditionalFormatting sqref="E5">
    <cfRule type="cellIs" dxfId="77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7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75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74" priority="5" operator="lessThan">
      <formula>1</formula>
    </cfRule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1">
    <cfRule type="cellIs" dxfId="73" priority="3" operator="lessThan">
      <formula>1</formula>
    </cfRule>
    <cfRule type="iconSet" priority="4">
      <iconSet iconSet="3Symbols2">
        <cfvo type="percent" val="0"/>
        <cfvo type="num" val="1"/>
        <cfvo type="num" val="1"/>
      </iconSet>
    </cfRule>
  </conditionalFormatting>
  <conditionalFormatting sqref="E6">
    <cfRule type="cellIs" dxfId="72" priority="1" operator="greaterThan">
      <formula>1</formula>
    </cfRule>
    <cfRule type="iconSet" priority="2">
      <iconSet iconSet="3Symbols2" reverse="1">
        <cfvo type="percent" val="0"/>
        <cfvo type="num" val="1"/>
        <cfvo type="num" val="1"/>
      </iconSet>
    </cfRule>
  </conditionalFormatting>
  <conditionalFormatting sqref="E17 E19 E22:E25 E8 E10:E11">
    <cfRule type="cellIs" dxfId="71" priority="16" operator="lessThan">
      <formula>1</formula>
    </cfRule>
  </conditionalFormatting>
  <conditionalFormatting sqref="E26:E27 E4 E7 E14 E20">
    <cfRule type="cellIs" dxfId="70" priority="19" operator="greaterThan">
      <formula>1</formula>
    </cfRule>
    <cfRule type="iconSet" priority="2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2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260" bestFit="1" customWidth="1"/>
    <col min="2" max="2" width="7.77734375" style="225" customWidth="1"/>
    <col min="3" max="3" width="5.44140625" style="260" hidden="1" customWidth="1"/>
    <col min="4" max="4" width="7.77734375" style="225" customWidth="1"/>
    <col min="5" max="5" width="5.44140625" style="260" hidden="1" customWidth="1"/>
    <col min="6" max="6" width="7.77734375" style="225" customWidth="1"/>
    <col min="7" max="7" width="7.77734375" style="346" customWidth="1"/>
    <col min="8" max="8" width="7.77734375" style="225" customWidth="1"/>
    <col min="9" max="9" width="5.44140625" style="260" hidden="1" customWidth="1"/>
    <col min="10" max="10" width="7.77734375" style="225" customWidth="1"/>
    <col min="11" max="11" width="5.44140625" style="260" hidden="1" customWidth="1"/>
    <col min="12" max="12" width="7.77734375" style="225" customWidth="1"/>
    <col min="13" max="13" width="7.77734375" style="346" customWidth="1"/>
    <col min="14" max="14" width="7.77734375" style="225" customWidth="1"/>
    <col min="15" max="15" width="5" style="260" hidden="1" customWidth="1"/>
    <col min="16" max="16" width="7.77734375" style="225" customWidth="1"/>
    <col min="17" max="17" width="5" style="260" hidden="1" customWidth="1"/>
    <col min="18" max="18" width="7.77734375" style="225" customWidth="1"/>
    <col min="19" max="19" width="7.77734375" style="346" customWidth="1"/>
    <col min="20" max="16384" width="8.88671875" style="260"/>
  </cols>
  <sheetData>
    <row r="1" spans="1:19" ht="18.600000000000001" customHeight="1" thickBot="1" x14ac:dyDescent="0.4">
      <c r="A1" s="533" t="s">
        <v>1450</v>
      </c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2"/>
      <c r="N1" s="462"/>
      <c r="O1" s="462"/>
      <c r="P1" s="462"/>
      <c r="Q1" s="462"/>
      <c r="R1" s="462"/>
      <c r="S1" s="462"/>
    </row>
    <row r="2" spans="1:19" ht="14.4" customHeight="1" thickBot="1" x14ac:dyDescent="0.35">
      <c r="A2" s="389" t="s">
        <v>299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</row>
    <row r="3" spans="1:19" ht="14.4" customHeight="1" thickBot="1" x14ac:dyDescent="0.35">
      <c r="A3" s="356" t="s">
        <v>163</v>
      </c>
      <c r="B3" s="357">
        <f>SUBTOTAL(9,B6:B1048576)</f>
        <v>3071476.0700000008</v>
      </c>
      <c r="C3" s="358">
        <f t="shared" ref="C3:R3" si="0">SUBTOTAL(9,C6:C1048576)</f>
        <v>4</v>
      </c>
      <c r="D3" s="358">
        <f t="shared" si="0"/>
        <v>3152621.99</v>
      </c>
      <c r="E3" s="358">
        <f t="shared" si="0"/>
        <v>3.2806450458698446</v>
      </c>
      <c r="F3" s="358">
        <f t="shared" si="0"/>
        <v>3188635.5200000005</v>
      </c>
      <c r="G3" s="359">
        <f>IF(B3&lt;&gt;0,F3/B3,"")</f>
        <v>1.0381443473202772</v>
      </c>
      <c r="H3" s="360">
        <f t="shared" si="0"/>
        <v>41256.949999999997</v>
      </c>
      <c r="I3" s="358">
        <f t="shared" si="0"/>
        <v>2</v>
      </c>
      <c r="J3" s="358">
        <f t="shared" si="0"/>
        <v>29790.37</v>
      </c>
      <c r="K3" s="358">
        <f t="shared" si="0"/>
        <v>1.0154756754727796</v>
      </c>
      <c r="L3" s="358">
        <f t="shared" si="0"/>
        <v>26269.53</v>
      </c>
      <c r="M3" s="361">
        <f>IF(H3&lt;&gt;0,L3/H3,"")</f>
        <v>0.63672981158326059</v>
      </c>
      <c r="N3" s="357">
        <f t="shared" si="0"/>
        <v>0</v>
      </c>
      <c r="O3" s="358">
        <f t="shared" si="0"/>
        <v>0</v>
      </c>
      <c r="P3" s="358">
        <f t="shared" si="0"/>
        <v>0</v>
      </c>
      <c r="Q3" s="358">
        <f t="shared" si="0"/>
        <v>0</v>
      </c>
      <c r="R3" s="358">
        <f t="shared" si="0"/>
        <v>0</v>
      </c>
      <c r="S3" s="359" t="str">
        <f>IF(N3&lt;&gt;0,R3/N3,"")</f>
        <v/>
      </c>
    </row>
    <row r="4" spans="1:19" ht="14.4" customHeight="1" x14ac:dyDescent="0.3">
      <c r="A4" s="534" t="s">
        <v>126</v>
      </c>
      <c r="B4" s="535" t="s">
        <v>127</v>
      </c>
      <c r="C4" s="536"/>
      <c r="D4" s="536"/>
      <c r="E4" s="536"/>
      <c r="F4" s="536"/>
      <c r="G4" s="537"/>
      <c r="H4" s="535" t="s">
        <v>128</v>
      </c>
      <c r="I4" s="536"/>
      <c r="J4" s="536"/>
      <c r="K4" s="536"/>
      <c r="L4" s="536"/>
      <c r="M4" s="537"/>
      <c r="N4" s="535" t="s">
        <v>129</v>
      </c>
      <c r="O4" s="536"/>
      <c r="P4" s="536"/>
      <c r="Q4" s="536"/>
      <c r="R4" s="536"/>
      <c r="S4" s="537"/>
    </row>
    <row r="5" spans="1:19" ht="14.4" customHeight="1" thickBot="1" x14ac:dyDescent="0.35">
      <c r="A5" s="731"/>
      <c r="B5" s="732">
        <v>2012</v>
      </c>
      <c r="C5" s="733"/>
      <c r="D5" s="733">
        <v>2013</v>
      </c>
      <c r="E5" s="733"/>
      <c r="F5" s="733">
        <v>2014</v>
      </c>
      <c r="G5" s="734" t="s">
        <v>5</v>
      </c>
      <c r="H5" s="732">
        <v>2012</v>
      </c>
      <c r="I5" s="733"/>
      <c r="J5" s="733">
        <v>2013</v>
      </c>
      <c r="K5" s="733"/>
      <c r="L5" s="733">
        <v>2014</v>
      </c>
      <c r="M5" s="734" t="s">
        <v>5</v>
      </c>
      <c r="N5" s="732">
        <v>2012</v>
      </c>
      <c r="O5" s="733"/>
      <c r="P5" s="733">
        <v>2013</v>
      </c>
      <c r="Q5" s="733"/>
      <c r="R5" s="733">
        <v>2014</v>
      </c>
      <c r="S5" s="734" t="s">
        <v>5</v>
      </c>
    </row>
    <row r="6" spans="1:19" ht="14.4" customHeight="1" x14ac:dyDescent="0.3">
      <c r="A6" s="722" t="s">
        <v>1444</v>
      </c>
      <c r="B6" s="735">
        <v>6555.57</v>
      </c>
      <c r="C6" s="703">
        <v>1</v>
      </c>
      <c r="D6" s="735"/>
      <c r="E6" s="703"/>
      <c r="F6" s="735"/>
      <c r="G6" s="708"/>
      <c r="H6" s="735"/>
      <c r="I6" s="703"/>
      <c r="J6" s="735"/>
      <c r="K6" s="703"/>
      <c r="L6" s="735"/>
      <c r="M6" s="708"/>
      <c r="N6" s="735"/>
      <c r="O6" s="703"/>
      <c r="P6" s="735"/>
      <c r="Q6" s="703"/>
      <c r="R6" s="735"/>
      <c r="S6" s="241"/>
    </row>
    <row r="7" spans="1:19" ht="14.4" customHeight="1" x14ac:dyDescent="0.3">
      <c r="A7" s="723" t="s">
        <v>1445</v>
      </c>
      <c r="B7" s="736">
        <v>2343035.6900000009</v>
      </c>
      <c r="C7" s="677">
        <v>1</v>
      </c>
      <c r="D7" s="736">
        <v>2374725.56</v>
      </c>
      <c r="E7" s="677">
        <v>1.013525133285528</v>
      </c>
      <c r="F7" s="736">
        <v>2326888.9100000006</v>
      </c>
      <c r="G7" s="688">
        <v>0.99310860689450264</v>
      </c>
      <c r="H7" s="736">
        <v>39654</v>
      </c>
      <c r="I7" s="677">
        <v>1</v>
      </c>
      <c r="J7" s="736">
        <v>29349</v>
      </c>
      <c r="K7" s="677">
        <v>0.74012709940989563</v>
      </c>
      <c r="L7" s="736">
        <v>25810</v>
      </c>
      <c r="M7" s="688">
        <v>0.65088011297725323</v>
      </c>
      <c r="N7" s="736"/>
      <c r="O7" s="677"/>
      <c r="P7" s="736"/>
      <c r="Q7" s="677"/>
      <c r="R7" s="736"/>
      <c r="S7" s="242"/>
    </row>
    <row r="8" spans="1:19" ht="14.4" customHeight="1" x14ac:dyDescent="0.3">
      <c r="A8" s="723" t="s">
        <v>1446</v>
      </c>
      <c r="B8" s="736">
        <v>695007.81000000017</v>
      </c>
      <c r="C8" s="677">
        <v>1</v>
      </c>
      <c r="D8" s="736">
        <v>745804.43000000017</v>
      </c>
      <c r="E8" s="677">
        <v>1.073087840552468</v>
      </c>
      <c r="F8" s="736">
        <v>813755.61</v>
      </c>
      <c r="G8" s="688">
        <v>1.1708582238809659</v>
      </c>
      <c r="H8" s="736"/>
      <c r="I8" s="677"/>
      <c r="J8" s="736"/>
      <c r="K8" s="677"/>
      <c r="L8" s="736"/>
      <c r="M8" s="688"/>
      <c r="N8" s="736"/>
      <c r="O8" s="677"/>
      <c r="P8" s="736"/>
      <c r="Q8" s="677"/>
      <c r="R8" s="736"/>
      <c r="S8" s="242"/>
    </row>
    <row r="9" spans="1:19" ht="14.4" customHeight="1" thickBot="1" x14ac:dyDescent="0.35">
      <c r="A9" s="738" t="s">
        <v>1447</v>
      </c>
      <c r="B9" s="737">
        <v>26877</v>
      </c>
      <c r="C9" s="679">
        <v>1</v>
      </c>
      <c r="D9" s="737">
        <v>32092</v>
      </c>
      <c r="E9" s="679">
        <v>1.1940320720318487</v>
      </c>
      <c r="F9" s="737">
        <v>47991</v>
      </c>
      <c r="G9" s="689">
        <v>1.7855787476280836</v>
      </c>
      <c r="H9" s="737">
        <v>1602.9500000000003</v>
      </c>
      <c r="I9" s="679">
        <v>1</v>
      </c>
      <c r="J9" s="737">
        <v>441.36999999999995</v>
      </c>
      <c r="K9" s="679">
        <v>0.27534857606288399</v>
      </c>
      <c r="L9" s="737">
        <v>459.53</v>
      </c>
      <c r="M9" s="689">
        <v>0.28667768801272647</v>
      </c>
      <c r="N9" s="737"/>
      <c r="O9" s="679"/>
      <c r="P9" s="737"/>
      <c r="Q9" s="679"/>
      <c r="R9" s="737"/>
      <c r="S9" s="690"/>
    </row>
    <row r="10" spans="1:19" ht="14.4" customHeight="1" x14ac:dyDescent="0.3">
      <c r="A10" s="739" t="s">
        <v>1448</v>
      </c>
    </row>
    <row r="11" spans="1:19" ht="14.4" customHeight="1" x14ac:dyDescent="0.3">
      <c r="A11" s="740" t="s">
        <v>239</v>
      </c>
    </row>
    <row r="12" spans="1:19" ht="14.4" customHeight="1" x14ac:dyDescent="0.3">
      <c r="A12" s="739" t="s">
        <v>1449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18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99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260" bestFit="1" customWidth="1"/>
    <col min="2" max="2" width="2.109375" style="260" bestFit="1" customWidth="1"/>
    <col min="3" max="3" width="8" style="260" bestFit="1" customWidth="1"/>
    <col min="4" max="4" width="50.88671875" style="260" bestFit="1" customWidth="1"/>
    <col min="5" max="6" width="11.109375" style="343" customWidth="1"/>
    <col min="7" max="8" width="9.33203125" style="260" hidden="1" customWidth="1"/>
    <col min="9" max="10" width="11.109375" style="343" customWidth="1"/>
    <col min="11" max="12" width="9.33203125" style="260" hidden="1" customWidth="1"/>
    <col min="13" max="14" width="11.109375" style="343" customWidth="1"/>
    <col min="15" max="15" width="11.109375" style="346" customWidth="1"/>
    <col min="16" max="16" width="11.109375" style="343" customWidth="1"/>
    <col min="17" max="16384" width="8.88671875" style="260"/>
  </cols>
  <sheetData>
    <row r="1" spans="1:16" ht="18.600000000000001" customHeight="1" thickBot="1" x14ac:dyDescent="0.4">
      <c r="A1" s="462" t="s">
        <v>1580</v>
      </c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2"/>
      <c r="N1" s="462"/>
      <c r="O1" s="462"/>
      <c r="P1" s="462"/>
    </row>
    <row r="2" spans="1:16" ht="14.4" customHeight="1" thickBot="1" x14ac:dyDescent="0.35">
      <c r="A2" s="389" t="s">
        <v>299</v>
      </c>
      <c r="B2" s="261"/>
      <c r="C2" s="261"/>
      <c r="D2" s="261"/>
      <c r="E2" s="364"/>
      <c r="F2" s="364"/>
      <c r="G2" s="261"/>
      <c r="H2" s="261"/>
      <c r="I2" s="364"/>
      <c r="J2" s="364"/>
      <c r="K2" s="261"/>
      <c r="L2" s="261"/>
      <c r="M2" s="364"/>
      <c r="N2" s="364"/>
      <c r="O2" s="365"/>
      <c r="P2" s="364"/>
    </row>
    <row r="3" spans="1:16" ht="14.4" customHeight="1" thickBot="1" x14ac:dyDescent="0.35">
      <c r="D3" s="112" t="s">
        <v>163</v>
      </c>
      <c r="E3" s="217">
        <f t="shared" ref="E3:N3" si="0">SUBTOTAL(9,E6:E1048576)</f>
        <v>11509.07</v>
      </c>
      <c r="F3" s="218">
        <f t="shared" si="0"/>
        <v>3112733.02</v>
      </c>
      <c r="G3" s="78"/>
      <c r="H3" s="78"/>
      <c r="I3" s="218">
        <f t="shared" si="0"/>
        <v>13385.32</v>
      </c>
      <c r="J3" s="218">
        <f t="shared" si="0"/>
        <v>3182412.3599999994</v>
      </c>
      <c r="K3" s="78"/>
      <c r="L3" s="78"/>
      <c r="M3" s="218">
        <f t="shared" si="0"/>
        <v>13817.76</v>
      </c>
      <c r="N3" s="218">
        <f t="shared" si="0"/>
        <v>3214905.0499999993</v>
      </c>
      <c r="O3" s="79">
        <f>IF(F3=0,0,N3/F3)</f>
        <v>1.0328238976306421</v>
      </c>
      <c r="P3" s="219">
        <f>IF(M3=0,0,N3/M3)</f>
        <v>232.66470469888023</v>
      </c>
    </row>
    <row r="4" spans="1:16" ht="14.4" customHeight="1" x14ac:dyDescent="0.3">
      <c r="A4" s="539" t="s">
        <v>122</v>
      </c>
      <c r="B4" s="540" t="s">
        <v>123</v>
      </c>
      <c r="C4" s="541" t="s">
        <v>124</v>
      </c>
      <c r="D4" s="542" t="s">
        <v>84</v>
      </c>
      <c r="E4" s="543">
        <v>2012</v>
      </c>
      <c r="F4" s="544"/>
      <c r="G4" s="216"/>
      <c r="H4" s="216"/>
      <c r="I4" s="543">
        <v>2013</v>
      </c>
      <c r="J4" s="544"/>
      <c r="K4" s="216"/>
      <c r="L4" s="216"/>
      <c r="M4" s="543">
        <v>2014</v>
      </c>
      <c r="N4" s="544"/>
      <c r="O4" s="545" t="s">
        <v>5</v>
      </c>
      <c r="P4" s="538" t="s">
        <v>125</v>
      </c>
    </row>
    <row r="5" spans="1:16" ht="14.4" customHeight="1" thickBot="1" x14ac:dyDescent="0.35">
      <c r="A5" s="741"/>
      <c r="B5" s="742"/>
      <c r="C5" s="743"/>
      <c r="D5" s="744"/>
      <c r="E5" s="745" t="s">
        <v>94</v>
      </c>
      <c r="F5" s="746" t="s">
        <v>17</v>
      </c>
      <c r="G5" s="747"/>
      <c r="H5" s="747"/>
      <c r="I5" s="745" t="s">
        <v>94</v>
      </c>
      <c r="J5" s="746" t="s">
        <v>17</v>
      </c>
      <c r="K5" s="747"/>
      <c r="L5" s="747"/>
      <c r="M5" s="745" t="s">
        <v>94</v>
      </c>
      <c r="N5" s="746" t="s">
        <v>17</v>
      </c>
      <c r="O5" s="748"/>
      <c r="P5" s="749"/>
    </row>
    <row r="6" spans="1:16" ht="14.4" customHeight="1" x14ac:dyDescent="0.3">
      <c r="A6" s="702" t="s">
        <v>1451</v>
      </c>
      <c r="B6" s="703" t="s">
        <v>1452</v>
      </c>
      <c r="C6" s="703" t="s">
        <v>1453</v>
      </c>
      <c r="D6" s="703" t="s">
        <v>1454</v>
      </c>
      <c r="E6" s="235">
        <v>20</v>
      </c>
      <c r="F6" s="235">
        <v>6555.57</v>
      </c>
      <c r="G6" s="703">
        <v>1</v>
      </c>
      <c r="H6" s="703">
        <v>327.77850000000001</v>
      </c>
      <c r="I6" s="235"/>
      <c r="J6" s="235"/>
      <c r="K6" s="703"/>
      <c r="L6" s="703"/>
      <c r="M6" s="235"/>
      <c r="N6" s="235"/>
      <c r="O6" s="708"/>
      <c r="P6" s="718"/>
    </row>
    <row r="7" spans="1:16" ht="14.4" customHeight="1" x14ac:dyDescent="0.3">
      <c r="A7" s="686" t="s">
        <v>1455</v>
      </c>
      <c r="B7" s="677" t="s">
        <v>1456</v>
      </c>
      <c r="C7" s="677" t="s">
        <v>1457</v>
      </c>
      <c r="D7" s="677" t="s">
        <v>1448</v>
      </c>
      <c r="E7" s="238"/>
      <c r="F7" s="238"/>
      <c r="G7" s="677"/>
      <c r="H7" s="677"/>
      <c r="I7" s="238">
        <v>1</v>
      </c>
      <c r="J7" s="238">
        <v>1008</v>
      </c>
      <c r="K7" s="677"/>
      <c r="L7" s="677">
        <v>1008</v>
      </c>
      <c r="M7" s="238"/>
      <c r="N7" s="238"/>
      <c r="O7" s="688"/>
      <c r="P7" s="719"/>
    </row>
    <row r="8" spans="1:16" ht="14.4" customHeight="1" x14ac:dyDescent="0.3">
      <c r="A8" s="686" t="s">
        <v>1455</v>
      </c>
      <c r="B8" s="677" t="s">
        <v>1456</v>
      </c>
      <c r="C8" s="677" t="s">
        <v>1458</v>
      </c>
      <c r="D8" s="677" t="s">
        <v>1448</v>
      </c>
      <c r="E8" s="238">
        <v>3</v>
      </c>
      <c r="F8" s="238">
        <v>1788</v>
      </c>
      <c r="G8" s="677">
        <v>1</v>
      </c>
      <c r="H8" s="677">
        <v>596</v>
      </c>
      <c r="I8" s="238"/>
      <c r="J8" s="238"/>
      <c r="K8" s="677"/>
      <c r="L8" s="677"/>
      <c r="M8" s="238">
        <v>1</v>
      </c>
      <c r="N8" s="238">
        <v>596</v>
      </c>
      <c r="O8" s="688">
        <v>0.33333333333333331</v>
      </c>
      <c r="P8" s="719">
        <v>596</v>
      </c>
    </row>
    <row r="9" spans="1:16" ht="14.4" customHeight="1" x14ac:dyDescent="0.3">
      <c r="A9" s="686" t="s">
        <v>1455</v>
      </c>
      <c r="B9" s="677" t="s">
        <v>1456</v>
      </c>
      <c r="C9" s="677" t="s">
        <v>1459</v>
      </c>
      <c r="D9" s="677" t="s">
        <v>1448</v>
      </c>
      <c r="E9" s="238"/>
      <c r="F9" s="238"/>
      <c r="G9" s="677"/>
      <c r="H9" s="677"/>
      <c r="I9" s="238">
        <v>1</v>
      </c>
      <c r="J9" s="238">
        <v>666</v>
      </c>
      <c r="K9" s="677"/>
      <c r="L9" s="677">
        <v>666</v>
      </c>
      <c r="M9" s="238"/>
      <c r="N9" s="238"/>
      <c r="O9" s="688"/>
      <c r="P9" s="719"/>
    </row>
    <row r="10" spans="1:16" ht="14.4" customHeight="1" x14ac:dyDescent="0.3">
      <c r="A10" s="686" t="s">
        <v>1455</v>
      </c>
      <c r="B10" s="677" t="s">
        <v>1456</v>
      </c>
      <c r="C10" s="677" t="s">
        <v>1460</v>
      </c>
      <c r="D10" s="677" t="s">
        <v>1448</v>
      </c>
      <c r="E10" s="238">
        <v>2</v>
      </c>
      <c r="F10" s="238">
        <v>1122</v>
      </c>
      <c r="G10" s="677">
        <v>1</v>
      </c>
      <c r="H10" s="677">
        <v>561</v>
      </c>
      <c r="I10" s="238">
        <v>9</v>
      </c>
      <c r="J10" s="238">
        <v>5049</v>
      </c>
      <c r="K10" s="677">
        <v>4.5</v>
      </c>
      <c r="L10" s="677">
        <v>561</v>
      </c>
      <c r="M10" s="238">
        <v>0</v>
      </c>
      <c r="N10" s="238">
        <v>0</v>
      </c>
      <c r="O10" s="688">
        <v>0</v>
      </c>
      <c r="P10" s="719"/>
    </row>
    <row r="11" spans="1:16" ht="14.4" customHeight="1" x14ac:dyDescent="0.3">
      <c r="A11" s="686" t="s">
        <v>1455</v>
      </c>
      <c r="B11" s="677" t="s">
        <v>1456</v>
      </c>
      <c r="C11" s="677" t="s">
        <v>1461</v>
      </c>
      <c r="D11" s="677" t="s">
        <v>1448</v>
      </c>
      <c r="E11" s="238">
        <v>8</v>
      </c>
      <c r="F11" s="238">
        <v>4152</v>
      </c>
      <c r="G11" s="677">
        <v>1</v>
      </c>
      <c r="H11" s="677">
        <v>519</v>
      </c>
      <c r="I11" s="238"/>
      <c r="J11" s="238"/>
      <c r="K11" s="677"/>
      <c r="L11" s="677"/>
      <c r="M11" s="238"/>
      <c r="N11" s="238"/>
      <c r="O11" s="688"/>
      <c r="P11" s="719"/>
    </row>
    <row r="12" spans="1:16" ht="14.4" customHeight="1" x14ac:dyDescent="0.3">
      <c r="A12" s="686" t="s">
        <v>1455</v>
      </c>
      <c r="B12" s="677" t="s">
        <v>1456</v>
      </c>
      <c r="C12" s="677" t="s">
        <v>1462</v>
      </c>
      <c r="D12" s="677" t="s">
        <v>1448</v>
      </c>
      <c r="E12" s="238">
        <v>3</v>
      </c>
      <c r="F12" s="238">
        <v>963</v>
      </c>
      <c r="G12" s="677">
        <v>1</v>
      </c>
      <c r="H12" s="677">
        <v>321</v>
      </c>
      <c r="I12" s="238"/>
      <c r="J12" s="238"/>
      <c r="K12" s="677"/>
      <c r="L12" s="677"/>
      <c r="M12" s="238"/>
      <c r="N12" s="238"/>
      <c r="O12" s="688"/>
      <c r="P12" s="719"/>
    </row>
    <row r="13" spans="1:16" ht="14.4" customHeight="1" x14ac:dyDescent="0.3">
      <c r="A13" s="686" t="s">
        <v>1455</v>
      </c>
      <c r="B13" s="677" t="s">
        <v>1456</v>
      </c>
      <c r="C13" s="677" t="s">
        <v>1463</v>
      </c>
      <c r="D13" s="677" t="s">
        <v>1448</v>
      </c>
      <c r="E13" s="238">
        <v>5</v>
      </c>
      <c r="F13" s="238">
        <v>1410</v>
      </c>
      <c r="G13" s="677">
        <v>1</v>
      </c>
      <c r="H13" s="677">
        <v>282</v>
      </c>
      <c r="I13" s="238"/>
      <c r="J13" s="238"/>
      <c r="K13" s="677"/>
      <c r="L13" s="677"/>
      <c r="M13" s="238"/>
      <c r="N13" s="238"/>
      <c r="O13" s="688"/>
      <c r="P13" s="719"/>
    </row>
    <row r="14" spans="1:16" ht="14.4" customHeight="1" x14ac:dyDescent="0.3">
      <c r="A14" s="686" t="s">
        <v>1455</v>
      </c>
      <c r="B14" s="677" t="s">
        <v>1456</v>
      </c>
      <c r="C14" s="677" t="s">
        <v>1464</v>
      </c>
      <c r="D14" s="677" t="s">
        <v>1448</v>
      </c>
      <c r="E14" s="238"/>
      <c r="F14" s="238"/>
      <c r="G14" s="677"/>
      <c r="H14" s="677"/>
      <c r="I14" s="238"/>
      <c r="J14" s="238"/>
      <c r="K14" s="677"/>
      <c r="L14" s="677"/>
      <c r="M14" s="238">
        <v>1</v>
      </c>
      <c r="N14" s="238">
        <v>679</v>
      </c>
      <c r="O14" s="688"/>
      <c r="P14" s="719">
        <v>679</v>
      </c>
    </row>
    <row r="15" spans="1:16" ht="14.4" customHeight="1" x14ac:dyDescent="0.3">
      <c r="A15" s="686" t="s">
        <v>1455</v>
      </c>
      <c r="B15" s="677" t="s">
        <v>1456</v>
      </c>
      <c r="C15" s="677" t="s">
        <v>1465</v>
      </c>
      <c r="D15" s="677" t="s">
        <v>1448</v>
      </c>
      <c r="E15" s="238">
        <v>1</v>
      </c>
      <c r="F15" s="238">
        <v>2024</v>
      </c>
      <c r="G15" s="677">
        <v>1</v>
      </c>
      <c r="H15" s="677">
        <v>2024</v>
      </c>
      <c r="I15" s="238"/>
      <c r="J15" s="238"/>
      <c r="K15" s="677"/>
      <c r="L15" s="677"/>
      <c r="M15" s="238"/>
      <c r="N15" s="238"/>
      <c r="O15" s="688"/>
      <c r="P15" s="719"/>
    </row>
    <row r="16" spans="1:16" ht="14.4" customHeight="1" x14ac:dyDescent="0.3">
      <c r="A16" s="686" t="s">
        <v>1455</v>
      </c>
      <c r="B16" s="677" t="s">
        <v>1456</v>
      </c>
      <c r="C16" s="677" t="s">
        <v>1466</v>
      </c>
      <c r="D16" s="677" t="s">
        <v>1448</v>
      </c>
      <c r="E16" s="238">
        <v>3</v>
      </c>
      <c r="F16" s="238">
        <v>10662</v>
      </c>
      <c r="G16" s="677">
        <v>1</v>
      </c>
      <c r="H16" s="677">
        <v>3554</v>
      </c>
      <c r="I16" s="238"/>
      <c r="J16" s="238"/>
      <c r="K16" s="677"/>
      <c r="L16" s="677"/>
      <c r="M16" s="238"/>
      <c r="N16" s="238"/>
      <c r="O16" s="688"/>
      <c r="P16" s="719"/>
    </row>
    <row r="17" spans="1:16" ht="14.4" customHeight="1" x14ac:dyDescent="0.3">
      <c r="A17" s="686" t="s">
        <v>1455</v>
      </c>
      <c r="B17" s="677" t="s">
        <v>1456</v>
      </c>
      <c r="C17" s="677" t="s">
        <v>1467</v>
      </c>
      <c r="D17" s="677" t="s">
        <v>1448</v>
      </c>
      <c r="E17" s="238">
        <v>1</v>
      </c>
      <c r="F17" s="238">
        <v>3617</v>
      </c>
      <c r="G17" s="677">
        <v>1</v>
      </c>
      <c r="H17" s="677">
        <v>3617</v>
      </c>
      <c r="I17" s="238"/>
      <c r="J17" s="238"/>
      <c r="K17" s="677"/>
      <c r="L17" s="677"/>
      <c r="M17" s="238"/>
      <c r="N17" s="238"/>
      <c r="O17" s="688"/>
      <c r="P17" s="719"/>
    </row>
    <row r="18" spans="1:16" ht="14.4" customHeight="1" x14ac:dyDescent="0.3">
      <c r="A18" s="686" t="s">
        <v>1455</v>
      </c>
      <c r="B18" s="677" t="s">
        <v>1456</v>
      </c>
      <c r="C18" s="677" t="s">
        <v>1468</v>
      </c>
      <c r="D18" s="677" t="s">
        <v>1448</v>
      </c>
      <c r="E18" s="238"/>
      <c r="F18" s="238"/>
      <c r="G18" s="677"/>
      <c r="H18" s="677"/>
      <c r="I18" s="238"/>
      <c r="J18" s="238"/>
      <c r="K18" s="677"/>
      <c r="L18" s="677"/>
      <c r="M18" s="238">
        <v>1</v>
      </c>
      <c r="N18" s="238">
        <v>1351</v>
      </c>
      <c r="O18" s="688"/>
      <c r="P18" s="719">
        <v>1351</v>
      </c>
    </row>
    <row r="19" spans="1:16" ht="14.4" customHeight="1" x14ac:dyDescent="0.3">
      <c r="A19" s="686" t="s">
        <v>1455</v>
      </c>
      <c r="B19" s="677" t="s">
        <v>1456</v>
      </c>
      <c r="C19" s="677" t="s">
        <v>1469</v>
      </c>
      <c r="D19" s="677" t="s">
        <v>1448</v>
      </c>
      <c r="E19" s="238">
        <v>1</v>
      </c>
      <c r="F19" s="238">
        <v>225</v>
      </c>
      <c r="G19" s="677">
        <v>1</v>
      </c>
      <c r="H19" s="677">
        <v>225</v>
      </c>
      <c r="I19" s="238">
        <v>2</v>
      </c>
      <c r="J19" s="238">
        <v>450</v>
      </c>
      <c r="K19" s="677">
        <v>2</v>
      </c>
      <c r="L19" s="677">
        <v>225</v>
      </c>
      <c r="M19" s="238"/>
      <c r="N19" s="238"/>
      <c r="O19" s="688"/>
      <c r="P19" s="719"/>
    </row>
    <row r="20" spans="1:16" ht="14.4" customHeight="1" x14ac:dyDescent="0.3">
      <c r="A20" s="686" t="s">
        <v>1455</v>
      </c>
      <c r="B20" s="677" t="s">
        <v>1456</v>
      </c>
      <c r="C20" s="677" t="s">
        <v>1470</v>
      </c>
      <c r="D20" s="677" t="s">
        <v>1448</v>
      </c>
      <c r="E20" s="238">
        <v>1</v>
      </c>
      <c r="F20" s="238">
        <v>587</v>
      </c>
      <c r="G20" s="677">
        <v>1</v>
      </c>
      <c r="H20" s="677">
        <v>587</v>
      </c>
      <c r="I20" s="238"/>
      <c r="J20" s="238"/>
      <c r="K20" s="677"/>
      <c r="L20" s="677"/>
      <c r="M20" s="238"/>
      <c r="N20" s="238"/>
      <c r="O20" s="688"/>
      <c r="P20" s="719"/>
    </row>
    <row r="21" spans="1:16" ht="14.4" customHeight="1" x14ac:dyDescent="0.3">
      <c r="A21" s="686" t="s">
        <v>1455</v>
      </c>
      <c r="B21" s="677" t="s">
        <v>1456</v>
      </c>
      <c r="C21" s="677" t="s">
        <v>1471</v>
      </c>
      <c r="D21" s="677" t="s">
        <v>1448</v>
      </c>
      <c r="E21" s="238">
        <v>13</v>
      </c>
      <c r="F21" s="238">
        <v>13104</v>
      </c>
      <c r="G21" s="677">
        <v>1</v>
      </c>
      <c r="H21" s="677">
        <v>1008</v>
      </c>
      <c r="I21" s="238">
        <v>22</v>
      </c>
      <c r="J21" s="238">
        <v>22176</v>
      </c>
      <c r="K21" s="677">
        <v>1.6923076923076923</v>
      </c>
      <c r="L21" s="677">
        <v>1008</v>
      </c>
      <c r="M21" s="238">
        <v>23</v>
      </c>
      <c r="N21" s="238">
        <v>23184</v>
      </c>
      <c r="O21" s="688">
        <v>1.7692307692307692</v>
      </c>
      <c r="P21" s="719">
        <v>1008</v>
      </c>
    </row>
    <row r="22" spans="1:16" ht="14.4" customHeight="1" x14ac:dyDescent="0.3">
      <c r="A22" s="686" t="s">
        <v>1455</v>
      </c>
      <c r="B22" s="677" t="s">
        <v>1452</v>
      </c>
      <c r="C22" s="677" t="s">
        <v>1472</v>
      </c>
      <c r="D22" s="677" t="s">
        <v>1473</v>
      </c>
      <c r="E22" s="238">
        <v>69</v>
      </c>
      <c r="F22" s="238">
        <v>5366.6999999999989</v>
      </c>
      <c r="G22" s="677">
        <v>1</v>
      </c>
      <c r="H22" s="677">
        <v>77.778260869565202</v>
      </c>
      <c r="I22" s="238">
        <v>100</v>
      </c>
      <c r="J22" s="238">
        <v>7777.79</v>
      </c>
      <c r="K22" s="677">
        <v>1.4492686380829936</v>
      </c>
      <c r="L22" s="677">
        <v>77.777900000000002</v>
      </c>
      <c r="M22" s="238">
        <v>71</v>
      </c>
      <c r="N22" s="238">
        <v>5522.23</v>
      </c>
      <c r="O22" s="688">
        <v>1.0289805653381037</v>
      </c>
      <c r="P22" s="719">
        <v>77.777887323943659</v>
      </c>
    </row>
    <row r="23" spans="1:16" ht="14.4" customHeight="1" x14ac:dyDescent="0.3">
      <c r="A23" s="686" t="s">
        <v>1455</v>
      </c>
      <c r="B23" s="677" t="s">
        <v>1452</v>
      </c>
      <c r="C23" s="677" t="s">
        <v>1474</v>
      </c>
      <c r="D23" s="677" t="s">
        <v>1475</v>
      </c>
      <c r="E23" s="238">
        <v>9</v>
      </c>
      <c r="F23" s="238">
        <v>2250</v>
      </c>
      <c r="G23" s="677">
        <v>1</v>
      </c>
      <c r="H23" s="677">
        <v>250</v>
      </c>
      <c r="I23" s="238">
        <v>9</v>
      </c>
      <c r="J23" s="238">
        <v>2250</v>
      </c>
      <c r="K23" s="677">
        <v>1</v>
      </c>
      <c r="L23" s="677">
        <v>250</v>
      </c>
      <c r="M23" s="238">
        <v>12</v>
      </c>
      <c r="N23" s="238">
        <v>3000</v>
      </c>
      <c r="O23" s="688">
        <v>1.3333333333333333</v>
      </c>
      <c r="P23" s="719">
        <v>250</v>
      </c>
    </row>
    <row r="24" spans="1:16" ht="14.4" customHeight="1" x14ac:dyDescent="0.3">
      <c r="A24" s="686" t="s">
        <v>1455</v>
      </c>
      <c r="B24" s="677" t="s">
        <v>1452</v>
      </c>
      <c r="C24" s="677" t="s">
        <v>1476</v>
      </c>
      <c r="D24" s="677" t="s">
        <v>1477</v>
      </c>
      <c r="E24" s="238">
        <v>596</v>
      </c>
      <c r="F24" s="238">
        <v>66222.23</v>
      </c>
      <c r="G24" s="677">
        <v>1</v>
      </c>
      <c r="H24" s="677">
        <v>111.11112416107382</v>
      </c>
      <c r="I24" s="238">
        <v>709</v>
      </c>
      <c r="J24" s="238">
        <v>78777.78</v>
      </c>
      <c r="K24" s="677">
        <v>1.1895972092754956</v>
      </c>
      <c r="L24" s="677">
        <v>111.11111424541608</v>
      </c>
      <c r="M24" s="238">
        <v>788</v>
      </c>
      <c r="N24" s="238">
        <v>87555.549999999988</v>
      </c>
      <c r="O24" s="688">
        <v>1.3221474118283241</v>
      </c>
      <c r="P24" s="719">
        <v>111.11110406091369</v>
      </c>
    </row>
    <row r="25" spans="1:16" ht="14.4" customHeight="1" x14ac:dyDescent="0.3">
      <c r="A25" s="686" t="s">
        <v>1455</v>
      </c>
      <c r="B25" s="677" t="s">
        <v>1452</v>
      </c>
      <c r="C25" s="677" t="s">
        <v>1478</v>
      </c>
      <c r="D25" s="677" t="s">
        <v>1479</v>
      </c>
      <c r="E25" s="238"/>
      <c r="F25" s="238"/>
      <c r="G25" s="677"/>
      <c r="H25" s="677"/>
      <c r="I25" s="238">
        <v>4</v>
      </c>
      <c r="J25" s="238">
        <v>1400</v>
      </c>
      <c r="K25" s="677"/>
      <c r="L25" s="677">
        <v>350</v>
      </c>
      <c r="M25" s="238">
        <v>3</v>
      </c>
      <c r="N25" s="238">
        <v>1050</v>
      </c>
      <c r="O25" s="688"/>
      <c r="P25" s="719">
        <v>350</v>
      </c>
    </row>
    <row r="26" spans="1:16" ht="14.4" customHeight="1" x14ac:dyDescent="0.3">
      <c r="A26" s="686" t="s">
        <v>1455</v>
      </c>
      <c r="B26" s="677" t="s">
        <v>1452</v>
      </c>
      <c r="C26" s="677" t="s">
        <v>1480</v>
      </c>
      <c r="D26" s="677" t="s">
        <v>1481</v>
      </c>
      <c r="E26" s="238">
        <v>39</v>
      </c>
      <c r="F26" s="238">
        <v>9533.33</v>
      </c>
      <c r="G26" s="677">
        <v>1</v>
      </c>
      <c r="H26" s="677">
        <v>244.44435897435898</v>
      </c>
      <c r="I26" s="238">
        <v>20</v>
      </c>
      <c r="J26" s="238">
        <v>4888.88</v>
      </c>
      <c r="K26" s="677">
        <v>0.51281975972718874</v>
      </c>
      <c r="L26" s="677">
        <v>244.44400000000002</v>
      </c>
      <c r="M26" s="238">
        <v>9</v>
      </c>
      <c r="N26" s="238">
        <v>2200</v>
      </c>
      <c r="O26" s="688">
        <v>0.23076931145780122</v>
      </c>
      <c r="P26" s="719">
        <v>244.44444444444446</v>
      </c>
    </row>
    <row r="27" spans="1:16" ht="14.4" customHeight="1" x14ac:dyDescent="0.3">
      <c r="A27" s="686" t="s">
        <v>1455</v>
      </c>
      <c r="B27" s="677" t="s">
        <v>1452</v>
      </c>
      <c r="C27" s="677" t="s">
        <v>1482</v>
      </c>
      <c r="D27" s="677" t="s">
        <v>1483</v>
      </c>
      <c r="E27" s="238"/>
      <c r="F27" s="238"/>
      <c r="G27" s="677"/>
      <c r="H27" s="677"/>
      <c r="I27" s="238">
        <v>3</v>
      </c>
      <c r="J27" s="238">
        <v>883.32999999999993</v>
      </c>
      <c r="K27" s="677"/>
      <c r="L27" s="677">
        <v>294.44333333333333</v>
      </c>
      <c r="M27" s="238"/>
      <c r="N27" s="238"/>
      <c r="O27" s="688"/>
      <c r="P27" s="719"/>
    </row>
    <row r="28" spans="1:16" ht="14.4" customHeight="1" x14ac:dyDescent="0.3">
      <c r="A28" s="686" t="s">
        <v>1455</v>
      </c>
      <c r="B28" s="677" t="s">
        <v>1452</v>
      </c>
      <c r="C28" s="677" t="s">
        <v>1484</v>
      </c>
      <c r="D28" s="677" t="s">
        <v>1485</v>
      </c>
      <c r="E28" s="238">
        <v>287</v>
      </c>
      <c r="F28" s="238">
        <v>53573.33</v>
      </c>
      <c r="G28" s="677">
        <v>1</v>
      </c>
      <c r="H28" s="677">
        <v>186.66665505226482</v>
      </c>
      <c r="I28" s="238">
        <v>369</v>
      </c>
      <c r="J28" s="238">
        <v>68880</v>
      </c>
      <c r="K28" s="677">
        <v>1.2857143657114463</v>
      </c>
      <c r="L28" s="677">
        <v>186.66666666666666</v>
      </c>
      <c r="M28" s="238">
        <v>410</v>
      </c>
      <c r="N28" s="238">
        <v>76533.33</v>
      </c>
      <c r="O28" s="688">
        <v>1.4285714552371487</v>
      </c>
      <c r="P28" s="719">
        <v>186.66665853658537</v>
      </c>
    </row>
    <row r="29" spans="1:16" ht="14.4" customHeight="1" x14ac:dyDescent="0.3">
      <c r="A29" s="686" t="s">
        <v>1455</v>
      </c>
      <c r="B29" s="677" t="s">
        <v>1452</v>
      </c>
      <c r="C29" s="677" t="s">
        <v>1486</v>
      </c>
      <c r="D29" s="677" t="s">
        <v>1487</v>
      </c>
      <c r="E29" s="238">
        <v>372</v>
      </c>
      <c r="F29" s="238">
        <v>217000</v>
      </c>
      <c r="G29" s="677">
        <v>1</v>
      </c>
      <c r="H29" s="677">
        <v>583.33333333333337</v>
      </c>
      <c r="I29" s="238">
        <v>540</v>
      </c>
      <c r="J29" s="238">
        <v>314999.99</v>
      </c>
      <c r="K29" s="677">
        <v>1.451612857142857</v>
      </c>
      <c r="L29" s="677">
        <v>583.3333148148148</v>
      </c>
      <c r="M29" s="238">
        <v>468</v>
      </c>
      <c r="N29" s="238">
        <v>273000.01</v>
      </c>
      <c r="O29" s="688">
        <v>1.2580645622119817</v>
      </c>
      <c r="P29" s="719">
        <v>583.33335470085467</v>
      </c>
    </row>
    <row r="30" spans="1:16" ht="14.4" customHeight="1" x14ac:dyDescent="0.3">
      <c r="A30" s="686" t="s">
        <v>1455</v>
      </c>
      <c r="B30" s="677" t="s">
        <v>1452</v>
      </c>
      <c r="C30" s="677" t="s">
        <v>1488</v>
      </c>
      <c r="D30" s="677" t="s">
        <v>1489</v>
      </c>
      <c r="E30" s="238">
        <v>50</v>
      </c>
      <c r="F30" s="238">
        <v>23333.33</v>
      </c>
      <c r="G30" s="677">
        <v>1</v>
      </c>
      <c r="H30" s="677">
        <v>466.66660000000002</v>
      </c>
      <c r="I30" s="238">
        <v>72</v>
      </c>
      <c r="J30" s="238">
        <v>33600.009999999995</v>
      </c>
      <c r="K30" s="677">
        <v>1.4400006342858045</v>
      </c>
      <c r="L30" s="677">
        <v>466.66680555555547</v>
      </c>
      <c r="M30" s="238">
        <v>66</v>
      </c>
      <c r="N30" s="238">
        <v>30800</v>
      </c>
      <c r="O30" s="688">
        <v>1.3200001885714554</v>
      </c>
      <c r="P30" s="719">
        <v>466.66666666666669</v>
      </c>
    </row>
    <row r="31" spans="1:16" ht="14.4" customHeight="1" x14ac:dyDescent="0.3">
      <c r="A31" s="686" t="s">
        <v>1455</v>
      </c>
      <c r="B31" s="677" t="s">
        <v>1452</v>
      </c>
      <c r="C31" s="677" t="s">
        <v>1490</v>
      </c>
      <c r="D31" s="677" t="s">
        <v>1489</v>
      </c>
      <c r="E31" s="238">
        <v>5</v>
      </c>
      <c r="F31" s="238">
        <v>5000</v>
      </c>
      <c r="G31" s="677">
        <v>1</v>
      </c>
      <c r="H31" s="677">
        <v>1000</v>
      </c>
      <c r="I31" s="238">
        <v>13</v>
      </c>
      <c r="J31" s="238">
        <v>13000</v>
      </c>
      <c r="K31" s="677">
        <v>2.6</v>
      </c>
      <c r="L31" s="677">
        <v>1000</v>
      </c>
      <c r="M31" s="238">
        <v>10</v>
      </c>
      <c r="N31" s="238">
        <v>10000</v>
      </c>
      <c r="O31" s="688">
        <v>2</v>
      </c>
      <c r="P31" s="719">
        <v>1000</v>
      </c>
    </row>
    <row r="32" spans="1:16" ht="14.4" customHeight="1" x14ac:dyDescent="0.3">
      <c r="A32" s="686" t="s">
        <v>1455</v>
      </c>
      <c r="B32" s="677" t="s">
        <v>1452</v>
      </c>
      <c r="C32" s="677" t="s">
        <v>1491</v>
      </c>
      <c r="D32" s="677" t="s">
        <v>1492</v>
      </c>
      <c r="E32" s="238">
        <v>3</v>
      </c>
      <c r="F32" s="238">
        <v>2000.0099999999998</v>
      </c>
      <c r="G32" s="677">
        <v>1</v>
      </c>
      <c r="H32" s="677">
        <v>666.67</v>
      </c>
      <c r="I32" s="238">
        <v>6</v>
      </c>
      <c r="J32" s="238">
        <v>4000</v>
      </c>
      <c r="K32" s="677">
        <v>1.9999900000499999</v>
      </c>
      <c r="L32" s="677">
        <v>666.66666666666663</v>
      </c>
      <c r="M32" s="238">
        <v>2</v>
      </c>
      <c r="N32" s="238">
        <v>1333.34</v>
      </c>
      <c r="O32" s="688">
        <v>0.66666666666666674</v>
      </c>
      <c r="P32" s="719">
        <v>666.67</v>
      </c>
    </row>
    <row r="33" spans="1:16" ht="14.4" customHeight="1" x14ac:dyDescent="0.3">
      <c r="A33" s="686" t="s">
        <v>1455</v>
      </c>
      <c r="B33" s="677" t="s">
        <v>1452</v>
      </c>
      <c r="C33" s="677" t="s">
        <v>1493</v>
      </c>
      <c r="D33" s="677" t="s">
        <v>1494</v>
      </c>
      <c r="E33" s="238">
        <v>547</v>
      </c>
      <c r="F33" s="238">
        <v>27350</v>
      </c>
      <c r="G33" s="677">
        <v>1</v>
      </c>
      <c r="H33" s="677">
        <v>50</v>
      </c>
      <c r="I33" s="238">
        <v>646</v>
      </c>
      <c r="J33" s="238">
        <v>32300</v>
      </c>
      <c r="K33" s="677">
        <v>1.1809872029250457</v>
      </c>
      <c r="L33" s="677">
        <v>50</v>
      </c>
      <c r="M33" s="238">
        <v>601</v>
      </c>
      <c r="N33" s="238">
        <v>30050</v>
      </c>
      <c r="O33" s="688">
        <v>1.0987202925045705</v>
      </c>
      <c r="P33" s="719">
        <v>50</v>
      </c>
    </row>
    <row r="34" spans="1:16" ht="14.4" customHeight="1" x14ac:dyDescent="0.3">
      <c r="A34" s="686" t="s">
        <v>1455</v>
      </c>
      <c r="B34" s="677" t="s">
        <v>1452</v>
      </c>
      <c r="C34" s="677" t="s">
        <v>1495</v>
      </c>
      <c r="D34" s="677" t="s">
        <v>1496</v>
      </c>
      <c r="E34" s="238"/>
      <c r="F34" s="238"/>
      <c r="G34" s="677"/>
      <c r="H34" s="677"/>
      <c r="I34" s="238"/>
      <c r="J34" s="238"/>
      <c r="K34" s="677"/>
      <c r="L34" s="677"/>
      <c r="M34" s="238">
        <v>1</v>
      </c>
      <c r="N34" s="238">
        <v>5.5600000000000005</v>
      </c>
      <c r="O34" s="688"/>
      <c r="P34" s="719">
        <v>5.5600000000000005</v>
      </c>
    </row>
    <row r="35" spans="1:16" ht="14.4" customHeight="1" x14ac:dyDescent="0.3">
      <c r="A35" s="686" t="s">
        <v>1455</v>
      </c>
      <c r="B35" s="677" t="s">
        <v>1452</v>
      </c>
      <c r="C35" s="677" t="s">
        <v>1497</v>
      </c>
      <c r="D35" s="677" t="s">
        <v>1498</v>
      </c>
      <c r="E35" s="238">
        <v>19</v>
      </c>
      <c r="F35" s="238">
        <v>1921.12</v>
      </c>
      <c r="G35" s="677">
        <v>1</v>
      </c>
      <c r="H35" s="677">
        <v>101.11157894736841</v>
      </c>
      <c r="I35" s="238">
        <v>16</v>
      </c>
      <c r="J35" s="238">
        <v>1617.77</v>
      </c>
      <c r="K35" s="677">
        <v>0.84209731823103195</v>
      </c>
      <c r="L35" s="677">
        <v>101.110625</v>
      </c>
      <c r="M35" s="238">
        <v>26</v>
      </c>
      <c r="N35" s="238">
        <v>2628.87</v>
      </c>
      <c r="O35" s="688">
        <v>1.3684048888148581</v>
      </c>
      <c r="P35" s="719">
        <v>101.11038461538462</v>
      </c>
    </row>
    <row r="36" spans="1:16" ht="14.4" customHeight="1" x14ac:dyDescent="0.3">
      <c r="A36" s="686" t="s">
        <v>1455</v>
      </c>
      <c r="B36" s="677" t="s">
        <v>1452</v>
      </c>
      <c r="C36" s="677" t="s">
        <v>1499</v>
      </c>
      <c r="D36" s="677" t="s">
        <v>1500</v>
      </c>
      <c r="E36" s="238">
        <v>4</v>
      </c>
      <c r="F36" s="238">
        <v>0</v>
      </c>
      <c r="G36" s="677"/>
      <c r="H36" s="677">
        <v>0</v>
      </c>
      <c r="I36" s="238">
        <v>18</v>
      </c>
      <c r="J36" s="238">
        <v>0</v>
      </c>
      <c r="K36" s="677"/>
      <c r="L36" s="677">
        <v>0</v>
      </c>
      <c r="M36" s="238">
        <v>16</v>
      </c>
      <c r="N36" s="238">
        <v>0</v>
      </c>
      <c r="O36" s="688"/>
      <c r="P36" s="719">
        <v>0</v>
      </c>
    </row>
    <row r="37" spans="1:16" ht="14.4" customHeight="1" x14ac:dyDescent="0.3">
      <c r="A37" s="686" t="s">
        <v>1455</v>
      </c>
      <c r="B37" s="677" t="s">
        <v>1452</v>
      </c>
      <c r="C37" s="677" t="s">
        <v>1501</v>
      </c>
      <c r="D37" s="677" t="s">
        <v>1502</v>
      </c>
      <c r="E37" s="238">
        <v>27</v>
      </c>
      <c r="F37" s="238">
        <v>0</v>
      </c>
      <c r="G37" s="677"/>
      <c r="H37" s="677">
        <v>0</v>
      </c>
      <c r="I37" s="238">
        <v>33</v>
      </c>
      <c r="J37" s="238">
        <v>0</v>
      </c>
      <c r="K37" s="677"/>
      <c r="L37" s="677">
        <v>0</v>
      </c>
      <c r="M37" s="238">
        <v>24</v>
      </c>
      <c r="N37" s="238">
        <v>0</v>
      </c>
      <c r="O37" s="688"/>
      <c r="P37" s="719">
        <v>0</v>
      </c>
    </row>
    <row r="38" spans="1:16" ht="14.4" customHeight="1" x14ac:dyDescent="0.3">
      <c r="A38" s="686" t="s">
        <v>1455</v>
      </c>
      <c r="B38" s="677" t="s">
        <v>1452</v>
      </c>
      <c r="C38" s="677" t="s">
        <v>1503</v>
      </c>
      <c r="D38" s="677" t="s">
        <v>1504</v>
      </c>
      <c r="E38" s="238">
        <v>391</v>
      </c>
      <c r="F38" s="238">
        <v>119472.23999999999</v>
      </c>
      <c r="G38" s="677">
        <v>1</v>
      </c>
      <c r="H38" s="677">
        <v>305.55560102301786</v>
      </c>
      <c r="I38" s="238">
        <v>476</v>
      </c>
      <c r="J38" s="238">
        <v>145444.44</v>
      </c>
      <c r="K38" s="677">
        <v>1.2173910859962114</v>
      </c>
      <c r="L38" s="677">
        <v>305.55554621848739</v>
      </c>
      <c r="M38" s="238">
        <v>346</v>
      </c>
      <c r="N38" s="238">
        <v>105722.22</v>
      </c>
      <c r="O38" s="688">
        <v>0.88491033565621613</v>
      </c>
      <c r="P38" s="719">
        <v>305.55554913294799</v>
      </c>
    </row>
    <row r="39" spans="1:16" ht="14.4" customHeight="1" x14ac:dyDescent="0.3">
      <c r="A39" s="686" t="s">
        <v>1455</v>
      </c>
      <c r="B39" s="677" t="s">
        <v>1452</v>
      </c>
      <c r="C39" s="677" t="s">
        <v>1505</v>
      </c>
      <c r="D39" s="677" t="s">
        <v>1506</v>
      </c>
      <c r="E39" s="238">
        <v>632</v>
      </c>
      <c r="F39" s="238">
        <v>0</v>
      </c>
      <c r="G39" s="677"/>
      <c r="H39" s="677">
        <v>0</v>
      </c>
      <c r="I39" s="238">
        <v>1535</v>
      </c>
      <c r="J39" s="238">
        <v>0</v>
      </c>
      <c r="K39" s="677"/>
      <c r="L39" s="677">
        <v>0</v>
      </c>
      <c r="M39" s="238">
        <v>1659</v>
      </c>
      <c r="N39" s="238">
        <v>0</v>
      </c>
      <c r="O39" s="688"/>
      <c r="P39" s="719">
        <v>0</v>
      </c>
    </row>
    <row r="40" spans="1:16" ht="14.4" customHeight="1" x14ac:dyDescent="0.3">
      <c r="A40" s="686" t="s">
        <v>1455</v>
      </c>
      <c r="B40" s="677" t="s">
        <v>1452</v>
      </c>
      <c r="C40" s="677" t="s">
        <v>1507</v>
      </c>
      <c r="D40" s="677" t="s">
        <v>1508</v>
      </c>
      <c r="E40" s="238">
        <v>1671</v>
      </c>
      <c r="F40" s="238">
        <v>761233.33000000007</v>
      </c>
      <c r="G40" s="677">
        <v>1</v>
      </c>
      <c r="H40" s="677">
        <v>455.55555356074211</v>
      </c>
      <c r="I40" s="238">
        <v>1735</v>
      </c>
      <c r="J40" s="238">
        <v>790388.87999999989</v>
      </c>
      <c r="K40" s="677">
        <v>1.0383004117804455</v>
      </c>
      <c r="L40" s="677">
        <v>455.55555043227662</v>
      </c>
      <c r="M40" s="238">
        <v>1753</v>
      </c>
      <c r="N40" s="238">
        <v>798588.89</v>
      </c>
      <c r="O40" s="688">
        <v>1.049072417782863</v>
      </c>
      <c r="P40" s="719">
        <v>455.55555618938962</v>
      </c>
    </row>
    <row r="41" spans="1:16" ht="14.4" customHeight="1" x14ac:dyDescent="0.3">
      <c r="A41" s="686" t="s">
        <v>1455</v>
      </c>
      <c r="B41" s="677" t="s">
        <v>1452</v>
      </c>
      <c r="C41" s="677" t="s">
        <v>1509</v>
      </c>
      <c r="D41" s="677" t="s">
        <v>1510</v>
      </c>
      <c r="E41" s="238">
        <v>1</v>
      </c>
      <c r="F41" s="238">
        <v>0</v>
      </c>
      <c r="G41" s="677"/>
      <c r="H41" s="677">
        <v>0</v>
      </c>
      <c r="I41" s="238"/>
      <c r="J41" s="238"/>
      <c r="K41" s="677"/>
      <c r="L41" s="677"/>
      <c r="M41" s="238"/>
      <c r="N41" s="238"/>
      <c r="O41" s="688"/>
      <c r="P41" s="719"/>
    </row>
    <row r="42" spans="1:16" ht="14.4" customHeight="1" x14ac:dyDescent="0.3">
      <c r="A42" s="686" t="s">
        <v>1455</v>
      </c>
      <c r="B42" s="677" t="s">
        <v>1452</v>
      </c>
      <c r="C42" s="677" t="s">
        <v>1511</v>
      </c>
      <c r="D42" s="677" t="s">
        <v>1512</v>
      </c>
      <c r="E42" s="238">
        <v>21</v>
      </c>
      <c r="F42" s="238">
        <v>1236.6799999999998</v>
      </c>
      <c r="G42" s="677">
        <v>1</v>
      </c>
      <c r="H42" s="677">
        <v>58.889523809523801</v>
      </c>
      <c r="I42" s="238">
        <v>12</v>
      </c>
      <c r="J42" s="238">
        <v>706.68000000000006</v>
      </c>
      <c r="K42" s="677">
        <v>0.57143319209496402</v>
      </c>
      <c r="L42" s="677">
        <v>58.890000000000008</v>
      </c>
      <c r="M42" s="238">
        <v>12</v>
      </c>
      <c r="N42" s="238">
        <v>706.68000000000006</v>
      </c>
      <c r="O42" s="688">
        <v>0.57143319209496402</v>
      </c>
      <c r="P42" s="719">
        <v>58.890000000000008</v>
      </c>
    </row>
    <row r="43" spans="1:16" ht="14.4" customHeight="1" x14ac:dyDescent="0.3">
      <c r="A43" s="686" t="s">
        <v>1455</v>
      </c>
      <c r="B43" s="677" t="s">
        <v>1452</v>
      </c>
      <c r="C43" s="677" t="s">
        <v>1513</v>
      </c>
      <c r="D43" s="677" t="s">
        <v>1514</v>
      </c>
      <c r="E43" s="238">
        <v>603</v>
      </c>
      <c r="F43" s="238">
        <v>46900.009999999995</v>
      </c>
      <c r="G43" s="677">
        <v>1</v>
      </c>
      <c r="H43" s="677">
        <v>77.777794361525693</v>
      </c>
      <c r="I43" s="238">
        <v>722</v>
      </c>
      <c r="J43" s="238">
        <v>56155.560000000005</v>
      </c>
      <c r="K43" s="677">
        <v>1.1973464397982008</v>
      </c>
      <c r="L43" s="677">
        <v>77.777783933518009</v>
      </c>
      <c r="M43" s="238">
        <v>657</v>
      </c>
      <c r="N43" s="238">
        <v>51100.009999999995</v>
      </c>
      <c r="O43" s="688">
        <v>1.0895522197116803</v>
      </c>
      <c r="P43" s="719">
        <v>77.777792998477921</v>
      </c>
    </row>
    <row r="44" spans="1:16" ht="14.4" customHeight="1" x14ac:dyDescent="0.3">
      <c r="A44" s="686" t="s">
        <v>1455</v>
      </c>
      <c r="B44" s="677" t="s">
        <v>1452</v>
      </c>
      <c r="C44" s="677" t="s">
        <v>1515</v>
      </c>
      <c r="D44" s="677" t="s">
        <v>1516</v>
      </c>
      <c r="E44" s="238">
        <v>561</v>
      </c>
      <c r="F44" s="238">
        <v>49866.66</v>
      </c>
      <c r="G44" s="677">
        <v>1</v>
      </c>
      <c r="H44" s="677">
        <v>88.888877005347595</v>
      </c>
      <c r="I44" s="238">
        <v>603</v>
      </c>
      <c r="J44" s="238">
        <v>53599.990000000005</v>
      </c>
      <c r="K44" s="677">
        <v>1.0748662533243654</v>
      </c>
      <c r="L44" s="677">
        <v>88.888872305140964</v>
      </c>
      <c r="M44" s="238">
        <v>491</v>
      </c>
      <c r="N44" s="238">
        <v>43644.44</v>
      </c>
      <c r="O44" s="688">
        <v>0.87522284428112895</v>
      </c>
      <c r="P44" s="719">
        <v>88.888879837067208</v>
      </c>
    </row>
    <row r="45" spans="1:16" ht="14.4" customHeight="1" x14ac:dyDescent="0.3">
      <c r="A45" s="686" t="s">
        <v>1455</v>
      </c>
      <c r="B45" s="677" t="s">
        <v>1452</v>
      </c>
      <c r="C45" s="677" t="s">
        <v>1517</v>
      </c>
      <c r="D45" s="677" t="s">
        <v>1518</v>
      </c>
      <c r="E45" s="238">
        <v>5</v>
      </c>
      <c r="F45" s="238">
        <v>216.67000000000002</v>
      </c>
      <c r="G45" s="677">
        <v>1</v>
      </c>
      <c r="H45" s="677">
        <v>43.334000000000003</v>
      </c>
      <c r="I45" s="238">
        <v>1</v>
      </c>
      <c r="J45" s="238">
        <v>43.33</v>
      </c>
      <c r="K45" s="677">
        <v>0.19998153874555774</v>
      </c>
      <c r="L45" s="677">
        <v>43.33</v>
      </c>
      <c r="M45" s="238"/>
      <c r="N45" s="238"/>
      <c r="O45" s="688"/>
      <c r="P45" s="719"/>
    </row>
    <row r="46" spans="1:16" ht="14.4" customHeight="1" x14ac:dyDescent="0.3">
      <c r="A46" s="686" t="s">
        <v>1455</v>
      </c>
      <c r="B46" s="677" t="s">
        <v>1452</v>
      </c>
      <c r="C46" s="677" t="s">
        <v>1519</v>
      </c>
      <c r="D46" s="677" t="s">
        <v>1520</v>
      </c>
      <c r="E46" s="238">
        <v>27</v>
      </c>
      <c r="F46" s="238">
        <v>2610.0100000000002</v>
      </c>
      <c r="G46" s="677">
        <v>1</v>
      </c>
      <c r="H46" s="677">
        <v>96.667037037037048</v>
      </c>
      <c r="I46" s="238">
        <v>18</v>
      </c>
      <c r="J46" s="238">
        <v>1740</v>
      </c>
      <c r="K46" s="677">
        <v>0.66666411239803669</v>
      </c>
      <c r="L46" s="677">
        <v>96.666666666666671</v>
      </c>
      <c r="M46" s="238">
        <v>41</v>
      </c>
      <c r="N46" s="238">
        <v>3963.33</v>
      </c>
      <c r="O46" s="688">
        <v>1.5185114233278798</v>
      </c>
      <c r="P46" s="719">
        <v>96.666585365853663</v>
      </c>
    </row>
    <row r="47" spans="1:16" ht="14.4" customHeight="1" x14ac:dyDescent="0.3">
      <c r="A47" s="686" t="s">
        <v>1455</v>
      </c>
      <c r="B47" s="677" t="s">
        <v>1452</v>
      </c>
      <c r="C47" s="677" t="s">
        <v>1521</v>
      </c>
      <c r="D47" s="677" t="s">
        <v>1522</v>
      </c>
      <c r="E47" s="238">
        <v>85</v>
      </c>
      <c r="F47" s="238">
        <v>28333.34</v>
      </c>
      <c r="G47" s="677">
        <v>1</v>
      </c>
      <c r="H47" s="677">
        <v>333.33341176470589</v>
      </c>
      <c r="I47" s="238">
        <v>127</v>
      </c>
      <c r="J47" s="238">
        <v>42333.320000000007</v>
      </c>
      <c r="K47" s="677">
        <v>1.4941168249136885</v>
      </c>
      <c r="L47" s="677">
        <v>333.33322834645674</v>
      </c>
      <c r="M47" s="238">
        <v>140</v>
      </c>
      <c r="N47" s="238">
        <v>46666.67</v>
      </c>
      <c r="O47" s="688">
        <v>1.6470585536332814</v>
      </c>
      <c r="P47" s="719">
        <v>333.33335714285715</v>
      </c>
    </row>
    <row r="48" spans="1:16" ht="14.4" customHeight="1" x14ac:dyDescent="0.3">
      <c r="A48" s="686" t="s">
        <v>1455</v>
      </c>
      <c r="B48" s="677" t="s">
        <v>1452</v>
      </c>
      <c r="C48" s="677" t="s">
        <v>1523</v>
      </c>
      <c r="D48" s="677" t="s">
        <v>1524</v>
      </c>
      <c r="E48" s="238"/>
      <c r="F48" s="238"/>
      <c r="G48" s="677"/>
      <c r="H48" s="677"/>
      <c r="I48" s="238">
        <v>1</v>
      </c>
      <c r="J48" s="238">
        <v>75.56</v>
      </c>
      <c r="K48" s="677"/>
      <c r="L48" s="677">
        <v>75.56</v>
      </c>
      <c r="M48" s="238"/>
      <c r="N48" s="238"/>
      <c r="O48" s="688"/>
      <c r="P48" s="719"/>
    </row>
    <row r="49" spans="1:16" ht="14.4" customHeight="1" x14ac:dyDescent="0.3">
      <c r="A49" s="686" t="s">
        <v>1455</v>
      </c>
      <c r="B49" s="677" t="s">
        <v>1452</v>
      </c>
      <c r="C49" s="677" t="s">
        <v>1525</v>
      </c>
      <c r="D49" s="677" t="s">
        <v>1526</v>
      </c>
      <c r="E49" s="238">
        <v>704</v>
      </c>
      <c r="F49" s="238">
        <v>903466.66</v>
      </c>
      <c r="G49" s="677">
        <v>1</v>
      </c>
      <c r="H49" s="677">
        <v>1283.3333238636365</v>
      </c>
      <c r="I49" s="238">
        <v>549</v>
      </c>
      <c r="J49" s="238">
        <v>704550.00000000012</v>
      </c>
      <c r="K49" s="677">
        <v>0.77982955120889585</v>
      </c>
      <c r="L49" s="677">
        <v>1283.3333333333335</v>
      </c>
      <c r="M49" s="238">
        <v>578</v>
      </c>
      <c r="N49" s="238">
        <v>741766.65999999992</v>
      </c>
      <c r="O49" s="688">
        <v>0.82102272595205661</v>
      </c>
      <c r="P49" s="719">
        <v>1283.3333217993079</v>
      </c>
    </row>
    <row r="50" spans="1:16" ht="14.4" customHeight="1" x14ac:dyDescent="0.3">
      <c r="A50" s="686" t="s">
        <v>1455</v>
      </c>
      <c r="B50" s="677" t="s">
        <v>1452</v>
      </c>
      <c r="C50" s="677" t="s">
        <v>1527</v>
      </c>
      <c r="D50" s="677" t="s">
        <v>1528</v>
      </c>
      <c r="E50" s="238">
        <v>2</v>
      </c>
      <c r="F50" s="238">
        <v>933.33</v>
      </c>
      <c r="G50" s="677">
        <v>1</v>
      </c>
      <c r="H50" s="677">
        <v>466.66500000000002</v>
      </c>
      <c r="I50" s="238">
        <v>3</v>
      </c>
      <c r="J50" s="238">
        <v>1400.01</v>
      </c>
      <c r="K50" s="677">
        <v>1.5000160714859696</v>
      </c>
      <c r="L50" s="677">
        <v>466.67</v>
      </c>
      <c r="M50" s="238"/>
      <c r="N50" s="238"/>
      <c r="O50" s="688"/>
      <c r="P50" s="719"/>
    </row>
    <row r="51" spans="1:16" ht="14.4" customHeight="1" x14ac:dyDescent="0.3">
      <c r="A51" s="686" t="s">
        <v>1455</v>
      </c>
      <c r="B51" s="677" t="s">
        <v>1452</v>
      </c>
      <c r="C51" s="677" t="s">
        <v>1529</v>
      </c>
      <c r="D51" s="677" t="s">
        <v>1530</v>
      </c>
      <c r="E51" s="238">
        <v>20</v>
      </c>
      <c r="F51" s="238">
        <v>2333.34</v>
      </c>
      <c r="G51" s="677">
        <v>1</v>
      </c>
      <c r="H51" s="677">
        <v>116.667</v>
      </c>
      <c r="I51" s="238">
        <v>37</v>
      </c>
      <c r="J51" s="238">
        <v>4316.66</v>
      </c>
      <c r="K51" s="677">
        <v>1.8499918571661222</v>
      </c>
      <c r="L51" s="677">
        <v>116.66648648648648</v>
      </c>
      <c r="M51" s="238">
        <v>33</v>
      </c>
      <c r="N51" s="238">
        <v>3849.99</v>
      </c>
      <c r="O51" s="688">
        <v>1.6499910000257141</v>
      </c>
      <c r="P51" s="719">
        <v>116.66636363636363</v>
      </c>
    </row>
    <row r="52" spans="1:16" ht="14.4" customHeight="1" x14ac:dyDescent="0.3">
      <c r="A52" s="686" t="s">
        <v>1455</v>
      </c>
      <c r="B52" s="677" t="s">
        <v>1452</v>
      </c>
      <c r="C52" s="677" t="s">
        <v>1531</v>
      </c>
      <c r="D52" s="677" t="s">
        <v>1532</v>
      </c>
      <c r="E52" s="238">
        <v>19</v>
      </c>
      <c r="F52" s="238">
        <v>8866.68</v>
      </c>
      <c r="G52" s="677">
        <v>1</v>
      </c>
      <c r="H52" s="677">
        <v>466.66736842105263</v>
      </c>
      <c r="I52" s="238">
        <v>12</v>
      </c>
      <c r="J52" s="238">
        <v>5600.01</v>
      </c>
      <c r="K52" s="677">
        <v>0.63157912544492412</v>
      </c>
      <c r="L52" s="677">
        <v>466.66750000000002</v>
      </c>
      <c r="M52" s="238">
        <v>7</v>
      </c>
      <c r="N52" s="238">
        <v>3266.67</v>
      </c>
      <c r="O52" s="688">
        <v>0.36842087455507583</v>
      </c>
      <c r="P52" s="719">
        <v>466.66714285714289</v>
      </c>
    </row>
    <row r="53" spans="1:16" ht="14.4" customHeight="1" x14ac:dyDescent="0.3">
      <c r="A53" s="686" t="s">
        <v>1455</v>
      </c>
      <c r="B53" s="677" t="s">
        <v>1452</v>
      </c>
      <c r="C53" s="677" t="s">
        <v>1453</v>
      </c>
      <c r="D53" s="677" t="s">
        <v>1454</v>
      </c>
      <c r="E53" s="238">
        <v>2</v>
      </c>
      <c r="F53" s="238">
        <v>655.56</v>
      </c>
      <c r="G53" s="677">
        <v>1</v>
      </c>
      <c r="H53" s="677">
        <v>327.78</v>
      </c>
      <c r="I53" s="238"/>
      <c r="J53" s="238"/>
      <c r="K53" s="677"/>
      <c r="L53" s="677"/>
      <c r="M53" s="238"/>
      <c r="N53" s="238"/>
      <c r="O53" s="688"/>
      <c r="P53" s="719"/>
    </row>
    <row r="54" spans="1:16" ht="14.4" customHeight="1" x14ac:dyDescent="0.3">
      <c r="A54" s="686" t="s">
        <v>1455</v>
      </c>
      <c r="B54" s="677" t="s">
        <v>1452</v>
      </c>
      <c r="C54" s="677" t="s">
        <v>1533</v>
      </c>
      <c r="D54" s="677" t="s">
        <v>1534</v>
      </c>
      <c r="E54" s="238">
        <v>4</v>
      </c>
      <c r="F54" s="238">
        <v>3333.34</v>
      </c>
      <c r="G54" s="677">
        <v>1</v>
      </c>
      <c r="H54" s="677">
        <v>833.33500000000004</v>
      </c>
      <c r="I54" s="238">
        <v>4</v>
      </c>
      <c r="J54" s="238">
        <v>3333.34</v>
      </c>
      <c r="K54" s="677">
        <v>1</v>
      </c>
      <c r="L54" s="677">
        <v>833.33500000000004</v>
      </c>
      <c r="M54" s="238">
        <v>4</v>
      </c>
      <c r="N54" s="238">
        <v>3333.34</v>
      </c>
      <c r="O54" s="688">
        <v>1</v>
      </c>
      <c r="P54" s="719">
        <v>833.33500000000004</v>
      </c>
    </row>
    <row r="55" spans="1:16" ht="14.4" customHeight="1" x14ac:dyDescent="0.3">
      <c r="A55" s="686" t="s">
        <v>1455</v>
      </c>
      <c r="B55" s="677" t="s">
        <v>1452</v>
      </c>
      <c r="C55" s="677" t="s">
        <v>1535</v>
      </c>
      <c r="D55" s="677" t="s">
        <v>1536</v>
      </c>
      <c r="E55" s="238"/>
      <c r="F55" s="238"/>
      <c r="G55" s="677"/>
      <c r="H55" s="677"/>
      <c r="I55" s="238"/>
      <c r="J55" s="238"/>
      <c r="K55" s="677"/>
      <c r="L55" s="677"/>
      <c r="M55" s="238">
        <v>2</v>
      </c>
      <c r="N55" s="238">
        <v>584.44000000000005</v>
      </c>
      <c r="O55" s="688"/>
      <c r="P55" s="719">
        <v>292.22000000000003</v>
      </c>
    </row>
    <row r="56" spans="1:16" ht="14.4" customHeight="1" x14ac:dyDescent="0.3">
      <c r="A56" s="686" t="s">
        <v>1455</v>
      </c>
      <c r="B56" s="677" t="s">
        <v>1452</v>
      </c>
      <c r="C56" s="677" t="s">
        <v>1537</v>
      </c>
      <c r="D56" s="677" t="s">
        <v>1538</v>
      </c>
      <c r="E56" s="238">
        <v>5</v>
      </c>
      <c r="F56" s="238">
        <v>27.79</v>
      </c>
      <c r="G56" s="677">
        <v>1</v>
      </c>
      <c r="H56" s="677">
        <v>5.5579999999999998</v>
      </c>
      <c r="I56" s="238">
        <v>3</v>
      </c>
      <c r="J56" s="238">
        <v>16.670000000000002</v>
      </c>
      <c r="K56" s="677">
        <v>0.59985606333213393</v>
      </c>
      <c r="L56" s="677">
        <v>5.5566666666666675</v>
      </c>
      <c r="M56" s="238">
        <v>3</v>
      </c>
      <c r="N56" s="238">
        <v>16.68</v>
      </c>
      <c r="O56" s="688">
        <v>0.60021590500179922</v>
      </c>
      <c r="P56" s="719">
        <v>5.56</v>
      </c>
    </row>
    <row r="57" spans="1:16" ht="14.4" customHeight="1" x14ac:dyDescent="0.3">
      <c r="A57" s="686" t="s">
        <v>1455</v>
      </c>
      <c r="B57" s="677" t="s">
        <v>1452</v>
      </c>
      <c r="C57" s="677" t="s">
        <v>1539</v>
      </c>
      <c r="D57" s="677" t="s">
        <v>1540</v>
      </c>
      <c r="E57" s="238"/>
      <c r="F57" s="238"/>
      <c r="G57" s="677"/>
      <c r="H57" s="677"/>
      <c r="I57" s="238">
        <v>1</v>
      </c>
      <c r="J57" s="238">
        <v>645.55999999999995</v>
      </c>
      <c r="K57" s="677"/>
      <c r="L57" s="677">
        <v>645.55999999999995</v>
      </c>
      <c r="M57" s="238"/>
      <c r="N57" s="238"/>
      <c r="O57" s="688"/>
      <c r="P57" s="719"/>
    </row>
    <row r="58" spans="1:16" ht="14.4" customHeight="1" x14ac:dyDescent="0.3">
      <c r="A58" s="686" t="s">
        <v>1541</v>
      </c>
      <c r="B58" s="677" t="s">
        <v>1452</v>
      </c>
      <c r="C58" s="677" t="s">
        <v>1472</v>
      </c>
      <c r="D58" s="677" t="s">
        <v>1473</v>
      </c>
      <c r="E58" s="238">
        <v>133</v>
      </c>
      <c r="F58" s="238">
        <v>10344.43</v>
      </c>
      <c r="G58" s="677">
        <v>1</v>
      </c>
      <c r="H58" s="677">
        <v>77.777669172932335</v>
      </c>
      <c r="I58" s="238">
        <v>103</v>
      </c>
      <c r="J58" s="238">
        <v>8011.11</v>
      </c>
      <c r="K58" s="677">
        <v>0.77443706419783398</v>
      </c>
      <c r="L58" s="677">
        <v>77.777766990291255</v>
      </c>
      <c r="M58" s="238">
        <v>126</v>
      </c>
      <c r="N58" s="238">
        <v>9800.01</v>
      </c>
      <c r="O58" s="688">
        <v>0.94737071061431122</v>
      </c>
      <c r="P58" s="719">
        <v>77.777857142857144</v>
      </c>
    </row>
    <row r="59" spans="1:16" ht="14.4" customHeight="1" x14ac:dyDescent="0.3">
      <c r="A59" s="686" t="s">
        <v>1541</v>
      </c>
      <c r="B59" s="677" t="s">
        <v>1452</v>
      </c>
      <c r="C59" s="677" t="s">
        <v>1474</v>
      </c>
      <c r="D59" s="677" t="s">
        <v>1475</v>
      </c>
      <c r="E59" s="238">
        <v>1</v>
      </c>
      <c r="F59" s="238">
        <v>250</v>
      </c>
      <c r="G59" s="677">
        <v>1</v>
      </c>
      <c r="H59" s="677">
        <v>250</v>
      </c>
      <c r="I59" s="238"/>
      <c r="J59" s="238"/>
      <c r="K59" s="677"/>
      <c r="L59" s="677"/>
      <c r="M59" s="238"/>
      <c r="N59" s="238"/>
      <c r="O59" s="688"/>
      <c r="P59" s="719"/>
    </row>
    <row r="60" spans="1:16" ht="14.4" customHeight="1" x14ac:dyDescent="0.3">
      <c r="A60" s="686" t="s">
        <v>1541</v>
      </c>
      <c r="B60" s="677" t="s">
        <v>1452</v>
      </c>
      <c r="C60" s="677" t="s">
        <v>1476</v>
      </c>
      <c r="D60" s="677" t="s">
        <v>1477</v>
      </c>
      <c r="E60" s="238">
        <v>352</v>
      </c>
      <c r="F60" s="238">
        <v>39111.119999999995</v>
      </c>
      <c r="G60" s="677">
        <v>1</v>
      </c>
      <c r="H60" s="677">
        <v>111.11113636363635</v>
      </c>
      <c r="I60" s="238">
        <v>403</v>
      </c>
      <c r="J60" s="238">
        <v>44777.76999999999</v>
      </c>
      <c r="K60" s="677">
        <v>1.1448859045713853</v>
      </c>
      <c r="L60" s="677">
        <v>111.11109181141437</v>
      </c>
      <c r="M60" s="238">
        <v>461</v>
      </c>
      <c r="N60" s="238">
        <v>51222.229999999996</v>
      </c>
      <c r="O60" s="688">
        <v>1.3096589921229564</v>
      </c>
      <c r="P60" s="719">
        <v>111.11112798264641</v>
      </c>
    </row>
    <row r="61" spans="1:16" ht="14.4" customHeight="1" x14ac:dyDescent="0.3">
      <c r="A61" s="686" t="s">
        <v>1541</v>
      </c>
      <c r="B61" s="677" t="s">
        <v>1452</v>
      </c>
      <c r="C61" s="677" t="s">
        <v>1484</v>
      </c>
      <c r="D61" s="677" t="s">
        <v>1485</v>
      </c>
      <c r="E61" s="238">
        <v>243</v>
      </c>
      <c r="F61" s="238">
        <v>45360.020000000004</v>
      </c>
      <c r="G61" s="677">
        <v>1</v>
      </c>
      <c r="H61" s="677">
        <v>186.66674897119344</v>
      </c>
      <c r="I61" s="238">
        <v>212</v>
      </c>
      <c r="J61" s="238">
        <v>39573.339999999997</v>
      </c>
      <c r="K61" s="677">
        <v>0.87242774584314542</v>
      </c>
      <c r="L61" s="677">
        <v>186.66669811320753</v>
      </c>
      <c r="M61" s="238">
        <v>302</v>
      </c>
      <c r="N61" s="238">
        <v>56373.33</v>
      </c>
      <c r="O61" s="688">
        <v>1.2427977324524988</v>
      </c>
      <c r="P61" s="719">
        <v>186.66665562913909</v>
      </c>
    </row>
    <row r="62" spans="1:16" ht="14.4" customHeight="1" x14ac:dyDescent="0.3">
      <c r="A62" s="686" t="s">
        <v>1541</v>
      </c>
      <c r="B62" s="677" t="s">
        <v>1452</v>
      </c>
      <c r="C62" s="677" t="s">
        <v>1486</v>
      </c>
      <c r="D62" s="677" t="s">
        <v>1487</v>
      </c>
      <c r="E62" s="238">
        <v>133</v>
      </c>
      <c r="F62" s="238">
        <v>77583.33</v>
      </c>
      <c r="G62" s="677">
        <v>1</v>
      </c>
      <c r="H62" s="677">
        <v>583.33330827067675</v>
      </c>
      <c r="I62" s="238">
        <v>140</v>
      </c>
      <c r="J62" s="238">
        <v>81666.66</v>
      </c>
      <c r="K62" s="677">
        <v>1.0526315382441047</v>
      </c>
      <c r="L62" s="677">
        <v>583.33328571428569</v>
      </c>
      <c r="M62" s="238">
        <v>128</v>
      </c>
      <c r="N62" s="238">
        <v>74666.67</v>
      </c>
      <c r="O62" s="688">
        <v>0.96240609935149724</v>
      </c>
      <c r="P62" s="719">
        <v>583.33335937499999</v>
      </c>
    </row>
    <row r="63" spans="1:16" ht="14.4" customHeight="1" x14ac:dyDescent="0.3">
      <c r="A63" s="686" t="s">
        <v>1541</v>
      </c>
      <c r="B63" s="677" t="s">
        <v>1452</v>
      </c>
      <c r="C63" s="677" t="s">
        <v>1488</v>
      </c>
      <c r="D63" s="677" t="s">
        <v>1489</v>
      </c>
      <c r="E63" s="238">
        <v>28</v>
      </c>
      <c r="F63" s="238">
        <v>13066.66</v>
      </c>
      <c r="G63" s="677">
        <v>1</v>
      </c>
      <c r="H63" s="677">
        <v>466.66642857142858</v>
      </c>
      <c r="I63" s="238">
        <v>30</v>
      </c>
      <c r="J63" s="238">
        <v>13999.99</v>
      </c>
      <c r="K63" s="677">
        <v>1.0714283527695678</v>
      </c>
      <c r="L63" s="677">
        <v>466.66633333333334</v>
      </c>
      <c r="M63" s="238">
        <v>28</v>
      </c>
      <c r="N63" s="238">
        <v>13066.68</v>
      </c>
      <c r="O63" s="688">
        <v>1.0000015306130259</v>
      </c>
      <c r="P63" s="719">
        <v>466.66714285714289</v>
      </c>
    </row>
    <row r="64" spans="1:16" ht="14.4" customHeight="1" x14ac:dyDescent="0.3">
      <c r="A64" s="686" t="s">
        <v>1541</v>
      </c>
      <c r="B64" s="677" t="s">
        <v>1452</v>
      </c>
      <c r="C64" s="677" t="s">
        <v>1490</v>
      </c>
      <c r="D64" s="677" t="s">
        <v>1489</v>
      </c>
      <c r="E64" s="238"/>
      <c r="F64" s="238"/>
      <c r="G64" s="677"/>
      <c r="H64" s="677"/>
      <c r="I64" s="238">
        <v>2</v>
      </c>
      <c r="J64" s="238">
        <v>2000</v>
      </c>
      <c r="K64" s="677"/>
      <c r="L64" s="677">
        <v>1000</v>
      </c>
      <c r="M64" s="238">
        <v>2</v>
      </c>
      <c r="N64" s="238">
        <v>2000</v>
      </c>
      <c r="O64" s="688"/>
      <c r="P64" s="719">
        <v>1000</v>
      </c>
    </row>
    <row r="65" spans="1:16" ht="14.4" customHeight="1" x14ac:dyDescent="0.3">
      <c r="A65" s="686" t="s">
        <v>1541</v>
      </c>
      <c r="B65" s="677" t="s">
        <v>1452</v>
      </c>
      <c r="C65" s="677" t="s">
        <v>1491</v>
      </c>
      <c r="D65" s="677" t="s">
        <v>1492</v>
      </c>
      <c r="E65" s="238">
        <v>2</v>
      </c>
      <c r="F65" s="238">
        <v>1333.34</v>
      </c>
      <c r="G65" s="677">
        <v>1</v>
      </c>
      <c r="H65" s="677">
        <v>666.67</v>
      </c>
      <c r="I65" s="238">
        <v>1</v>
      </c>
      <c r="J65" s="238">
        <v>666.67</v>
      </c>
      <c r="K65" s="677">
        <v>0.5</v>
      </c>
      <c r="L65" s="677">
        <v>666.67</v>
      </c>
      <c r="M65" s="238"/>
      <c r="N65" s="238"/>
      <c r="O65" s="688"/>
      <c r="P65" s="719"/>
    </row>
    <row r="66" spans="1:16" ht="14.4" customHeight="1" x14ac:dyDescent="0.3">
      <c r="A66" s="686" t="s">
        <v>1541</v>
      </c>
      <c r="B66" s="677" t="s">
        <v>1452</v>
      </c>
      <c r="C66" s="677" t="s">
        <v>1493</v>
      </c>
      <c r="D66" s="677" t="s">
        <v>1494</v>
      </c>
      <c r="E66" s="238">
        <v>208</v>
      </c>
      <c r="F66" s="238">
        <v>10400</v>
      </c>
      <c r="G66" s="677">
        <v>1</v>
      </c>
      <c r="H66" s="677">
        <v>50</v>
      </c>
      <c r="I66" s="238">
        <v>307</v>
      </c>
      <c r="J66" s="238">
        <v>15350</v>
      </c>
      <c r="K66" s="677">
        <v>1.4759615384615385</v>
      </c>
      <c r="L66" s="677">
        <v>50</v>
      </c>
      <c r="M66" s="238">
        <v>295</v>
      </c>
      <c r="N66" s="238">
        <v>14750</v>
      </c>
      <c r="O66" s="688">
        <v>1.4182692307692308</v>
      </c>
      <c r="P66" s="719">
        <v>50</v>
      </c>
    </row>
    <row r="67" spans="1:16" ht="14.4" customHeight="1" x14ac:dyDescent="0.3">
      <c r="A67" s="686" t="s">
        <v>1541</v>
      </c>
      <c r="B67" s="677" t="s">
        <v>1452</v>
      </c>
      <c r="C67" s="677" t="s">
        <v>1497</v>
      </c>
      <c r="D67" s="677" t="s">
        <v>1498</v>
      </c>
      <c r="E67" s="238">
        <v>4</v>
      </c>
      <c r="F67" s="238">
        <v>404.44</v>
      </c>
      <c r="G67" s="677">
        <v>1</v>
      </c>
      <c r="H67" s="677">
        <v>101.11</v>
      </c>
      <c r="I67" s="238">
        <v>2</v>
      </c>
      <c r="J67" s="238">
        <v>202.22</v>
      </c>
      <c r="K67" s="677">
        <v>0.5</v>
      </c>
      <c r="L67" s="677">
        <v>101.11</v>
      </c>
      <c r="M67" s="238">
        <v>5</v>
      </c>
      <c r="N67" s="238">
        <v>505.54999999999995</v>
      </c>
      <c r="O67" s="688">
        <v>1.25</v>
      </c>
      <c r="P67" s="719">
        <v>101.10999999999999</v>
      </c>
    </row>
    <row r="68" spans="1:16" ht="14.4" customHeight="1" x14ac:dyDescent="0.3">
      <c r="A68" s="686" t="s">
        <v>1541</v>
      </c>
      <c r="B68" s="677" t="s">
        <v>1452</v>
      </c>
      <c r="C68" s="677" t="s">
        <v>1499</v>
      </c>
      <c r="D68" s="677" t="s">
        <v>1500</v>
      </c>
      <c r="E68" s="238">
        <v>34</v>
      </c>
      <c r="F68" s="238">
        <v>0</v>
      </c>
      <c r="G68" s="677"/>
      <c r="H68" s="677">
        <v>0</v>
      </c>
      <c r="I68" s="238">
        <v>38</v>
      </c>
      <c r="J68" s="238">
        <v>0</v>
      </c>
      <c r="K68" s="677"/>
      <c r="L68" s="677">
        <v>0</v>
      </c>
      <c r="M68" s="238">
        <v>27</v>
      </c>
      <c r="N68" s="238">
        <v>0</v>
      </c>
      <c r="O68" s="688"/>
      <c r="P68" s="719">
        <v>0</v>
      </c>
    </row>
    <row r="69" spans="1:16" ht="14.4" customHeight="1" x14ac:dyDescent="0.3">
      <c r="A69" s="686" t="s">
        <v>1541</v>
      </c>
      <c r="B69" s="677" t="s">
        <v>1452</v>
      </c>
      <c r="C69" s="677" t="s">
        <v>1505</v>
      </c>
      <c r="D69" s="677" t="s">
        <v>1506</v>
      </c>
      <c r="E69" s="238"/>
      <c r="F69" s="238"/>
      <c r="G69" s="677"/>
      <c r="H69" s="677"/>
      <c r="I69" s="238">
        <v>1</v>
      </c>
      <c r="J69" s="238">
        <v>0</v>
      </c>
      <c r="K69" s="677"/>
      <c r="L69" s="677">
        <v>0</v>
      </c>
      <c r="M69" s="238"/>
      <c r="N69" s="238"/>
      <c r="O69" s="688"/>
      <c r="P69" s="719"/>
    </row>
    <row r="70" spans="1:16" ht="14.4" customHeight="1" x14ac:dyDescent="0.3">
      <c r="A70" s="686" t="s">
        <v>1541</v>
      </c>
      <c r="B70" s="677" t="s">
        <v>1452</v>
      </c>
      <c r="C70" s="677" t="s">
        <v>1507</v>
      </c>
      <c r="D70" s="677" t="s">
        <v>1508</v>
      </c>
      <c r="E70" s="238">
        <v>1</v>
      </c>
      <c r="F70" s="238">
        <v>455.56</v>
      </c>
      <c r="G70" s="677">
        <v>1</v>
      </c>
      <c r="H70" s="677">
        <v>455.56</v>
      </c>
      <c r="I70" s="238"/>
      <c r="J70" s="238"/>
      <c r="K70" s="677"/>
      <c r="L70" s="677"/>
      <c r="M70" s="238"/>
      <c r="N70" s="238"/>
      <c r="O70" s="688"/>
      <c r="P70" s="719"/>
    </row>
    <row r="71" spans="1:16" ht="14.4" customHeight="1" x14ac:dyDescent="0.3">
      <c r="A71" s="686" t="s">
        <v>1541</v>
      </c>
      <c r="B71" s="677" t="s">
        <v>1452</v>
      </c>
      <c r="C71" s="677" t="s">
        <v>1509</v>
      </c>
      <c r="D71" s="677" t="s">
        <v>1510</v>
      </c>
      <c r="E71" s="238">
        <v>1277</v>
      </c>
      <c r="F71" s="238">
        <v>0</v>
      </c>
      <c r="G71" s="677"/>
      <c r="H71" s="677">
        <v>0</v>
      </c>
      <c r="I71" s="238">
        <v>1308</v>
      </c>
      <c r="J71" s="238">
        <v>0</v>
      </c>
      <c r="K71" s="677"/>
      <c r="L71" s="677">
        <v>0</v>
      </c>
      <c r="M71" s="238">
        <v>1507</v>
      </c>
      <c r="N71" s="238">
        <v>0</v>
      </c>
      <c r="O71" s="688"/>
      <c r="P71" s="719">
        <v>0</v>
      </c>
    </row>
    <row r="72" spans="1:16" ht="14.4" customHeight="1" x14ac:dyDescent="0.3">
      <c r="A72" s="686" t="s">
        <v>1541</v>
      </c>
      <c r="B72" s="677" t="s">
        <v>1452</v>
      </c>
      <c r="C72" s="677" t="s">
        <v>1511</v>
      </c>
      <c r="D72" s="677" t="s">
        <v>1512</v>
      </c>
      <c r="E72" s="238"/>
      <c r="F72" s="238"/>
      <c r="G72" s="677"/>
      <c r="H72" s="677"/>
      <c r="I72" s="238">
        <v>1</v>
      </c>
      <c r="J72" s="238">
        <v>58.89</v>
      </c>
      <c r="K72" s="677"/>
      <c r="L72" s="677">
        <v>58.89</v>
      </c>
      <c r="M72" s="238"/>
      <c r="N72" s="238"/>
      <c r="O72" s="688"/>
      <c r="P72" s="719"/>
    </row>
    <row r="73" spans="1:16" ht="14.4" customHeight="1" x14ac:dyDescent="0.3">
      <c r="A73" s="686" t="s">
        <v>1541</v>
      </c>
      <c r="B73" s="677" t="s">
        <v>1452</v>
      </c>
      <c r="C73" s="677" t="s">
        <v>1513</v>
      </c>
      <c r="D73" s="677" t="s">
        <v>1514</v>
      </c>
      <c r="E73" s="238">
        <v>1</v>
      </c>
      <c r="F73" s="238">
        <v>77.78</v>
      </c>
      <c r="G73" s="677">
        <v>1</v>
      </c>
      <c r="H73" s="677">
        <v>77.78</v>
      </c>
      <c r="I73" s="238">
        <v>2</v>
      </c>
      <c r="J73" s="238">
        <v>155.56</v>
      </c>
      <c r="K73" s="677">
        <v>2</v>
      </c>
      <c r="L73" s="677">
        <v>77.78</v>
      </c>
      <c r="M73" s="238"/>
      <c r="N73" s="238"/>
      <c r="O73" s="688"/>
      <c r="P73" s="719"/>
    </row>
    <row r="74" spans="1:16" ht="14.4" customHeight="1" x14ac:dyDescent="0.3">
      <c r="A74" s="686" t="s">
        <v>1541</v>
      </c>
      <c r="B74" s="677" t="s">
        <v>1452</v>
      </c>
      <c r="C74" s="677" t="s">
        <v>1515</v>
      </c>
      <c r="D74" s="677" t="s">
        <v>1516</v>
      </c>
      <c r="E74" s="238">
        <v>473</v>
      </c>
      <c r="F74" s="238">
        <v>42044.44</v>
      </c>
      <c r="G74" s="677">
        <v>1</v>
      </c>
      <c r="H74" s="677">
        <v>88.888879492600424</v>
      </c>
      <c r="I74" s="238">
        <v>469</v>
      </c>
      <c r="J74" s="238">
        <v>41688.89</v>
      </c>
      <c r="K74" s="677">
        <v>0.99154347162193135</v>
      </c>
      <c r="L74" s="677">
        <v>88.888891257995738</v>
      </c>
      <c r="M74" s="238">
        <v>517</v>
      </c>
      <c r="N74" s="238">
        <v>45955.57</v>
      </c>
      <c r="O74" s="688">
        <v>1.0930237149073694</v>
      </c>
      <c r="P74" s="719">
        <v>88.888916827852995</v>
      </c>
    </row>
    <row r="75" spans="1:16" ht="14.4" customHeight="1" x14ac:dyDescent="0.3">
      <c r="A75" s="686" t="s">
        <v>1541</v>
      </c>
      <c r="B75" s="677" t="s">
        <v>1452</v>
      </c>
      <c r="C75" s="677" t="s">
        <v>1519</v>
      </c>
      <c r="D75" s="677" t="s">
        <v>1520</v>
      </c>
      <c r="E75" s="238">
        <v>82</v>
      </c>
      <c r="F75" s="238">
        <v>7926.67</v>
      </c>
      <c r="G75" s="677">
        <v>1</v>
      </c>
      <c r="H75" s="677">
        <v>96.666707317073175</v>
      </c>
      <c r="I75" s="238">
        <v>84</v>
      </c>
      <c r="J75" s="238">
        <v>8120</v>
      </c>
      <c r="K75" s="677">
        <v>1.024389813124553</v>
      </c>
      <c r="L75" s="677">
        <v>96.666666666666671</v>
      </c>
      <c r="M75" s="238">
        <v>102</v>
      </c>
      <c r="N75" s="238">
        <v>9860.01</v>
      </c>
      <c r="O75" s="688">
        <v>1.2439031775007665</v>
      </c>
      <c r="P75" s="719">
        <v>96.666764705882358</v>
      </c>
    </row>
    <row r="76" spans="1:16" ht="14.4" customHeight="1" x14ac:dyDescent="0.3">
      <c r="A76" s="686" t="s">
        <v>1541</v>
      </c>
      <c r="B76" s="677" t="s">
        <v>1452</v>
      </c>
      <c r="C76" s="677" t="s">
        <v>1525</v>
      </c>
      <c r="D76" s="677" t="s">
        <v>1526</v>
      </c>
      <c r="E76" s="238">
        <v>4</v>
      </c>
      <c r="F76" s="238">
        <v>5133.33</v>
      </c>
      <c r="G76" s="677">
        <v>1</v>
      </c>
      <c r="H76" s="677">
        <v>1283.3325</v>
      </c>
      <c r="I76" s="238">
        <v>18</v>
      </c>
      <c r="J76" s="238">
        <v>23099.979999999996</v>
      </c>
      <c r="K76" s="677">
        <v>4.4999990259733931</v>
      </c>
      <c r="L76" s="677">
        <v>1283.3322222222221</v>
      </c>
      <c r="M76" s="238">
        <v>3</v>
      </c>
      <c r="N76" s="238">
        <v>3850</v>
      </c>
      <c r="O76" s="688">
        <v>0.75000048701330324</v>
      </c>
      <c r="P76" s="719">
        <v>1283.3333333333333</v>
      </c>
    </row>
    <row r="77" spans="1:16" ht="14.4" customHeight="1" x14ac:dyDescent="0.3">
      <c r="A77" s="686" t="s">
        <v>1541</v>
      </c>
      <c r="B77" s="677" t="s">
        <v>1452</v>
      </c>
      <c r="C77" s="677" t="s">
        <v>1527</v>
      </c>
      <c r="D77" s="677" t="s">
        <v>1528</v>
      </c>
      <c r="E77" s="238">
        <v>3</v>
      </c>
      <c r="F77" s="238">
        <v>1400.01</v>
      </c>
      <c r="G77" s="677">
        <v>1</v>
      </c>
      <c r="H77" s="677">
        <v>466.67</v>
      </c>
      <c r="I77" s="238">
        <v>2</v>
      </c>
      <c r="J77" s="238">
        <v>933.34</v>
      </c>
      <c r="K77" s="677">
        <v>0.66666666666666674</v>
      </c>
      <c r="L77" s="677">
        <v>466.67</v>
      </c>
      <c r="M77" s="238">
        <v>2</v>
      </c>
      <c r="N77" s="238">
        <v>933.34</v>
      </c>
      <c r="O77" s="688">
        <v>0.66666666666666674</v>
      </c>
      <c r="P77" s="719">
        <v>466.67</v>
      </c>
    </row>
    <row r="78" spans="1:16" ht="14.4" customHeight="1" x14ac:dyDescent="0.3">
      <c r="A78" s="686" t="s">
        <v>1541</v>
      </c>
      <c r="B78" s="677" t="s">
        <v>1452</v>
      </c>
      <c r="C78" s="677" t="s">
        <v>1529</v>
      </c>
      <c r="D78" s="677" t="s">
        <v>1530</v>
      </c>
      <c r="E78" s="238">
        <v>106</v>
      </c>
      <c r="F78" s="238">
        <v>12366.67</v>
      </c>
      <c r="G78" s="677">
        <v>1</v>
      </c>
      <c r="H78" s="677">
        <v>116.66669811320754</v>
      </c>
      <c r="I78" s="238">
        <v>107</v>
      </c>
      <c r="J78" s="238">
        <v>12483.34</v>
      </c>
      <c r="K78" s="677">
        <v>1.009434229263011</v>
      </c>
      <c r="L78" s="677">
        <v>116.66672897196261</v>
      </c>
      <c r="M78" s="238">
        <v>102</v>
      </c>
      <c r="N78" s="238">
        <v>11899.99</v>
      </c>
      <c r="O78" s="688">
        <v>0.96226308294795604</v>
      </c>
      <c r="P78" s="719">
        <v>116.66656862745099</v>
      </c>
    </row>
    <row r="79" spans="1:16" ht="14.4" customHeight="1" x14ac:dyDescent="0.3">
      <c r="A79" s="686" t="s">
        <v>1541</v>
      </c>
      <c r="B79" s="677" t="s">
        <v>1452</v>
      </c>
      <c r="C79" s="677" t="s">
        <v>1453</v>
      </c>
      <c r="D79" s="677" t="s">
        <v>1454</v>
      </c>
      <c r="E79" s="238">
        <v>1305</v>
      </c>
      <c r="F79" s="238">
        <v>427750.01</v>
      </c>
      <c r="G79" s="677">
        <v>1</v>
      </c>
      <c r="H79" s="677">
        <v>327.77778544061306</v>
      </c>
      <c r="I79" s="238">
        <v>1377</v>
      </c>
      <c r="J79" s="238">
        <v>451349.99999999994</v>
      </c>
      <c r="K79" s="677">
        <v>1.0551723891251339</v>
      </c>
      <c r="L79" s="677">
        <v>327.77777777777771</v>
      </c>
      <c r="M79" s="238">
        <v>1583</v>
      </c>
      <c r="N79" s="238">
        <v>518872.23000000004</v>
      </c>
      <c r="O79" s="688">
        <v>1.2130268097480583</v>
      </c>
      <c r="P79" s="719">
        <v>327.77778269109291</v>
      </c>
    </row>
    <row r="80" spans="1:16" ht="14.4" customHeight="1" x14ac:dyDescent="0.3">
      <c r="A80" s="686" t="s">
        <v>1541</v>
      </c>
      <c r="B80" s="677" t="s">
        <v>1452</v>
      </c>
      <c r="C80" s="677" t="s">
        <v>1533</v>
      </c>
      <c r="D80" s="677" t="s">
        <v>1534</v>
      </c>
      <c r="E80" s="238"/>
      <c r="F80" s="238"/>
      <c r="G80" s="677"/>
      <c r="H80" s="677"/>
      <c r="I80" s="238">
        <v>2</v>
      </c>
      <c r="J80" s="238">
        <v>1666.67</v>
      </c>
      <c r="K80" s="677"/>
      <c r="L80" s="677">
        <v>833.33500000000004</v>
      </c>
      <c r="M80" s="238"/>
      <c r="N80" s="238"/>
      <c r="O80" s="688"/>
      <c r="P80" s="719"/>
    </row>
    <row r="81" spans="1:16" ht="14.4" customHeight="1" x14ac:dyDescent="0.3">
      <c r="A81" s="686" t="s">
        <v>1542</v>
      </c>
      <c r="B81" s="677" t="s">
        <v>1543</v>
      </c>
      <c r="C81" s="677" t="s">
        <v>1544</v>
      </c>
      <c r="D81" s="677" t="s">
        <v>1545</v>
      </c>
      <c r="E81" s="238">
        <v>0.6</v>
      </c>
      <c r="F81" s="238">
        <v>146.59</v>
      </c>
      <c r="G81" s="677">
        <v>1</v>
      </c>
      <c r="H81" s="677">
        <v>244.31666666666669</v>
      </c>
      <c r="I81" s="238">
        <v>0.21999999999999997</v>
      </c>
      <c r="J81" s="238">
        <v>58.29999999999999</v>
      </c>
      <c r="K81" s="677">
        <v>0.39770789276212559</v>
      </c>
      <c r="L81" s="677">
        <v>265</v>
      </c>
      <c r="M81" s="238">
        <v>0.06</v>
      </c>
      <c r="N81" s="238">
        <v>15.899999999999999</v>
      </c>
      <c r="O81" s="688">
        <v>0.10846578893512517</v>
      </c>
      <c r="P81" s="719">
        <v>265</v>
      </c>
    </row>
    <row r="82" spans="1:16" ht="14.4" customHeight="1" x14ac:dyDescent="0.3">
      <c r="A82" s="686" t="s">
        <v>1542</v>
      </c>
      <c r="B82" s="677" t="s">
        <v>1543</v>
      </c>
      <c r="C82" s="677" t="s">
        <v>1546</v>
      </c>
      <c r="D82" s="677" t="s">
        <v>943</v>
      </c>
      <c r="E82" s="238">
        <v>12</v>
      </c>
      <c r="F82" s="238">
        <v>209.88000000000002</v>
      </c>
      <c r="G82" s="677">
        <v>1</v>
      </c>
      <c r="H82" s="677">
        <v>17.490000000000002</v>
      </c>
      <c r="I82" s="238">
        <v>4</v>
      </c>
      <c r="J82" s="238">
        <v>70.56</v>
      </c>
      <c r="K82" s="677">
        <v>0.33619210977701541</v>
      </c>
      <c r="L82" s="677">
        <v>17.64</v>
      </c>
      <c r="M82" s="238">
        <v>4</v>
      </c>
      <c r="N82" s="238">
        <v>70.56</v>
      </c>
      <c r="O82" s="688">
        <v>0.33619210977701541</v>
      </c>
      <c r="P82" s="719">
        <v>17.64</v>
      </c>
    </row>
    <row r="83" spans="1:16" ht="14.4" customHeight="1" x14ac:dyDescent="0.3">
      <c r="A83" s="686" t="s">
        <v>1542</v>
      </c>
      <c r="B83" s="677" t="s">
        <v>1543</v>
      </c>
      <c r="C83" s="677" t="s">
        <v>1547</v>
      </c>
      <c r="D83" s="677" t="s">
        <v>647</v>
      </c>
      <c r="E83" s="238">
        <v>12.47</v>
      </c>
      <c r="F83" s="238">
        <v>1246.48</v>
      </c>
      <c r="G83" s="677">
        <v>1</v>
      </c>
      <c r="H83" s="677">
        <v>99.95829991980753</v>
      </c>
      <c r="I83" s="238">
        <v>3.1</v>
      </c>
      <c r="J83" s="238">
        <v>312.51</v>
      </c>
      <c r="K83" s="677">
        <v>0.25071401065400167</v>
      </c>
      <c r="L83" s="677">
        <v>100.80967741935483</v>
      </c>
      <c r="M83" s="238">
        <v>3.7</v>
      </c>
      <c r="N83" s="238">
        <v>373.07</v>
      </c>
      <c r="O83" s="688">
        <v>0.29929882549258713</v>
      </c>
      <c r="P83" s="719">
        <v>100.82972972972972</v>
      </c>
    </row>
    <row r="84" spans="1:16" ht="14.4" customHeight="1" x14ac:dyDescent="0.3">
      <c r="A84" s="686" t="s">
        <v>1542</v>
      </c>
      <c r="B84" s="677" t="s">
        <v>1452</v>
      </c>
      <c r="C84" s="677" t="s">
        <v>1548</v>
      </c>
      <c r="D84" s="677" t="s">
        <v>1549</v>
      </c>
      <c r="E84" s="238"/>
      <c r="F84" s="238"/>
      <c r="G84" s="677"/>
      <c r="H84" s="677"/>
      <c r="I84" s="238">
        <v>2</v>
      </c>
      <c r="J84" s="238">
        <v>702</v>
      </c>
      <c r="K84" s="677"/>
      <c r="L84" s="677">
        <v>351</v>
      </c>
      <c r="M84" s="238">
        <v>1</v>
      </c>
      <c r="N84" s="238">
        <v>351</v>
      </c>
      <c r="O84" s="688"/>
      <c r="P84" s="719">
        <v>351</v>
      </c>
    </row>
    <row r="85" spans="1:16" ht="14.4" customHeight="1" x14ac:dyDescent="0.3">
      <c r="A85" s="686" t="s">
        <v>1542</v>
      </c>
      <c r="B85" s="677" t="s">
        <v>1452</v>
      </c>
      <c r="C85" s="677" t="s">
        <v>1550</v>
      </c>
      <c r="D85" s="677" t="s">
        <v>1551</v>
      </c>
      <c r="E85" s="238"/>
      <c r="F85" s="238"/>
      <c r="G85" s="677"/>
      <c r="H85" s="677"/>
      <c r="I85" s="238">
        <v>1</v>
      </c>
      <c r="J85" s="238">
        <v>152</v>
      </c>
      <c r="K85" s="677"/>
      <c r="L85" s="677">
        <v>152</v>
      </c>
      <c r="M85" s="238">
        <v>1</v>
      </c>
      <c r="N85" s="238">
        <v>152</v>
      </c>
      <c r="O85" s="688"/>
      <c r="P85" s="719">
        <v>152</v>
      </c>
    </row>
    <row r="86" spans="1:16" ht="14.4" customHeight="1" x14ac:dyDescent="0.3">
      <c r="A86" s="686" t="s">
        <v>1542</v>
      </c>
      <c r="B86" s="677" t="s">
        <v>1452</v>
      </c>
      <c r="C86" s="677" t="s">
        <v>1552</v>
      </c>
      <c r="D86" s="677" t="s">
        <v>1553</v>
      </c>
      <c r="E86" s="238">
        <v>37</v>
      </c>
      <c r="F86" s="238">
        <v>3330</v>
      </c>
      <c r="G86" s="677">
        <v>1</v>
      </c>
      <c r="H86" s="677">
        <v>90</v>
      </c>
      <c r="I86" s="238">
        <v>49</v>
      </c>
      <c r="J86" s="238">
        <v>3920</v>
      </c>
      <c r="K86" s="677">
        <v>1.1771771771771771</v>
      </c>
      <c r="L86" s="677">
        <v>80</v>
      </c>
      <c r="M86" s="238">
        <v>53</v>
      </c>
      <c r="N86" s="238">
        <v>4240</v>
      </c>
      <c r="O86" s="688">
        <v>1.2732732732732732</v>
      </c>
      <c r="P86" s="719">
        <v>80</v>
      </c>
    </row>
    <row r="87" spans="1:16" ht="14.4" customHeight="1" x14ac:dyDescent="0.3">
      <c r="A87" s="686" t="s">
        <v>1542</v>
      </c>
      <c r="B87" s="677" t="s">
        <v>1452</v>
      </c>
      <c r="C87" s="677" t="s">
        <v>1554</v>
      </c>
      <c r="D87" s="677" t="s">
        <v>1555</v>
      </c>
      <c r="E87" s="238">
        <v>20</v>
      </c>
      <c r="F87" s="238">
        <v>680</v>
      </c>
      <c r="G87" s="677">
        <v>1</v>
      </c>
      <c r="H87" s="677">
        <v>34</v>
      </c>
      <c r="I87" s="238">
        <v>164</v>
      </c>
      <c r="J87" s="238">
        <v>5576</v>
      </c>
      <c r="K87" s="677">
        <v>8.1999999999999993</v>
      </c>
      <c r="L87" s="677">
        <v>34</v>
      </c>
      <c r="M87" s="238">
        <v>184</v>
      </c>
      <c r="N87" s="238">
        <v>6256</v>
      </c>
      <c r="O87" s="688">
        <v>9.1999999999999993</v>
      </c>
      <c r="P87" s="719">
        <v>34</v>
      </c>
    </row>
    <row r="88" spans="1:16" ht="14.4" customHeight="1" x14ac:dyDescent="0.3">
      <c r="A88" s="686" t="s">
        <v>1542</v>
      </c>
      <c r="B88" s="677" t="s">
        <v>1452</v>
      </c>
      <c r="C88" s="677" t="s">
        <v>1556</v>
      </c>
      <c r="D88" s="677" t="s">
        <v>1557</v>
      </c>
      <c r="E88" s="238"/>
      <c r="F88" s="238"/>
      <c r="G88" s="677"/>
      <c r="H88" s="677"/>
      <c r="I88" s="238">
        <v>10</v>
      </c>
      <c r="J88" s="238">
        <v>10010</v>
      </c>
      <c r="K88" s="677"/>
      <c r="L88" s="677">
        <v>1001</v>
      </c>
      <c r="M88" s="238">
        <v>26</v>
      </c>
      <c r="N88" s="238">
        <v>26026</v>
      </c>
      <c r="O88" s="688"/>
      <c r="P88" s="719">
        <v>1001</v>
      </c>
    </row>
    <row r="89" spans="1:16" ht="14.4" customHeight="1" x14ac:dyDescent="0.3">
      <c r="A89" s="686" t="s">
        <v>1542</v>
      </c>
      <c r="B89" s="677" t="s">
        <v>1452</v>
      </c>
      <c r="C89" s="677" t="s">
        <v>1558</v>
      </c>
      <c r="D89" s="677" t="s">
        <v>1559</v>
      </c>
      <c r="E89" s="238">
        <v>98</v>
      </c>
      <c r="F89" s="238">
        <v>11368</v>
      </c>
      <c r="G89" s="677">
        <v>1</v>
      </c>
      <c r="H89" s="677">
        <v>116</v>
      </c>
      <c r="I89" s="238">
        <v>36</v>
      </c>
      <c r="J89" s="238">
        <v>4176</v>
      </c>
      <c r="K89" s="677">
        <v>0.36734693877551022</v>
      </c>
      <c r="L89" s="677">
        <v>116</v>
      </c>
      <c r="M89" s="238">
        <v>55</v>
      </c>
      <c r="N89" s="238">
        <v>6380</v>
      </c>
      <c r="O89" s="688">
        <v>0.56122448979591832</v>
      </c>
      <c r="P89" s="719">
        <v>116</v>
      </c>
    </row>
    <row r="90" spans="1:16" ht="14.4" customHeight="1" x14ac:dyDescent="0.3">
      <c r="A90" s="686" t="s">
        <v>1542</v>
      </c>
      <c r="B90" s="677" t="s">
        <v>1452</v>
      </c>
      <c r="C90" s="677" t="s">
        <v>1560</v>
      </c>
      <c r="D90" s="677" t="s">
        <v>1561</v>
      </c>
      <c r="E90" s="238">
        <v>16</v>
      </c>
      <c r="F90" s="238">
        <v>2464</v>
      </c>
      <c r="G90" s="677">
        <v>1</v>
      </c>
      <c r="H90" s="677">
        <v>154</v>
      </c>
      <c r="I90" s="238"/>
      <c r="J90" s="238"/>
      <c r="K90" s="677"/>
      <c r="L90" s="677"/>
      <c r="M90" s="238"/>
      <c r="N90" s="238"/>
      <c r="O90" s="688"/>
      <c r="P90" s="719"/>
    </row>
    <row r="91" spans="1:16" ht="14.4" customHeight="1" x14ac:dyDescent="0.3">
      <c r="A91" s="686" t="s">
        <v>1542</v>
      </c>
      <c r="B91" s="677" t="s">
        <v>1452</v>
      </c>
      <c r="C91" s="677" t="s">
        <v>1562</v>
      </c>
      <c r="D91" s="677" t="s">
        <v>1563</v>
      </c>
      <c r="E91" s="238">
        <v>8</v>
      </c>
      <c r="F91" s="238">
        <v>720</v>
      </c>
      <c r="G91" s="677">
        <v>1</v>
      </c>
      <c r="H91" s="677">
        <v>90</v>
      </c>
      <c r="I91" s="238"/>
      <c r="J91" s="238"/>
      <c r="K91" s="677"/>
      <c r="L91" s="677"/>
      <c r="M91" s="238"/>
      <c r="N91" s="238"/>
      <c r="O91" s="688"/>
      <c r="P91" s="719"/>
    </row>
    <row r="92" spans="1:16" ht="14.4" customHeight="1" x14ac:dyDescent="0.3">
      <c r="A92" s="686" t="s">
        <v>1542</v>
      </c>
      <c r="B92" s="677" t="s">
        <v>1452</v>
      </c>
      <c r="C92" s="677" t="s">
        <v>1564</v>
      </c>
      <c r="D92" s="677" t="s">
        <v>1565</v>
      </c>
      <c r="E92" s="238">
        <v>7</v>
      </c>
      <c r="F92" s="238">
        <v>644</v>
      </c>
      <c r="G92" s="677">
        <v>1</v>
      </c>
      <c r="H92" s="677">
        <v>92</v>
      </c>
      <c r="I92" s="238"/>
      <c r="J92" s="238"/>
      <c r="K92" s="677"/>
      <c r="L92" s="677"/>
      <c r="M92" s="238"/>
      <c r="N92" s="238"/>
      <c r="O92" s="688"/>
      <c r="P92" s="719"/>
    </row>
    <row r="93" spans="1:16" ht="14.4" customHeight="1" x14ac:dyDescent="0.3">
      <c r="A93" s="686" t="s">
        <v>1542</v>
      </c>
      <c r="B93" s="677" t="s">
        <v>1452</v>
      </c>
      <c r="C93" s="677" t="s">
        <v>1566</v>
      </c>
      <c r="D93" s="677" t="s">
        <v>1567</v>
      </c>
      <c r="E93" s="238">
        <v>8</v>
      </c>
      <c r="F93" s="238">
        <v>200</v>
      </c>
      <c r="G93" s="677">
        <v>1</v>
      </c>
      <c r="H93" s="677">
        <v>25</v>
      </c>
      <c r="I93" s="238">
        <v>3</v>
      </c>
      <c r="J93" s="238">
        <v>105</v>
      </c>
      <c r="K93" s="677">
        <v>0.52500000000000002</v>
      </c>
      <c r="L93" s="677">
        <v>35</v>
      </c>
      <c r="M93" s="238">
        <v>3</v>
      </c>
      <c r="N93" s="238">
        <v>105</v>
      </c>
      <c r="O93" s="688">
        <v>0.52500000000000002</v>
      </c>
      <c r="P93" s="719">
        <v>35</v>
      </c>
    </row>
    <row r="94" spans="1:16" ht="14.4" customHeight="1" x14ac:dyDescent="0.3">
      <c r="A94" s="686" t="s">
        <v>1542</v>
      </c>
      <c r="B94" s="677" t="s">
        <v>1452</v>
      </c>
      <c r="C94" s="677" t="s">
        <v>1568</v>
      </c>
      <c r="D94" s="677" t="s">
        <v>1569</v>
      </c>
      <c r="E94" s="238">
        <v>25</v>
      </c>
      <c r="F94" s="238">
        <v>1875</v>
      </c>
      <c r="G94" s="677">
        <v>1</v>
      </c>
      <c r="H94" s="677">
        <v>75</v>
      </c>
      <c r="I94" s="238">
        <v>29</v>
      </c>
      <c r="J94" s="238">
        <v>2349</v>
      </c>
      <c r="K94" s="677">
        <v>1.2527999999999999</v>
      </c>
      <c r="L94" s="677">
        <v>81</v>
      </c>
      <c r="M94" s="238">
        <v>21</v>
      </c>
      <c r="N94" s="238">
        <v>1701</v>
      </c>
      <c r="O94" s="688">
        <v>0.90720000000000001</v>
      </c>
      <c r="P94" s="719">
        <v>81</v>
      </c>
    </row>
    <row r="95" spans="1:16" ht="14.4" customHeight="1" x14ac:dyDescent="0.3">
      <c r="A95" s="686" t="s">
        <v>1542</v>
      </c>
      <c r="B95" s="677" t="s">
        <v>1452</v>
      </c>
      <c r="C95" s="677" t="s">
        <v>1570</v>
      </c>
      <c r="D95" s="677" t="s">
        <v>1571</v>
      </c>
      <c r="E95" s="238"/>
      <c r="F95" s="238"/>
      <c r="G95" s="677"/>
      <c r="H95" s="677"/>
      <c r="I95" s="238">
        <v>10</v>
      </c>
      <c r="J95" s="238">
        <v>300</v>
      </c>
      <c r="K95" s="677"/>
      <c r="L95" s="677">
        <v>30</v>
      </c>
      <c r="M95" s="238">
        <v>8</v>
      </c>
      <c r="N95" s="238">
        <v>240</v>
      </c>
      <c r="O95" s="688"/>
      <c r="P95" s="719">
        <v>30</v>
      </c>
    </row>
    <row r="96" spans="1:16" ht="14.4" customHeight="1" x14ac:dyDescent="0.3">
      <c r="A96" s="686" t="s">
        <v>1542</v>
      </c>
      <c r="B96" s="677" t="s">
        <v>1452</v>
      </c>
      <c r="C96" s="677" t="s">
        <v>1572</v>
      </c>
      <c r="D96" s="677" t="s">
        <v>1573</v>
      </c>
      <c r="E96" s="238"/>
      <c r="F96" s="238"/>
      <c r="G96" s="677"/>
      <c r="H96" s="677"/>
      <c r="I96" s="238">
        <v>3</v>
      </c>
      <c r="J96" s="238">
        <v>168</v>
      </c>
      <c r="K96" s="677"/>
      <c r="L96" s="677">
        <v>56</v>
      </c>
      <c r="M96" s="238"/>
      <c r="N96" s="238"/>
      <c r="O96" s="688"/>
      <c r="P96" s="719"/>
    </row>
    <row r="97" spans="1:16" ht="14.4" customHeight="1" x14ac:dyDescent="0.3">
      <c r="A97" s="686" t="s">
        <v>1542</v>
      </c>
      <c r="B97" s="677" t="s">
        <v>1452</v>
      </c>
      <c r="C97" s="677" t="s">
        <v>1574</v>
      </c>
      <c r="D97" s="677" t="s">
        <v>1575</v>
      </c>
      <c r="E97" s="238">
        <v>24</v>
      </c>
      <c r="F97" s="238">
        <v>2496</v>
      </c>
      <c r="G97" s="677">
        <v>1</v>
      </c>
      <c r="H97" s="677">
        <v>104</v>
      </c>
      <c r="I97" s="238">
        <v>21</v>
      </c>
      <c r="J97" s="238">
        <v>1848</v>
      </c>
      <c r="K97" s="677">
        <v>0.74038461538461542</v>
      </c>
      <c r="L97" s="677">
        <v>88</v>
      </c>
      <c r="M97" s="238">
        <v>1</v>
      </c>
      <c r="N97" s="238">
        <v>88</v>
      </c>
      <c r="O97" s="688">
        <v>3.5256410256410256E-2</v>
      </c>
      <c r="P97" s="719">
        <v>88</v>
      </c>
    </row>
    <row r="98" spans="1:16" ht="14.4" customHeight="1" x14ac:dyDescent="0.3">
      <c r="A98" s="686" t="s">
        <v>1542</v>
      </c>
      <c r="B98" s="677" t="s">
        <v>1452</v>
      </c>
      <c r="C98" s="677" t="s">
        <v>1576</v>
      </c>
      <c r="D98" s="677" t="s">
        <v>1577</v>
      </c>
      <c r="E98" s="238">
        <v>10</v>
      </c>
      <c r="F98" s="238">
        <v>3100</v>
      </c>
      <c r="G98" s="677">
        <v>1</v>
      </c>
      <c r="H98" s="677">
        <v>310</v>
      </c>
      <c r="I98" s="238">
        <v>8</v>
      </c>
      <c r="J98" s="238">
        <v>2496</v>
      </c>
      <c r="K98" s="677">
        <v>0.80516129032258066</v>
      </c>
      <c r="L98" s="677">
        <v>312</v>
      </c>
      <c r="M98" s="238">
        <v>6</v>
      </c>
      <c r="N98" s="238">
        <v>1872</v>
      </c>
      <c r="O98" s="688">
        <v>0.60387096774193549</v>
      </c>
      <c r="P98" s="719">
        <v>312</v>
      </c>
    </row>
    <row r="99" spans="1:16" ht="14.4" customHeight="1" thickBot="1" x14ac:dyDescent="0.35">
      <c r="A99" s="642" t="s">
        <v>1542</v>
      </c>
      <c r="B99" s="679" t="s">
        <v>1452</v>
      </c>
      <c r="C99" s="679" t="s">
        <v>1578</v>
      </c>
      <c r="D99" s="679" t="s">
        <v>1579</v>
      </c>
      <c r="E99" s="680"/>
      <c r="F99" s="680"/>
      <c r="G99" s="679"/>
      <c r="H99" s="679"/>
      <c r="I99" s="680">
        <v>1</v>
      </c>
      <c r="J99" s="680">
        <v>290</v>
      </c>
      <c r="K99" s="679"/>
      <c r="L99" s="679">
        <v>290</v>
      </c>
      <c r="M99" s="680">
        <v>2</v>
      </c>
      <c r="N99" s="680">
        <v>580</v>
      </c>
      <c r="O99" s="689"/>
      <c r="P99" s="720">
        <v>290</v>
      </c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6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260" bestFit="1" customWidth="1"/>
    <col min="2" max="2" width="7.77734375" style="225" customWidth="1"/>
    <col min="3" max="3" width="0.109375" style="260" hidden="1" customWidth="1"/>
    <col min="4" max="4" width="7.77734375" style="225" customWidth="1"/>
    <col min="5" max="5" width="5.44140625" style="260" hidden="1" customWidth="1"/>
    <col min="6" max="6" width="7.77734375" style="225" customWidth="1"/>
    <col min="7" max="7" width="7.77734375" style="346" customWidth="1"/>
    <col min="8" max="8" width="7.77734375" style="225" customWidth="1"/>
    <col min="9" max="9" width="5.44140625" style="260" hidden="1" customWidth="1"/>
    <col min="10" max="10" width="7.77734375" style="225" customWidth="1"/>
    <col min="11" max="11" width="5.44140625" style="260" hidden="1" customWidth="1"/>
    <col min="12" max="12" width="7.77734375" style="225" customWidth="1"/>
    <col min="13" max="13" width="7.77734375" style="346" customWidth="1"/>
    <col min="14" max="14" width="7.77734375" style="225" customWidth="1"/>
    <col min="15" max="15" width="5" style="260" hidden="1" customWidth="1"/>
    <col min="16" max="16" width="7.77734375" style="225" customWidth="1"/>
    <col min="17" max="17" width="5" style="260" hidden="1" customWidth="1"/>
    <col min="18" max="18" width="7.77734375" style="225" customWidth="1"/>
    <col min="19" max="19" width="7.77734375" style="346" customWidth="1"/>
    <col min="20" max="16384" width="8.88671875" style="260"/>
  </cols>
  <sheetData>
    <row r="1" spans="1:19" ht="18.600000000000001" customHeight="1" thickBot="1" x14ac:dyDescent="0.4">
      <c r="A1" s="471" t="s">
        <v>161</v>
      </c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2"/>
      <c r="N1" s="462"/>
      <c r="O1" s="462"/>
      <c r="P1" s="462"/>
      <c r="Q1" s="462"/>
      <c r="R1" s="462"/>
      <c r="S1" s="462"/>
    </row>
    <row r="2" spans="1:19" ht="14.4" customHeight="1" thickBot="1" x14ac:dyDescent="0.35">
      <c r="A2" s="389" t="s">
        <v>299</v>
      </c>
      <c r="B2" s="362"/>
      <c r="C2" s="230"/>
      <c r="D2" s="362"/>
      <c r="E2" s="230"/>
      <c r="F2" s="362"/>
      <c r="G2" s="363"/>
      <c r="H2" s="362"/>
      <c r="I2" s="230"/>
      <c r="J2" s="362"/>
      <c r="K2" s="230"/>
      <c r="L2" s="362"/>
      <c r="M2" s="363"/>
      <c r="N2" s="362"/>
      <c r="O2" s="230"/>
      <c r="P2" s="362"/>
      <c r="Q2" s="230"/>
      <c r="R2" s="362"/>
      <c r="S2" s="363"/>
    </row>
    <row r="3" spans="1:19" ht="14.4" customHeight="1" thickBot="1" x14ac:dyDescent="0.35">
      <c r="A3" s="356" t="s">
        <v>163</v>
      </c>
      <c r="B3" s="357">
        <f>SUBTOTAL(9,B6:B1048576)</f>
        <v>1398669</v>
      </c>
      <c r="C3" s="358">
        <f t="shared" ref="C3:R3" si="0">SUBTOTAL(9,C6:C1048576)</f>
        <v>1</v>
      </c>
      <c r="D3" s="358">
        <f t="shared" si="0"/>
        <v>785437</v>
      </c>
      <c r="E3" s="358">
        <f t="shared" si="0"/>
        <v>0.56156031198232037</v>
      </c>
      <c r="F3" s="358">
        <f t="shared" si="0"/>
        <v>1070966</v>
      </c>
      <c r="G3" s="361">
        <f>IF(B3&lt;&gt;0,F3/B3,"")</f>
        <v>0.76570367971264108</v>
      </c>
      <c r="H3" s="357">
        <f t="shared" si="0"/>
        <v>91635.079999999987</v>
      </c>
      <c r="I3" s="358">
        <f t="shared" si="0"/>
        <v>1</v>
      </c>
      <c r="J3" s="358">
        <f t="shared" si="0"/>
        <v>48263.92</v>
      </c>
      <c r="K3" s="358">
        <f t="shared" si="0"/>
        <v>0.52669698111247354</v>
      </c>
      <c r="L3" s="358">
        <f t="shared" si="0"/>
        <v>99104.23</v>
      </c>
      <c r="M3" s="359">
        <f>IF(H3&lt;&gt;0,L3/H3,"")</f>
        <v>1.0815097231322328</v>
      </c>
      <c r="N3" s="360">
        <f t="shared" si="0"/>
        <v>0</v>
      </c>
      <c r="O3" s="358">
        <f t="shared" si="0"/>
        <v>0</v>
      </c>
      <c r="P3" s="358">
        <f t="shared" si="0"/>
        <v>0</v>
      </c>
      <c r="Q3" s="358">
        <f t="shared" si="0"/>
        <v>0</v>
      </c>
      <c r="R3" s="358">
        <f t="shared" si="0"/>
        <v>0</v>
      </c>
      <c r="S3" s="359" t="str">
        <f>IF(N3&lt;&gt;0,R3/N3,"")</f>
        <v/>
      </c>
    </row>
    <row r="4" spans="1:19" ht="14.4" customHeight="1" x14ac:dyDescent="0.3">
      <c r="A4" s="534" t="s">
        <v>133</v>
      </c>
      <c r="B4" s="535" t="s">
        <v>127</v>
      </c>
      <c r="C4" s="536"/>
      <c r="D4" s="536"/>
      <c r="E4" s="536"/>
      <c r="F4" s="536"/>
      <c r="G4" s="537"/>
      <c r="H4" s="535" t="s">
        <v>128</v>
      </c>
      <c r="I4" s="536"/>
      <c r="J4" s="536"/>
      <c r="K4" s="536"/>
      <c r="L4" s="536"/>
      <c r="M4" s="537"/>
      <c r="N4" s="535" t="s">
        <v>129</v>
      </c>
      <c r="O4" s="536"/>
      <c r="P4" s="536"/>
      <c r="Q4" s="536"/>
      <c r="R4" s="536"/>
      <c r="S4" s="537"/>
    </row>
    <row r="5" spans="1:19" ht="14.4" customHeight="1" thickBot="1" x14ac:dyDescent="0.35">
      <c r="A5" s="731"/>
      <c r="B5" s="732">
        <v>2012</v>
      </c>
      <c r="C5" s="733"/>
      <c r="D5" s="733">
        <v>2013</v>
      </c>
      <c r="E5" s="733"/>
      <c r="F5" s="733">
        <v>2014</v>
      </c>
      <c r="G5" s="734" t="s">
        <v>5</v>
      </c>
      <c r="H5" s="732">
        <v>2012</v>
      </c>
      <c r="I5" s="733"/>
      <c r="J5" s="733">
        <v>2013</v>
      </c>
      <c r="K5" s="733"/>
      <c r="L5" s="733">
        <v>2014</v>
      </c>
      <c r="M5" s="734" t="s">
        <v>5</v>
      </c>
      <c r="N5" s="732">
        <v>2012</v>
      </c>
      <c r="O5" s="733"/>
      <c r="P5" s="733">
        <v>2013</v>
      </c>
      <c r="Q5" s="733"/>
      <c r="R5" s="733">
        <v>2014</v>
      </c>
      <c r="S5" s="734" t="s">
        <v>5</v>
      </c>
    </row>
    <row r="6" spans="1:19" ht="14.4" customHeight="1" thickBot="1" x14ac:dyDescent="0.35">
      <c r="A6" s="753" t="s">
        <v>1581</v>
      </c>
      <c r="B6" s="750">
        <v>1398669</v>
      </c>
      <c r="C6" s="751">
        <v>1</v>
      </c>
      <c r="D6" s="750">
        <v>785437</v>
      </c>
      <c r="E6" s="751">
        <v>0.56156031198232037</v>
      </c>
      <c r="F6" s="750">
        <v>1070966</v>
      </c>
      <c r="G6" s="658">
        <v>0.76570367971264108</v>
      </c>
      <c r="H6" s="750">
        <v>91635.079999999987</v>
      </c>
      <c r="I6" s="751">
        <v>1</v>
      </c>
      <c r="J6" s="750">
        <v>48263.92</v>
      </c>
      <c r="K6" s="751">
        <v>0.52669698111247354</v>
      </c>
      <c r="L6" s="750">
        <v>99104.23</v>
      </c>
      <c r="M6" s="658">
        <v>1.0815097231322328</v>
      </c>
      <c r="N6" s="750"/>
      <c r="O6" s="751"/>
      <c r="P6" s="750"/>
      <c r="Q6" s="751"/>
      <c r="R6" s="750"/>
      <c r="S6" s="752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148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260" bestFit="1" customWidth="1"/>
    <col min="2" max="2" width="8.6640625" style="260" bestFit="1" customWidth="1"/>
    <col min="3" max="3" width="2.109375" style="260" bestFit="1" customWidth="1"/>
    <col min="4" max="4" width="8" style="260" bestFit="1" customWidth="1"/>
    <col min="5" max="5" width="52.88671875" style="260" bestFit="1" customWidth="1"/>
    <col min="6" max="7" width="11.109375" style="343" customWidth="1"/>
    <col min="8" max="9" width="9.33203125" style="343" hidden="1" customWidth="1"/>
    <col min="10" max="11" width="11.109375" style="343" customWidth="1"/>
    <col min="12" max="13" width="9.33203125" style="343" hidden="1" customWidth="1"/>
    <col min="14" max="15" width="11.109375" style="343" customWidth="1"/>
    <col min="16" max="16" width="11.109375" style="346" customWidth="1"/>
    <col min="17" max="17" width="11.109375" style="343" customWidth="1"/>
    <col min="18" max="16384" width="8.88671875" style="260"/>
  </cols>
  <sheetData>
    <row r="1" spans="1:17" ht="18.600000000000001" customHeight="1" thickBot="1" x14ac:dyDescent="0.4">
      <c r="A1" s="462" t="s">
        <v>1828</v>
      </c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2"/>
      <c r="N1" s="462"/>
      <c r="O1" s="462"/>
      <c r="P1" s="462"/>
      <c r="Q1" s="462"/>
    </row>
    <row r="2" spans="1:17" ht="14.4" customHeight="1" thickBot="1" x14ac:dyDescent="0.35">
      <c r="A2" s="389" t="s">
        <v>299</v>
      </c>
      <c r="B2" s="261"/>
      <c r="C2" s="261"/>
      <c r="D2" s="261"/>
      <c r="E2" s="261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365"/>
      <c r="Q2" s="364"/>
    </row>
    <row r="3" spans="1:17" ht="14.4" customHeight="1" thickBot="1" x14ac:dyDescent="0.35">
      <c r="E3" s="112" t="s">
        <v>163</v>
      </c>
      <c r="F3" s="217">
        <f t="shared" ref="F3:O3" si="0">SUBTOTAL(9,F6:F1048576)</f>
        <v>2784.8</v>
      </c>
      <c r="G3" s="218">
        <f t="shared" si="0"/>
        <v>1490304.08</v>
      </c>
      <c r="H3" s="218"/>
      <c r="I3" s="218"/>
      <c r="J3" s="218">
        <f t="shared" si="0"/>
        <v>1569.6</v>
      </c>
      <c r="K3" s="218">
        <f t="shared" si="0"/>
        <v>833700.92</v>
      </c>
      <c r="L3" s="218"/>
      <c r="M3" s="218"/>
      <c r="N3" s="218">
        <f t="shared" si="0"/>
        <v>1690</v>
      </c>
      <c r="O3" s="218">
        <f t="shared" si="0"/>
        <v>1170070.23</v>
      </c>
      <c r="P3" s="79">
        <f>IF(G3=0,0,O3/G3)</f>
        <v>0.78512180547744315</v>
      </c>
      <c r="Q3" s="219">
        <f>IF(N3=0,0,O3/N3)</f>
        <v>692.34924852071003</v>
      </c>
    </row>
    <row r="4" spans="1:17" ht="14.4" customHeight="1" x14ac:dyDescent="0.3">
      <c r="A4" s="540" t="s">
        <v>77</v>
      </c>
      <c r="B4" s="539" t="s">
        <v>122</v>
      </c>
      <c r="C4" s="540" t="s">
        <v>123</v>
      </c>
      <c r="D4" s="541" t="s">
        <v>124</v>
      </c>
      <c r="E4" s="542" t="s">
        <v>84</v>
      </c>
      <c r="F4" s="546">
        <v>2012</v>
      </c>
      <c r="G4" s="547"/>
      <c r="H4" s="220"/>
      <c r="I4" s="220"/>
      <c r="J4" s="546">
        <v>2013</v>
      </c>
      <c r="K4" s="547"/>
      <c r="L4" s="220"/>
      <c r="M4" s="220"/>
      <c r="N4" s="546">
        <v>2014</v>
      </c>
      <c r="O4" s="547"/>
      <c r="P4" s="548" t="s">
        <v>5</v>
      </c>
      <c r="Q4" s="538" t="s">
        <v>125</v>
      </c>
    </row>
    <row r="5" spans="1:17" ht="14.4" customHeight="1" thickBot="1" x14ac:dyDescent="0.35">
      <c r="A5" s="742"/>
      <c r="B5" s="741"/>
      <c r="C5" s="742"/>
      <c r="D5" s="743"/>
      <c r="E5" s="744"/>
      <c r="F5" s="754" t="s">
        <v>94</v>
      </c>
      <c r="G5" s="755" t="s">
        <v>17</v>
      </c>
      <c r="H5" s="756"/>
      <c r="I5" s="756"/>
      <c r="J5" s="754" t="s">
        <v>94</v>
      </c>
      <c r="K5" s="755" t="s">
        <v>17</v>
      </c>
      <c r="L5" s="756"/>
      <c r="M5" s="756"/>
      <c r="N5" s="754" t="s">
        <v>94</v>
      </c>
      <c r="O5" s="755" t="s">
        <v>17</v>
      </c>
      <c r="P5" s="757"/>
      <c r="Q5" s="749"/>
    </row>
    <row r="6" spans="1:17" ht="14.4" customHeight="1" x14ac:dyDescent="0.3">
      <c r="A6" s="702" t="s">
        <v>507</v>
      </c>
      <c r="B6" s="703" t="s">
        <v>1542</v>
      </c>
      <c r="C6" s="703" t="s">
        <v>1452</v>
      </c>
      <c r="D6" s="703" t="s">
        <v>1582</v>
      </c>
      <c r="E6" s="703" t="s">
        <v>1504</v>
      </c>
      <c r="F6" s="235">
        <v>1</v>
      </c>
      <c r="G6" s="235">
        <v>275</v>
      </c>
      <c r="H6" s="235">
        <v>1</v>
      </c>
      <c r="I6" s="235">
        <v>275</v>
      </c>
      <c r="J6" s="235"/>
      <c r="K6" s="235"/>
      <c r="L6" s="235"/>
      <c r="M6" s="235"/>
      <c r="N6" s="235"/>
      <c r="O6" s="235"/>
      <c r="P6" s="708"/>
      <c r="Q6" s="718"/>
    </row>
    <row r="7" spans="1:17" ht="14.4" customHeight="1" x14ac:dyDescent="0.3">
      <c r="A7" s="686" t="s">
        <v>507</v>
      </c>
      <c r="B7" s="677" t="s">
        <v>1542</v>
      </c>
      <c r="C7" s="677" t="s">
        <v>1452</v>
      </c>
      <c r="D7" s="677" t="s">
        <v>1583</v>
      </c>
      <c r="E7" s="677" t="s">
        <v>1514</v>
      </c>
      <c r="F7" s="238">
        <v>1</v>
      </c>
      <c r="G7" s="238">
        <v>75</v>
      </c>
      <c r="H7" s="238">
        <v>1</v>
      </c>
      <c r="I7" s="238">
        <v>75</v>
      </c>
      <c r="J7" s="238"/>
      <c r="K7" s="238"/>
      <c r="L7" s="238"/>
      <c r="M7" s="238"/>
      <c r="N7" s="238"/>
      <c r="O7" s="238"/>
      <c r="P7" s="688"/>
      <c r="Q7" s="719"/>
    </row>
    <row r="8" spans="1:17" ht="14.4" customHeight="1" x14ac:dyDescent="0.3">
      <c r="A8" s="686" t="s">
        <v>507</v>
      </c>
      <c r="B8" s="677" t="s">
        <v>1584</v>
      </c>
      <c r="C8" s="677" t="s">
        <v>1452</v>
      </c>
      <c r="D8" s="677" t="s">
        <v>1585</v>
      </c>
      <c r="E8" s="677" t="s">
        <v>1586</v>
      </c>
      <c r="F8" s="238">
        <v>4</v>
      </c>
      <c r="G8" s="238">
        <v>684</v>
      </c>
      <c r="H8" s="238">
        <v>1</v>
      </c>
      <c r="I8" s="238">
        <v>171</v>
      </c>
      <c r="J8" s="238"/>
      <c r="K8" s="238"/>
      <c r="L8" s="238"/>
      <c r="M8" s="238"/>
      <c r="N8" s="238"/>
      <c r="O8" s="238"/>
      <c r="P8" s="688"/>
      <c r="Q8" s="719"/>
    </row>
    <row r="9" spans="1:17" ht="14.4" customHeight="1" x14ac:dyDescent="0.3">
      <c r="A9" s="686" t="s">
        <v>507</v>
      </c>
      <c r="B9" s="677" t="s">
        <v>1584</v>
      </c>
      <c r="C9" s="677" t="s">
        <v>1452</v>
      </c>
      <c r="D9" s="677" t="s">
        <v>1587</v>
      </c>
      <c r="E9" s="677" t="s">
        <v>1588</v>
      </c>
      <c r="F9" s="238">
        <v>1</v>
      </c>
      <c r="G9" s="238">
        <v>23732</v>
      </c>
      <c r="H9" s="238">
        <v>1</v>
      </c>
      <c r="I9" s="238">
        <v>23732</v>
      </c>
      <c r="J9" s="238"/>
      <c r="K9" s="238"/>
      <c r="L9" s="238"/>
      <c r="M9" s="238"/>
      <c r="N9" s="238"/>
      <c r="O9" s="238"/>
      <c r="P9" s="688"/>
      <c r="Q9" s="719"/>
    </row>
    <row r="10" spans="1:17" ht="14.4" customHeight="1" x14ac:dyDescent="0.3">
      <c r="A10" s="686" t="s">
        <v>507</v>
      </c>
      <c r="B10" s="677" t="s">
        <v>1584</v>
      </c>
      <c r="C10" s="677" t="s">
        <v>1452</v>
      </c>
      <c r="D10" s="677" t="s">
        <v>1589</v>
      </c>
      <c r="E10" s="677" t="s">
        <v>1590</v>
      </c>
      <c r="F10" s="238">
        <v>1</v>
      </c>
      <c r="G10" s="238">
        <v>1525</v>
      </c>
      <c r="H10" s="238">
        <v>1</v>
      </c>
      <c r="I10" s="238">
        <v>1525</v>
      </c>
      <c r="J10" s="238"/>
      <c r="K10" s="238"/>
      <c r="L10" s="238"/>
      <c r="M10" s="238"/>
      <c r="N10" s="238"/>
      <c r="O10" s="238"/>
      <c r="P10" s="688"/>
      <c r="Q10" s="719"/>
    </row>
    <row r="11" spans="1:17" ht="14.4" customHeight="1" x14ac:dyDescent="0.3">
      <c r="A11" s="686" t="s">
        <v>507</v>
      </c>
      <c r="B11" s="677" t="s">
        <v>1584</v>
      </c>
      <c r="C11" s="677" t="s">
        <v>1452</v>
      </c>
      <c r="D11" s="677" t="s">
        <v>1591</v>
      </c>
      <c r="E11" s="677" t="s">
        <v>1592</v>
      </c>
      <c r="F11" s="238">
        <v>1</v>
      </c>
      <c r="G11" s="238">
        <v>1647</v>
      </c>
      <c r="H11" s="238">
        <v>1</v>
      </c>
      <c r="I11" s="238">
        <v>1647</v>
      </c>
      <c r="J11" s="238"/>
      <c r="K11" s="238"/>
      <c r="L11" s="238"/>
      <c r="M11" s="238"/>
      <c r="N11" s="238"/>
      <c r="O11" s="238"/>
      <c r="P11" s="688"/>
      <c r="Q11" s="719"/>
    </row>
    <row r="12" spans="1:17" ht="14.4" customHeight="1" x14ac:dyDescent="0.3">
      <c r="A12" s="686" t="s">
        <v>507</v>
      </c>
      <c r="B12" s="677" t="s">
        <v>1584</v>
      </c>
      <c r="C12" s="677" t="s">
        <v>1452</v>
      </c>
      <c r="D12" s="677" t="s">
        <v>1593</v>
      </c>
      <c r="E12" s="677" t="s">
        <v>1594</v>
      </c>
      <c r="F12" s="238">
        <v>2</v>
      </c>
      <c r="G12" s="238">
        <v>3512</v>
      </c>
      <c r="H12" s="238">
        <v>1</v>
      </c>
      <c r="I12" s="238">
        <v>1756</v>
      </c>
      <c r="J12" s="238"/>
      <c r="K12" s="238"/>
      <c r="L12" s="238"/>
      <c r="M12" s="238"/>
      <c r="N12" s="238"/>
      <c r="O12" s="238"/>
      <c r="P12" s="688"/>
      <c r="Q12" s="719"/>
    </row>
    <row r="13" spans="1:17" ht="14.4" customHeight="1" x14ac:dyDescent="0.3">
      <c r="A13" s="686" t="s">
        <v>507</v>
      </c>
      <c r="B13" s="677" t="s">
        <v>1584</v>
      </c>
      <c r="C13" s="677" t="s">
        <v>1452</v>
      </c>
      <c r="D13" s="677" t="s">
        <v>1595</v>
      </c>
      <c r="E13" s="677" t="s">
        <v>1596</v>
      </c>
      <c r="F13" s="238">
        <v>1</v>
      </c>
      <c r="G13" s="238">
        <v>298</v>
      </c>
      <c r="H13" s="238">
        <v>1</v>
      </c>
      <c r="I13" s="238">
        <v>298</v>
      </c>
      <c r="J13" s="238"/>
      <c r="K13" s="238"/>
      <c r="L13" s="238"/>
      <c r="M13" s="238"/>
      <c r="N13" s="238"/>
      <c r="O13" s="238"/>
      <c r="P13" s="688"/>
      <c r="Q13" s="719"/>
    </row>
    <row r="14" spans="1:17" ht="14.4" customHeight="1" x14ac:dyDescent="0.3">
      <c r="A14" s="686" t="s">
        <v>507</v>
      </c>
      <c r="B14" s="677" t="s">
        <v>1597</v>
      </c>
      <c r="C14" s="677" t="s">
        <v>1543</v>
      </c>
      <c r="D14" s="677" t="s">
        <v>1598</v>
      </c>
      <c r="E14" s="677" t="s">
        <v>932</v>
      </c>
      <c r="F14" s="238">
        <v>59</v>
      </c>
      <c r="G14" s="238">
        <v>8065.47</v>
      </c>
      <c r="H14" s="238">
        <v>1</v>
      </c>
      <c r="I14" s="238">
        <v>136.70288135593222</v>
      </c>
      <c r="J14" s="238">
        <v>20</v>
      </c>
      <c r="K14" s="238">
        <v>2763.64</v>
      </c>
      <c r="L14" s="238">
        <v>0.3426508312596786</v>
      </c>
      <c r="M14" s="238">
        <v>138.18199999999999</v>
      </c>
      <c r="N14" s="238">
        <v>70</v>
      </c>
      <c r="O14" s="238">
        <v>8257.2000000000007</v>
      </c>
      <c r="P14" s="688">
        <v>1.0237717082823443</v>
      </c>
      <c r="Q14" s="719">
        <v>117.96000000000001</v>
      </c>
    </row>
    <row r="15" spans="1:17" ht="14.4" customHeight="1" x14ac:dyDescent="0.3">
      <c r="A15" s="686" t="s">
        <v>507</v>
      </c>
      <c r="B15" s="677" t="s">
        <v>1597</v>
      </c>
      <c r="C15" s="677" t="s">
        <v>1543</v>
      </c>
      <c r="D15" s="677" t="s">
        <v>1599</v>
      </c>
      <c r="E15" s="677" t="s">
        <v>932</v>
      </c>
      <c r="F15" s="238"/>
      <c r="G15" s="238"/>
      <c r="H15" s="238"/>
      <c r="I15" s="238"/>
      <c r="J15" s="238"/>
      <c r="K15" s="238"/>
      <c r="L15" s="238"/>
      <c r="M15" s="238"/>
      <c r="N15" s="238">
        <v>3</v>
      </c>
      <c r="O15" s="238">
        <v>238.77</v>
      </c>
      <c r="P15" s="688"/>
      <c r="Q15" s="719">
        <v>79.59</v>
      </c>
    </row>
    <row r="16" spans="1:17" ht="14.4" customHeight="1" x14ac:dyDescent="0.3">
      <c r="A16" s="686" t="s">
        <v>507</v>
      </c>
      <c r="B16" s="677" t="s">
        <v>1597</v>
      </c>
      <c r="C16" s="677" t="s">
        <v>1543</v>
      </c>
      <c r="D16" s="677" t="s">
        <v>1600</v>
      </c>
      <c r="E16" s="677" t="s">
        <v>1601</v>
      </c>
      <c r="F16" s="238">
        <v>5</v>
      </c>
      <c r="G16" s="238">
        <v>529.62</v>
      </c>
      <c r="H16" s="238">
        <v>1</v>
      </c>
      <c r="I16" s="238">
        <v>105.92400000000001</v>
      </c>
      <c r="J16" s="238"/>
      <c r="K16" s="238"/>
      <c r="L16" s="238"/>
      <c r="M16" s="238"/>
      <c r="N16" s="238"/>
      <c r="O16" s="238"/>
      <c r="P16" s="688"/>
      <c r="Q16" s="719"/>
    </row>
    <row r="17" spans="1:17" ht="14.4" customHeight="1" x14ac:dyDescent="0.3">
      <c r="A17" s="686" t="s">
        <v>507</v>
      </c>
      <c r="B17" s="677" t="s">
        <v>1597</v>
      </c>
      <c r="C17" s="677" t="s">
        <v>1543</v>
      </c>
      <c r="D17" s="677" t="s">
        <v>1602</v>
      </c>
      <c r="E17" s="677" t="s">
        <v>1603</v>
      </c>
      <c r="F17" s="238"/>
      <c r="G17" s="238"/>
      <c r="H17" s="238"/>
      <c r="I17" s="238"/>
      <c r="J17" s="238">
        <v>36</v>
      </c>
      <c r="K17" s="238">
        <v>2070.36</v>
      </c>
      <c r="L17" s="238"/>
      <c r="M17" s="238">
        <v>57.510000000000005</v>
      </c>
      <c r="N17" s="238"/>
      <c r="O17" s="238"/>
      <c r="P17" s="688"/>
      <c r="Q17" s="719"/>
    </row>
    <row r="18" spans="1:17" ht="14.4" customHeight="1" x14ac:dyDescent="0.3">
      <c r="A18" s="686" t="s">
        <v>507</v>
      </c>
      <c r="B18" s="677" t="s">
        <v>1597</v>
      </c>
      <c r="C18" s="677" t="s">
        <v>1543</v>
      </c>
      <c r="D18" s="677" t="s">
        <v>1604</v>
      </c>
      <c r="E18" s="677" t="s">
        <v>927</v>
      </c>
      <c r="F18" s="238">
        <v>14.8</v>
      </c>
      <c r="G18" s="238">
        <v>8739.23</v>
      </c>
      <c r="H18" s="238">
        <v>1</v>
      </c>
      <c r="I18" s="238">
        <v>590.48851351351345</v>
      </c>
      <c r="J18" s="238">
        <v>24.599999999999998</v>
      </c>
      <c r="K18" s="238">
        <v>9293.01</v>
      </c>
      <c r="L18" s="238">
        <v>1.0633671387524988</v>
      </c>
      <c r="M18" s="238">
        <v>377.76463414634151</v>
      </c>
      <c r="N18" s="238">
        <v>30</v>
      </c>
      <c r="O18" s="238">
        <v>11392.5</v>
      </c>
      <c r="P18" s="688">
        <v>1.3036045509730263</v>
      </c>
      <c r="Q18" s="719">
        <v>379.75</v>
      </c>
    </row>
    <row r="19" spans="1:17" ht="14.4" customHeight="1" x14ac:dyDescent="0.3">
      <c r="A19" s="686" t="s">
        <v>507</v>
      </c>
      <c r="B19" s="677" t="s">
        <v>1597</v>
      </c>
      <c r="C19" s="677" t="s">
        <v>1543</v>
      </c>
      <c r="D19" s="677" t="s">
        <v>1605</v>
      </c>
      <c r="E19" s="677" t="s">
        <v>1606</v>
      </c>
      <c r="F19" s="238">
        <v>6</v>
      </c>
      <c r="G19" s="238">
        <v>8670</v>
      </c>
      <c r="H19" s="238">
        <v>1</v>
      </c>
      <c r="I19" s="238">
        <v>1445</v>
      </c>
      <c r="J19" s="238"/>
      <c r="K19" s="238"/>
      <c r="L19" s="238"/>
      <c r="M19" s="238"/>
      <c r="N19" s="238"/>
      <c r="O19" s="238"/>
      <c r="P19" s="688"/>
      <c r="Q19" s="719"/>
    </row>
    <row r="20" spans="1:17" ht="14.4" customHeight="1" x14ac:dyDescent="0.3">
      <c r="A20" s="686" t="s">
        <v>507</v>
      </c>
      <c r="B20" s="677" t="s">
        <v>1597</v>
      </c>
      <c r="C20" s="677" t="s">
        <v>1543</v>
      </c>
      <c r="D20" s="677" t="s">
        <v>1607</v>
      </c>
      <c r="E20" s="677" t="s">
        <v>1608</v>
      </c>
      <c r="F20" s="238"/>
      <c r="G20" s="238"/>
      <c r="H20" s="238"/>
      <c r="I20" s="238"/>
      <c r="J20" s="238">
        <v>3</v>
      </c>
      <c r="K20" s="238">
        <v>122.85</v>
      </c>
      <c r="L20" s="238"/>
      <c r="M20" s="238">
        <v>40.949999999999996</v>
      </c>
      <c r="N20" s="238"/>
      <c r="O20" s="238"/>
      <c r="P20" s="688"/>
      <c r="Q20" s="719"/>
    </row>
    <row r="21" spans="1:17" ht="14.4" customHeight="1" x14ac:dyDescent="0.3">
      <c r="A21" s="686" t="s">
        <v>507</v>
      </c>
      <c r="B21" s="677" t="s">
        <v>1597</v>
      </c>
      <c r="C21" s="677" t="s">
        <v>1543</v>
      </c>
      <c r="D21" s="677" t="s">
        <v>1609</v>
      </c>
      <c r="E21" s="677" t="s">
        <v>1610</v>
      </c>
      <c r="F21" s="238"/>
      <c r="G21" s="238"/>
      <c r="H21" s="238"/>
      <c r="I21" s="238"/>
      <c r="J21" s="238"/>
      <c r="K21" s="238"/>
      <c r="L21" s="238"/>
      <c r="M21" s="238"/>
      <c r="N21" s="238">
        <v>1</v>
      </c>
      <c r="O21" s="238">
        <v>4445.99</v>
      </c>
      <c r="P21" s="688"/>
      <c r="Q21" s="719">
        <v>4445.99</v>
      </c>
    </row>
    <row r="22" spans="1:17" ht="14.4" customHeight="1" x14ac:dyDescent="0.3">
      <c r="A22" s="686" t="s">
        <v>507</v>
      </c>
      <c r="B22" s="677" t="s">
        <v>1597</v>
      </c>
      <c r="C22" s="677" t="s">
        <v>1611</v>
      </c>
      <c r="D22" s="677" t="s">
        <v>1612</v>
      </c>
      <c r="E22" s="677" t="s">
        <v>1613</v>
      </c>
      <c r="F22" s="238">
        <v>1</v>
      </c>
      <c r="G22" s="238">
        <v>1782</v>
      </c>
      <c r="H22" s="238">
        <v>1</v>
      </c>
      <c r="I22" s="238">
        <v>1782</v>
      </c>
      <c r="J22" s="238">
        <v>6</v>
      </c>
      <c r="K22" s="238">
        <v>9660</v>
      </c>
      <c r="L22" s="238">
        <v>5.4208754208754213</v>
      </c>
      <c r="M22" s="238">
        <v>1610</v>
      </c>
      <c r="N22" s="238">
        <v>2</v>
      </c>
      <c r="O22" s="238">
        <v>3626</v>
      </c>
      <c r="P22" s="688">
        <v>2.0347923681257014</v>
      </c>
      <c r="Q22" s="719">
        <v>1813</v>
      </c>
    </row>
    <row r="23" spans="1:17" ht="14.4" customHeight="1" x14ac:dyDescent="0.3">
      <c r="A23" s="686" t="s">
        <v>507</v>
      </c>
      <c r="B23" s="677" t="s">
        <v>1597</v>
      </c>
      <c r="C23" s="677" t="s">
        <v>1611</v>
      </c>
      <c r="D23" s="677" t="s">
        <v>1614</v>
      </c>
      <c r="E23" s="677" t="s">
        <v>1615</v>
      </c>
      <c r="F23" s="238">
        <v>1</v>
      </c>
      <c r="G23" s="238">
        <v>9039.01</v>
      </c>
      <c r="H23" s="238">
        <v>1</v>
      </c>
      <c r="I23" s="238">
        <v>9039.01</v>
      </c>
      <c r="J23" s="238"/>
      <c r="K23" s="238"/>
      <c r="L23" s="238"/>
      <c r="M23" s="238"/>
      <c r="N23" s="238"/>
      <c r="O23" s="238"/>
      <c r="P23" s="688"/>
      <c r="Q23" s="719"/>
    </row>
    <row r="24" spans="1:17" ht="14.4" customHeight="1" x14ac:dyDescent="0.3">
      <c r="A24" s="686" t="s">
        <v>507</v>
      </c>
      <c r="B24" s="677" t="s">
        <v>1597</v>
      </c>
      <c r="C24" s="677" t="s">
        <v>1611</v>
      </c>
      <c r="D24" s="677" t="s">
        <v>1616</v>
      </c>
      <c r="E24" s="677" t="s">
        <v>1617</v>
      </c>
      <c r="F24" s="238">
        <v>1</v>
      </c>
      <c r="G24" s="238">
        <v>856</v>
      </c>
      <c r="H24" s="238">
        <v>1</v>
      </c>
      <c r="I24" s="238">
        <v>856</v>
      </c>
      <c r="J24" s="238"/>
      <c r="K24" s="238"/>
      <c r="L24" s="238"/>
      <c r="M24" s="238"/>
      <c r="N24" s="238">
        <v>2</v>
      </c>
      <c r="O24" s="238">
        <v>1851.14</v>
      </c>
      <c r="P24" s="688">
        <v>2.1625467289719627</v>
      </c>
      <c r="Q24" s="719">
        <v>925.57</v>
      </c>
    </row>
    <row r="25" spans="1:17" ht="14.4" customHeight="1" x14ac:dyDescent="0.3">
      <c r="A25" s="686" t="s">
        <v>507</v>
      </c>
      <c r="B25" s="677" t="s">
        <v>1597</v>
      </c>
      <c r="C25" s="677" t="s">
        <v>1618</v>
      </c>
      <c r="D25" s="677" t="s">
        <v>1619</v>
      </c>
      <c r="E25" s="677" t="s">
        <v>1620</v>
      </c>
      <c r="F25" s="238">
        <v>1</v>
      </c>
      <c r="G25" s="238">
        <v>1532.39</v>
      </c>
      <c r="H25" s="238">
        <v>1</v>
      </c>
      <c r="I25" s="238">
        <v>1532.39</v>
      </c>
      <c r="J25" s="238"/>
      <c r="K25" s="238"/>
      <c r="L25" s="238"/>
      <c r="M25" s="238"/>
      <c r="N25" s="238"/>
      <c r="O25" s="238"/>
      <c r="P25" s="688"/>
      <c r="Q25" s="719"/>
    </row>
    <row r="26" spans="1:17" ht="14.4" customHeight="1" x14ac:dyDescent="0.3">
      <c r="A26" s="686" t="s">
        <v>507</v>
      </c>
      <c r="B26" s="677" t="s">
        <v>1597</v>
      </c>
      <c r="C26" s="677" t="s">
        <v>1618</v>
      </c>
      <c r="D26" s="677" t="s">
        <v>1621</v>
      </c>
      <c r="E26" s="677" t="s">
        <v>1620</v>
      </c>
      <c r="F26" s="238">
        <v>1</v>
      </c>
      <c r="G26" s="238">
        <v>1554.96</v>
      </c>
      <c r="H26" s="238">
        <v>1</v>
      </c>
      <c r="I26" s="238">
        <v>1554.96</v>
      </c>
      <c r="J26" s="238"/>
      <c r="K26" s="238"/>
      <c r="L26" s="238"/>
      <c r="M26" s="238"/>
      <c r="N26" s="238"/>
      <c r="O26" s="238"/>
      <c r="P26" s="688"/>
      <c r="Q26" s="719"/>
    </row>
    <row r="27" spans="1:17" ht="14.4" customHeight="1" x14ac:dyDescent="0.3">
      <c r="A27" s="686" t="s">
        <v>507</v>
      </c>
      <c r="B27" s="677" t="s">
        <v>1597</v>
      </c>
      <c r="C27" s="677" t="s">
        <v>1618</v>
      </c>
      <c r="D27" s="677" t="s">
        <v>1622</v>
      </c>
      <c r="E27" s="677" t="s">
        <v>1623</v>
      </c>
      <c r="F27" s="238">
        <v>7</v>
      </c>
      <c r="G27" s="238">
        <v>3396.61</v>
      </c>
      <c r="H27" s="238">
        <v>1</v>
      </c>
      <c r="I27" s="238">
        <v>485.23</v>
      </c>
      <c r="J27" s="238"/>
      <c r="K27" s="238"/>
      <c r="L27" s="238"/>
      <c r="M27" s="238"/>
      <c r="N27" s="238"/>
      <c r="O27" s="238"/>
      <c r="P27" s="688"/>
      <c r="Q27" s="719"/>
    </row>
    <row r="28" spans="1:17" ht="14.4" customHeight="1" x14ac:dyDescent="0.3">
      <c r="A28" s="686" t="s">
        <v>507</v>
      </c>
      <c r="B28" s="677" t="s">
        <v>1597</v>
      </c>
      <c r="C28" s="677" t="s">
        <v>1618</v>
      </c>
      <c r="D28" s="677" t="s">
        <v>1624</v>
      </c>
      <c r="E28" s="677" t="s">
        <v>1625</v>
      </c>
      <c r="F28" s="238"/>
      <c r="G28" s="238"/>
      <c r="H28" s="238"/>
      <c r="I28" s="238"/>
      <c r="J28" s="238">
        <v>3</v>
      </c>
      <c r="K28" s="238">
        <v>13854</v>
      </c>
      <c r="L28" s="238"/>
      <c r="M28" s="238">
        <v>4618</v>
      </c>
      <c r="N28" s="238">
        <v>2</v>
      </c>
      <c r="O28" s="238">
        <v>9236</v>
      </c>
      <c r="P28" s="688"/>
      <c r="Q28" s="719">
        <v>4618</v>
      </c>
    </row>
    <row r="29" spans="1:17" ht="14.4" customHeight="1" x14ac:dyDescent="0.3">
      <c r="A29" s="686" t="s">
        <v>507</v>
      </c>
      <c r="B29" s="677" t="s">
        <v>1597</v>
      </c>
      <c r="C29" s="677" t="s">
        <v>1618</v>
      </c>
      <c r="D29" s="677" t="s">
        <v>1626</v>
      </c>
      <c r="E29" s="677" t="s">
        <v>1627</v>
      </c>
      <c r="F29" s="238">
        <v>1</v>
      </c>
      <c r="G29" s="238">
        <v>135.69</v>
      </c>
      <c r="H29" s="238">
        <v>1</v>
      </c>
      <c r="I29" s="238">
        <v>135.69</v>
      </c>
      <c r="J29" s="238"/>
      <c r="K29" s="238"/>
      <c r="L29" s="238"/>
      <c r="M29" s="238"/>
      <c r="N29" s="238">
        <v>1</v>
      </c>
      <c r="O29" s="238">
        <v>135.69</v>
      </c>
      <c r="P29" s="688">
        <v>1</v>
      </c>
      <c r="Q29" s="719">
        <v>135.69</v>
      </c>
    </row>
    <row r="30" spans="1:17" ht="14.4" customHeight="1" x14ac:dyDescent="0.3">
      <c r="A30" s="686" t="s">
        <v>507</v>
      </c>
      <c r="B30" s="677" t="s">
        <v>1597</v>
      </c>
      <c r="C30" s="677" t="s">
        <v>1618</v>
      </c>
      <c r="D30" s="677" t="s">
        <v>1628</v>
      </c>
      <c r="E30" s="677" t="s">
        <v>1627</v>
      </c>
      <c r="F30" s="238">
        <v>5</v>
      </c>
      <c r="G30" s="238">
        <v>851.5</v>
      </c>
      <c r="H30" s="238">
        <v>1</v>
      </c>
      <c r="I30" s="238">
        <v>170.3</v>
      </c>
      <c r="J30" s="238">
        <v>2</v>
      </c>
      <c r="K30" s="238">
        <v>340.6</v>
      </c>
      <c r="L30" s="238">
        <v>0.4</v>
      </c>
      <c r="M30" s="238">
        <v>170.3</v>
      </c>
      <c r="N30" s="238">
        <v>3</v>
      </c>
      <c r="O30" s="238">
        <v>510.9</v>
      </c>
      <c r="P30" s="688">
        <v>0.6</v>
      </c>
      <c r="Q30" s="719">
        <v>170.29999999999998</v>
      </c>
    </row>
    <row r="31" spans="1:17" ht="14.4" customHeight="1" x14ac:dyDescent="0.3">
      <c r="A31" s="686" t="s">
        <v>507</v>
      </c>
      <c r="B31" s="677" t="s">
        <v>1597</v>
      </c>
      <c r="C31" s="677" t="s">
        <v>1618</v>
      </c>
      <c r="D31" s="677" t="s">
        <v>1629</v>
      </c>
      <c r="E31" s="677" t="s">
        <v>1630</v>
      </c>
      <c r="F31" s="238">
        <v>1</v>
      </c>
      <c r="G31" s="238">
        <v>58.6</v>
      </c>
      <c r="H31" s="238">
        <v>1</v>
      </c>
      <c r="I31" s="238">
        <v>58.6</v>
      </c>
      <c r="J31" s="238"/>
      <c r="K31" s="238"/>
      <c r="L31" s="238"/>
      <c r="M31" s="238"/>
      <c r="N31" s="238"/>
      <c r="O31" s="238"/>
      <c r="P31" s="688"/>
      <c r="Q31" s="719"/>
    </row>
    <row r="32" spans="1:17" ht="14.4" customHeight="1" x14ac:dyDescent="0.3">
      <c r="A32" s="686" t="s">
        <v>507</v>
      </c>
      <c r="B32" s="677" t="s">
        <v>1597</v>
      </c>
      <c r="C32" s="677" t="s">
        <v>1618</v>
      </c>
      <c r="D32" s="677" t="s">
        <v>1631</v>
      </c>
      <c r="E32" s="677" t="s">
        <v>1632</v>
      </c>
      <c r="F32" s="238">
        <v>5</v>
      </c>
      <c r="G32" s="238">
        <v>755</v>
      </c>
      <c r="H32" s="238">
        <v>1</v>
      </c>
      <c r="I32" s="238">
        <v>151</v>
      </c>
      <c r="J32" s="238">
        <v>2</v>
      </c>
      <c r="K32" s="238">
        <v>312.98</v>
      </c>
      <c r="L32" s="238">
        <v>0.41454304635761591</v>
      </c>
      <c r="M32" s="238">
        <v>156.49</v>
      </c>
      <c r="N32" s="238"/>
      <c r="O32" s="238"/>
      <c r="P32" s="688"/>
      <c r="Q32" s="719"/>
    </row>
    <row r="33" spans="1:17" ht="14.4" customHeight="1" x14ac:dyDescent="0.3">
      <c r="A33" s="686" t="s">
        <v>507</v>
      </c>
      <c r="B33" s="677" t="s">
        <v>1597</v>
      </c>
      <c r="C33" s="677" t="s">
        <v>1618</v>
      </c>
      <c r="D33" s="677" t="s">
        <v>1633</v>
      </c>
      <c r="E33" s="677" t="s">
        <v>1632</v>
      </c>
      <c r="F33" s="238">
        <v>1</v>
      </c>
      <c r="G33" s="238">
        <v>335</v>
      </c>
      <c r="H33" s="238">
        <v>1</v>
      </c>
      <c r="I33" s="238">
        <v>335</v>
      </c>
      <c r="J33" s="238"/>
      <c r="K33" s="238"/>
      <c r="L33" s="238"/>
      <c r="M33" s="238"/>
      <c r="N33" s="238"/>
      <c r="O33" s="238"/>
      <c r="P33" s="688"/>
      <c r="Q33" s="719"/>
    </row>
    <row r="34" spans="1:17" ht="14.4" customHeight="1" x14ac:dyDescent="0.3">
      <c r="A34" s="686" t="s">
        <v>507</v>
      </c>
      <c r="B34" s="677" t="s">
        <v>1597</v>
      </c>
      <c r="C34" s="677" t="s">
        <v>1618</v>
      </c>
      <c r="D34" s="677" t="s">
        <v>1634</v>
      </c>
      <c r="E34" s="677" t="s">
        <v>1635</v>
      </c>
      <c r="F34" s="238">
        <v>101</v>
      </c>
      <c r="G34" s="238">
        <v>15251</v>
      </c>
      <c r="H34" s="238">
        <v>1</v>
      </c>
      <c r="I34" s="238">
        <v>151</v>
      </c>
      <c r="J34" s="238">
        <v>26</v>
      </c>
      <c r="K34" s="238">
        <v>4068.7400000000002</v>
      </c>
      <c r="L34" s="238">
        <v>0.26678512884401023</v>
      </c>
      <c r="M34" s="238">
        <v>156.49</v>
      </c>
      <c r="N34" s="238">
        <v>17</v>
      </c>
      <c r="O34" s="238">
        <v>2660.33</v>
      </c>
      <c r="P34" s="688">
        <v>0.17443643039800669</v>
      </c>
      <c r="Q34" s="719">
        <v>156.49</v>
      </c>
    </row>
    <row r="35" spans="1:17" ht="14.4" customHeight="1" x14ac:dyDescent="0.3">
      <c r="A35" s="686" t="s">
        <v>507</v>
      </c>
      <c r="B35" s="677" t="s">
        <v>1597</v>
      </c>
      <c r="C35" s="677" t="s">
        <v>1618</v>
      </c>
      <c r="D35" s="677" t="s">
        <v>1636</v>
      </c>
      <c r="E35" s="677" t="s">
        <v>1635</v>
      </c>
      <c r="F35" s="238">
        <v>68</v>
      </c>
      <c r="G35" s="238">
        <v>11288</v>
      </c>
      <c r="H35" s="238">
        <v>1</v>
      </c>
      <c r="I35" s="238">
        <v>166</v>
      </c>
      <c r="J35" s="238">
        <v>10</v>
      </c>
      <c r="K35" s="238">
        <v>1720.3999999999999</v>
      </c>
      <c r="L35" s="238">
        <v>0.15240963855421685</v>
      </c>
      <c r="M35" s="238">
        <v>172.04</v>
      </c>
      <c r="N35" s="238">
        <v>54</v>
      </c>
      <c r="O35" s="238">
        <v>9290.16</v>
      </c>
      <c r="P35" s="688">
        <v>0.82301204819277107</v>
      </c>
      <c r="Q35" s="719">
        <v>172.04</v>
      </c>
    </row>
    <row r="36" spans="1:17" ht="14.4" customHeight="1" x14ac:dyDescent="0.3">
      <c r="A36" s="686" t="s">
        <v>507</v>
      </c>
      <c r="B36" s="677" t="s">
        <v>1597</v>
      </c>
      <c r="C36" s="677" t="s">
        <v>1618</v>
      </c>
      <c r="D36" s="677" t="s">
        <v>1637</v>
      </c>
      <c r="E36" s="677" t="s">
        <v>1635</v>
      </c>
      <c r="F36" s="238"/>
      <c r="G36" s="238"/>
      <c r="H36" s="238"/>
      <c r="I36" s="238"/>
      <c r="J36" s="238"/>
      <c r="K36" s="238"/>
      <c r="L36" s="238"/>
      <c r="M36" s="238"/>
      <c r="N36" s="238">
        <v>14</v>
      </c>
      <c r="O36" s="238">
        <v>2756.74</v>
      </c>
      <c r="P36" s="688"/>
      <c r="Q36" s="719">
        <v>196.91</v>
      </c>
    </row>
    <row r="37" spans="1:17" ht="14.4" customHeight="1" x14ac:dyDescent="0.3">
      <c r="A37" s="686" t="s">
        <v>507</v>
      </c>
      <c r="B37" s="677" t="s">
        <v>1597</v>
      </c>
      <c r="C37" s="677" t="s">
        <v>1618</v>
      </c>
      <c r="D37" s="677" t="s">
        <v>1638</v>
      </c>
      <c r="E37" s="677" t="s">
        <v>1635</v>
      </c>
      <c r="F37" s="238">
        <v>2</v>
      </c>
      <c r="G37" s="238">
        <v>604</v>
      </c>
      <c r="H37" s="238">
        <v>1</v>
      </c>
      <c r="I37" s="238">
        <v>302</v>
      </c>
      <c r="J37" s="238"/>
      <c r="K37" s="238"/>
      <c r="L37" s="238"/>
      <c r="M37" s="238"/>
      <c r="N37" s="238"/>
      <c r="O37" s="238"/>
      <c r="P37" s="688"/>
      <c r="Q37" s="719"/>
    </row>
    <row r="38" spans="1:17" ht="14.4" customHeight="1" x14ac:dyDescent="0.3">
      <c r="A38" s="686" t="s">
        <v>507</v>
      </c>
      <c r="B38" s="677" t="s">
        <v>1597</v>
      </c>
      <c r="C38" s="677" t="s">
        <v>1618</v>
      </c>
      <c r="D38" s="677" t="s">
        <v>1639</v>
      </c>
      <c r="E38" s="677" t="s">
        <v>1635</v>
      </c>
      <c r="F38" s="238">
        <v>4</v>
      </c>
      <c r="G38" s="238">
        <v>1208</v>
      </c>
      <c r="H38" s="238">
        <v>1</v>
      </c>
      <c r="I38" s="238">
        <v>302</v>
      </c>
      <c r="J38" s="238">
        <v>3</v>
      </c>
      <c r="K38" s="238">
        <v>938.94</v>
      </c>
      <c r="L38" s="238">
        <v>0.77726821192052986</v>
      </c>
      <c r="M38" s="238">
        <v>312.98</v>
      </c>
      <c r="N38" s="238"/>
      <c r="O38" s="238"/>
      <c r="P38" s="688"/>
      <c r="Q38" s="719"/>
    </row>
    <row r="39" spans="1:17" ht="14.4" customHeight="1" x14ac:dyDescent="0.3">
      <c r="A39" s="686" t="s">
        <v>507</v>
      </c>
      <c r="B39" s="677" t="s">
        <v>1597</v>
      </c>
      <c r="C39" s="677" t="s">
        <v>1618</v>
      </c>
      <c r="D39" s="677" t="s">
        <v>1640</v>
      </c>
      <c r="E39" s="677" t="s">
        <v>1635</v>
      </c>
      <c r="F39" s="238">
        <v>20</v>
      </c>
      <c r="G39" s="238">
        <v>7240</v>
      </c>
      <c r="H39" s="238">
        <v>1</v>
      </c>
      <c r="I39" s="238">
        <v>362</v>
      </c>
      <c r="J39" s="238">
        <v>4</v>
      </c>
      <c r="K39" s="238">
        <v>1500.64</v>
      </c>
      <c r="L39" s="238">
        <v>0.20727071823204421</v>
      </c>
      <c r="M39" s="238">
        <v>375.16</v>
      </c>
      <c r="N39" s="238">
        <v>9</v>
      </c>
      <c r="O39" s="238">
        <v>3376.44</v>
      </c>
      <c r="P39" s="688">
        <v>0.46635911602209945</v>
      </c>
      <c r="Q39" s="719">
        <v>375.16</v>
      </c>
    </row>
    <row r="40" spans="1:17" ht="14.4" customHeight="1" x14ac:dyDescent="0.3">
      <c r="A40" s="686" t="s">
        <v>507</v>
      </c>
      <c r="B40" s="677" t="s">
        <v>1597</v>
      </c>
      <c r="C40" s="677" t="s">
        <v>1618</v>
      </c>
      <c r="D40" s="677" t="s">
        <v>1641</v>
      </c>
      <c r="E40" s="677" t="s">
        <v>1635</v>
      </c>
      <c r="F40" s="238">
        <v>4</v>
      </c>
      <c r="G40" s="238">
        <v>1616</v>
      </c>
      <c r="H40" s="238">
        <v>1</v>
      </c>
      <c r="I40" s="238">
        <v>404</v>
      </c>
      <c r="J40" s="238">
        <v>1</v>
      </c>
      <c r="K40" s="238">
        <v>418.69</v>
      </c>
      <c r="L40" s="238">
        <v>0.25909034653465346</v>
      </c>
      <c r="M40" s="238">
        <v>418.69</v>
      </c>
      <c r="N40" s="238">
        <v>2</v>
      </c>
      <c r="O40" s="238">
        <v>837.38</v>
      </c>
      <c r="P40" s="688">
        <v>0.51818069306930692</v>
      </c>
      <c r="Q40" s="719">
        <v>418.69</v>
      </c>
    </row>
    <row r="41" spans="1:17" ht="14.4" customHeight="1" x14ac:dyDescent="0.3">
      <c r="A41" s="686" t="s">
        <v>507</v>
      </c>
      <c r="B41" s="677" t="s">
        <v>1597</v>
      </c>
      <c r="C41" s="677" t="s">
        <v>1618</v>
      </c>
      <c r="D41" s="677" t="s">
        <v>1642</v>
      </c>
      <c r="E41" s="677" t="s">
        <v>1635</v>
      </c>
      <c r="F41" s="238">
        <v>5</v>
      </c>
      <c r="G41" s="238">
        <v>2590</v>
      </c>
      <c r="H41" s="238">
        <v>1</v>
      </c>
      <c r="I41" s="238">
        <v>518</v>
      </c>
      <c r="J41" s="238">
        <v>1</v>
      </c>
      <c r="K41" s="238">
        <v>536.84</v>
      </c>
      <c r="L41" s="238">
        <v>0.20727413127413127</v>
      </c>
      <c r="M41" s="238">
        <v>536.84</v>
      </c>
      <c r="N41" s="238"/>
      <c r="O41" s="238"/>
      <c r="P41" s="688"/>
      <c r="Q41" s="719"/>
    </row>
    <row r="42" spans="1:17" ht="14.4" customHeight="1" x14ac:dyDescent="0.3">
      <c r="A42" s="686" t="s">
        <v>507</v>
      </c>
      <c r="B42" s="677" t="s">
        <v>1597</v>
      </c>
      <c r="C42" s="677" t="s">
        <v>1618</v>
      </c>
      <c r="D42" s="677" t="s">
        <v>1643</v>
      </c>
      <c r="E42" s="677" t="s">
        <v>1635</v>
      </c>
      <c r="F42" s="238">
        <v>3</v>
      </c>
      <c r="G42" s="238">
        <v>1503</v>
      </c>
      <c r="H42" s="238">
        <v>1</v>
      </c>
      <c r="I42" s="238">
        <v>501</v>
      </c>
      <c r="J42" s="238"/>
      <c r="K42" s="238"/>
      <c r="L42" s="238"/>
      <c r="M42" s="238"/>
      <c r="N42" s="238"/>
      <c r="O42" s="238"/>
      <c r="P42" s="688"/>
      <c r="Q42" s="719"/>
    </row>
    <row r="43" spans="1:17" ht="14.4" customHeight="1" x14ac:dyDescent="0.3">
      <c r="A43" s="686" t="s">
        <v>507</v>
      </c>
      <c r="B43" s="677" t="s">
        <v>1597</v>
      </c>
      <c r="C43" s="677" t="s">
        <v>1618</v>
      </c>
      <c r="D43" s="677" t="s">
        <v>1644</v>
      </c>
      <c r="E43" s="677" t="s">
        <v>1645</v>
      </c>
      <c r="F43" s="238">
        <v>4</v>
      </c>
      <c r="G43" s="238">
        <v>664</v>
      </c>
      <c r="H43" s="238">
        <v>1</v>
      </c>
      <c r="I43" s="238">
        <v>166</v>
      </c>
      <c r="J43" s="238"/>
      <c r="K43" s="238"/>
      <c r="L43" s="238"/>
      <c r="M43" s="238"/>
      <c r="N43" s="238">
        <v>12</v>
      </c>
      <c r="O43" s="238">
        <v>2064.48</v>
      </c>
      <c r="P43" s="688">
        <v>3.109156626506024</v>
      </c>
      <c r="Q43" s="719">
        <v>172.04</v>
      </c>
    </row>
    <row r="44" spans="1:17" ht="14.4" customHeight="1" x14ac:dyDescent="0.3">
      <c r="A44" s="686" t="s">
        <v>507</v>
      </c>
      <c r="B44" s="677" t="s">
        <v>1597</v>
      </c>
      <c r="C44" s="677" t="s">
        <v>1618</v>
      </c>
      <c r="D44" s="677" t="s">
        <v>1646</v>
      </c>
      <c r="E44" s="677" t="s">
        <v>1645</v>
      </c>
      <c r="F44" s="238">
        <v>2</v>
      </c>
      <c r="G44" s="238">
        <v>380</v>
      </c>
      <c r="H44" s="238">
        <v>1</v>
      </c>
      <c r="I44" s="238">
        <v>190</v>
      </c>
      <c r="J44" s="238"/>
      <c r="K44" s="238"/>
      <c r="L44" s="238"/>
      <c r="M44" s="238"/>
      <c r="N44" s="238">
        <v>3</v>
      </c>
      <c r="O44" s="238">
        <v>590.73</v>
      </c>
      <c r="P44" s="688">
        <v>1.5545526315789475</v>
      </c>
      <c r="Q44" s="719">
        <v>196.91</v>
      </c>
    </row>
    <row r="45" spans="1:17" ht="14.4" customHeight="1" x14ac:dyDescent="0.3">
      <c r="A45" s="686" t="s">
        <v>507</v>
      </c>
      <c r="B45" s="677" t="s">
        <v>1597</v>
      </c>
      <c r="C45" s="677" t="s">
        <v>1618</v>
      </c>
      <c r="D45" s="677" t="s">
        <v>1647</v>
      </c>
      <c r="E45" s="677" t="s">
        <v>1645</v>
      </c>
      <c r="F45" s="238">
        <v>1</v>
      </c>
      <c r="G45" s="238">
        <v>2287</v>
      </c>
      <c r="H45" s="238">
        <v>1</v>
      </c>
      <c r="I45" s="238">
        <v>2287</v>
      </c>
      <c r="J45" s="238"/>
      <c r="K45" s="238"/>
      <c r="L45" s="238"/>
      <c r="M45" s="238"/>
      <c r="N45" s="238">
        <v>1</v>
      </c>
      <c r="O45" s="238">
        <v>2370.16</v>
      </c>
      <c r="P45" s="688">
        <v>1.0363620463489287</v>
      </c>
      <c r="Q45" s="719">
        <v>2370.16</v>
      </c>
    </row>
    <row r="46" spans="1:17" ht="14.4" customHeight="1" x14ac:dyDescent="0.3">
      <c r="A46" s="686" t="s">
        <v>507</v>
      </c>
      <c r="B46" s="677" t="s">
        <v>1597</v>
      </c>
      <c r="C46" s="677" t="s">
        <v>1618</v>
      </c>
      <c r="D46" s="677" t="s">
        <v>1648</v>
      </c>
      <c r="E46" s="677" t="s">
        <v>1645</v>
      </c>
      <c r="F46" s="238"/>
      <c r="G46" s="238"/>
      <c r="H46" s="238"/>
      <c r="I46" s="238"/>
      <c r="J46" s="238"/>
      <c r="K46" s="238"/>
      <c r="L46" s="238"/>
      <c r="M46" s="238"/>
      <c r="N46" s="238">
        <v>1</v>
      </c>
      <c r="O46" s="238">
        <v>4349.62</v>
      </c>
      <c r="P46" s="688"/>
      <c r="Q46" s="719">
        <v>4349.62</v>
      </c>
    </row>
    <row r="47" spans="1:17" ht="14.4" customHeight="1" x14ac:dyDescent="0.3">
      <c r="A47" s="686" t="s">
        <v>507</v>
      </c>
      <c r="B47" s="677" t="s">
        <v>1597</v>
      </c>
      <c r="C47" s="677" t="s">
        <v>1618</v>
      </c>
      <c r="D47" s="677" t="s">
        <v>1649</v>
      </c>
      <c r="E47" s="677" t="s">
        <v>1632</v>
      </c>
      <c r="F47" s="238"/>
      <c r="G47" s="238"/>
      <c r="H47" s="238"/>
      <c r="I47" s="238"/>
      <c r="J47" s="238">
        <v>2</v>
      </c>
      <c r="K47" s="238">
        <v>362.72</v>
      </c>
      <c r="L47" s="238"/>
      <c r="M47" s="238">
        <v>181.36</v>
      </c>
      <c r="N47" s="238"/>
      <c r="O47" s="238"/>
      <c r="P47" s="688"/>
      <c r="Q47" s="719"/>
    </row>
    <row r="48" spans="1:17" ht="14.4" customHeight="1" x14ac:dyDescent="0.3">
      <c r="A48" s="686" t="s">
        <v>507</v>
      </c>
      <c r="B48" s="677" t="s">
        <v>1597</v>
      </c>
      <c r="C48" s="677" t="s">
        <v>1618</v>
      </c>
      <c r="D48" s="677" t="s">
        <v>1650</v>
      </c>
      <c r="E48" s="677" t="s">
        <v>1632</v>
      </c>
      <c r="F48" s="238"/>
      <c r="G48" s="238"/>
      <c r="H48" s="238"/>
      <c r="I48" s="238"/>
      <c r="J48" s="238">
        <v>1</v>
      </c>
      <c r="K48" s="238">
        <v>299.51</v>
      </c>
      <c r="L48" s="238"/>
      <c r="M48" s="238">
        <v>299.51</v>
      </c>
      <c r="N48" s="238"/>
      <c r="O48" s="238"/>
      <c r="P48" s="688"/>
      <c r="Q48" s="719"/>
    </row>
    <row r="49" spans="1:17" ht="14.4" customHeight="1" x14ac:dyDescent="0.3">
      <c r="A49" s="686" t="s">
        <v>507</v>
      </c>
      <c r="B49" s="677" t="s">
        <v>1597</v>
      </c>
      <c r="C49" s="677" t="s">
        <v>1618</v>
      </c>
      <c r="D49" s="677" t="s">
        <v>1651</v>
      </c>
      <c r="E49" s="677" t="s">
        <v>1652</v>
      </c>
      <c r="F49" s="238"/>
      <c r="G49" s="238"/>
      <c r="H49" s="238"/>
      <c r="I49" s="238"/>
      <c r="J49" s="238"/>
      <c r="K49" s="238"/>
      <c r="L49" s="238"/>
      <c r="M49" s="238"/>
      <c r="N49" s="238">
        <v>2</v>
      </c>
      <c r="O49" s="238">
        <v>31114</v>
      </c>
      <c r="P49" s="688"/>
      <c r="Q49" s="719">
        <v>15557</v>
      </c>
    </row>
    <row r="50" spans="1:17" ht="14.4" customHeight="1" x14ac:dyDescent="0.3">
      <c r="A50" s="686" t="s">
        <v>507</v>
      </c>
      <c r="B50" s="677" t="s">
        <v>1597</v>
      </c>
      <c r="C50" s="677" t="s">
        <v>1456</v>
      </c>
      <c r="D50" s="677" t="s">
        <v>1653</v>
      </c>
      <c r="E50" s="677" t="s">
        <v>1448</v>
      </c>
      <c r="F50" s="238">
        <v>1</v>
      </c>
      <c r="G50" s="238">
        <v>703</v>
      </c>
      <c r="H50" s="238">
        <v>1</v>
      </c>
      <c r="I50" s="238">
        <v>703</v>
      </c>
      <c r="J50" s="238"/>
      <c r="K50" s="238"/>
      <c r="L50" s="238"/>
      <c r="M50" s="238"/>
      <c r="N50" s="238"/>
      <c r="O50" s="238"/>
      <c r="P50" s="688"/>
      <c r="Q50" s="719"/>
    </row>
    <row r="51" spans="1:17" ht="14.4" customHeight="1" x14ac:dyDescent="0.3">
      <c r="A51" s="686" t="s">
        <v>507</v>
      </c>
      <c r="B51" s="677" t="s">
        <v>1597</v>
      </c>
      <c r="C51" s="677" t="s">
        <v>1452</v>
      </c>
      <c r="D51" s="677" t="s">
        <v>1654</v>
      </c>
      <c r="E51" s="677" t="s">
        <v>1655</v>
      </c>
      <c r="F51" s="238">
        <v>1</v>
      </c>
      <c r="G51" s="238">
        <v>70</v>
      </c>
      <c r="H51" s="238">
        <v>1</v>
      </c>
      <c r="I51" s="238">
        <v>70</v>
      </c>
      <c r="J51" s="238"/>
      <c r="K51" s="238"/>
      <c r="L51" s="238"/>
      <c r="M51" s="238"/>
      <c r="N51" s="238"/>
      <c r="O51" s="238"/>
      <c r="P51" s="688"/>
      <c r="Q51" s="719"/>
    </row>
    <row r="52" spans="1:17" ht="14.4" customHeight="1" x14ac:dyDescent="0.3">
      <c r="A52" s="686" t="s">
        <v>507</v>
      </c>
      <c r="B52" s="677" t="s">
        <v>1597</v>
      </c>
      <c r="C52" s="677" t="s">
        <v>1452</v>
      </c>
      <c r="D52" s="677" t="s">
        <v>1656</v>
      </c>
      <c r="E52" s="677" t="s">
        <v>1657</v>
      </c>
      <c r="F52" s="238">
        <v>2</v>
      </c>
      <c r="G52" s="238">
        <v>470</v>
      </c>
      <c r="H52" s="238">
        <v>1</v>
      </c>
      <c r="I52" s="238">
        <v>235</v>
      </c>
      <c r="J52" s="238"/>
      <c r="K52" s="238"/>
      <c r="L52" s="238"/>
      <c r="M52" s="238"/>
      <c r="N52" s="238"/>
      <c r="O52" s="238"/>
      <c r="P52" s="688"/>
      <c r="Q52" s="719"/>
    </row>
    <row r="53" spans="1:17" ht="14.4" customHeight="1" x14ac:dyDescent="0.3">
      <c r="A53" s="686" t="s">
        <v>507</v>
      </c>
      <c r="B53" s="677" t="s">
        <v>1597</v>
      </c>
      <c r="C53" s="677" t="s">
        <v>1452</v>
      </c>
      <c r="D53" s="677" t="s">
        <v>1582</v>
      </c>
      <c r="E53" s="677" t="s">
        <v>1504</v>
      </c>
      <c r="F53" s="238">
        <v>33</v>
      </c>
      <c r="G53" s="238">
        <v>9071</v>
      </c>
      <c r="H53" s="238">
        <v>1</v>
      </c>
      <c r="I53" s="238">
        <v>274.87878787878788</v>
      </c>
      <c r="J53" s="238">
        <v>16</v>
      </c>
      <c r="K53" s="238">
        <v>4428</v>
      </c>
      <c r="L53" s="238">
        <v>0.48814904641164147</v>
      </c>
      <c r="M53" s="238">
        <v>276.75</v>
      </c>
      <c r="N53" s="238">
        <v>21</v>
      </c>
      <c r="O53" s="238">
        <v>5817</v>
      </c>
      <c r="P53" s="688">
        <v>0.64127439091610627</v>
      </c>
      <c r="Q53" s="719">
        <v>277</v>
      </c>
    </row>
    <row r="54" spans="1:17" ht="14.4" customHeight="1" x14ac:dyDescent="0.3">
      <c r="A54" s="686" t="s">
        <v>507</v>
      </c>
      <c r="B54" s="677" t="s">
        <v>1597</v>
      </c>
      <c r="C54" s="677" t="s">
        <v>1452</v>
      </c>
      <c r="D54" s="677" t="s">
        <v>1583</v>
      </c>
      <c r="E54" s="677" t="s">
        <v>1514</v>
      </c>
      <c r="F54" s="238">
        <v>66</v>
      </c>
      <c r="G54" s="238">
        <v>4950</v>
      </c>
      <c r="H54" s="238">
        <v>1</v>
      </c>
      <c r="I54" s="238">
        <v>75</v>
      </c>
      <c r="J54" s="238">
        <v>17</v>
      </c>
      <c r="K54" s="238">
        <v>1290</v>
      </c>
      <c r="L54" s="238">
        <v>0.26060606060606062</v>
      </c>
      <c r="M54" s="238">
        <v>75.882352941176464</v>
      </c>
      <c r="N54" s="238">
        <v>29</v>
      </c>
      <c r="O54" s="238">
        <v>2204</v>
      </c>
      <c r="P54" s="688">
        <v>0.44525252525252523</v>
      </c>
      <c r="Q54" s="719">
        <v>76</v>
      </c>
    </row>
    <row r="55" spans="1:17" ht="14.4" customHeight="1" x14ac:dyDescent="0.3">
      <c r="A55" s="686" t="s">
        <v>507</v>
      </c>
      <c r="B55" s="677" t="s">
        <v>1597</v>
      </c>
      <c r="C55" s="677" t="s">
        <v>1452</v>
      </c>
      <c r="D55" s="677" t="s">
        <v>1658</v>
      </c>
      <c r="E55" s="677" t="s">
        <v>1659</v>
      </c>
      <c r="F55" s="238">
        <v>64</v>
      </c>
      <c r="G55" s="238">
        <v>8126</v>
      </c>
      <c r="H55" s="238">
        <v>1</v>
      </c>
      <c r="I55" s="238">
        <v>126.96875</v>
      </c>
      <c r="J55" s="238">
        <v>36</v>
      </c>
      <c r="K55" s="238">
        <v>4608</v>
      </c>
      <c r="L55" s="238">
        <v>0.56706866847157278</v>
      </c>
      <c r="M55" s="238">
        <v>128</v>
      </c>
      <c r="N55" s="238">
        <v>55</v>
      </c>
      <c r="O55" s="238">
        <v>7040</v>
      </c>
      <c r="P55" s="688">
        <v>0.86635491016490274</v>
      </c>
      <c r="Q55" s="719">
        <v>128</v>
      </c>
    </row>
    <row r="56" spans="1:17" ht="14.4" customHeight="1" x14ac:dyDescent="0.3">
      <c r="A56" s="686" t="s">
        <v>507</v>
      </c>
      <c r="B56" s="677" t="s">
        <v>1597</v>
      </c>
      <c r="C56" s="677" t="s">
        <v>1452</v>
      </c>
      <c r="D56" s="677" t="s">
        <v>1660</v>
      </c>
      <c r="E56" s="677" t="s">
        <v>1661</v>
      </c>
      <c r="F56" s="238">
        <v>82</v>
      </c>
      <c r="G56" s="238">
        <v>7298</v>
      </c>
      <c r="H56" s="238">
        <v>1</v>
      </c>
      <c r="I56" s="238">
        <v>89</v>
      </c>
      <c r="J56" s="238">
        <v>44</v>
      </c>
      <c r="K56" s="238">
        <v>3960</v>
      </c>
      <c r="L56" s="238">
        <v>0.54261441490819406</v>
      </c>
      <c r="M56" s="238">
        <v>90</v>
      </c>
      <c r="N56" s="238">
        <v>59</v>
      </c>
      <c r="O56" s="238">
        <v>5310</v>
      </c>
      <c r="P56" s="688">
        <v>0.72759660180871477</v>
      </c>
      <c r="Q56" s="719">
        <v>90</v>
      </c>
    </row>
    <row r="57" spans="1:17" ht="14.4" customHeight="1" x14ac:dyDescent="0.3">
      <c r="A57" s="686" t="s">
        <v>507</v>
      </c>
      <c r="B57" s="677" t="s">
        <v>1597</v>
      </c>
      <c r="C57" s="677" t="s">
        <v>1452</v>
      </c>
      <c r="D57" s="677" t="s">
        <v>1662</v>
      </c>
      <c r="E57" s="677" t="s">
        <v>1663</v>
      </c>
      <c r="F57" s="238">
        <v>9</v>
      </c>
      <c r="G57" s="238">
        <v>1368</v>
      </c>
      <c r="H57" s="238">
        <v>1</v>
      </c>
      <c r="I57" s="238">
        <v>152</v>
      </c>
      <c r="J57" s="238">
        <v>2</v>
      </c>
      <c r="K57" s="238">
        <v>308</v>
      </c>
      <c r="L57" s="238">
        <v>0.22514619883040934</v>
      </c>
      <c r="M57" s="238">
        <v>154</v>
      </c>
      <c r="N57" s="238">
        <v>13</v>
      </c>
      <c r="O57" s="238">
        <v>2002</v>
      </c>
      <c r="P57" s="688">
        <v>1.4634502923976609</v>
      </c>
      <c r="Q57" s="719">
        <v>154</v>
      </c>
    </row>
    <row r="58" spans="1:17" ht="14.4" customHeight="1" x14ac:dyDescent="0.3">
      <c r="A58" s="686" t="s">
        <v>507</v>
      </c>
      <c r="B58" s="677" t="s">
        <v>1597</v>
      </c>
      <c r="C58" s="677" t="s">
        <v>1452</v>
      </c>
      <c r="D58" s="677" t="s">
        <v>1664</v>
      </c>
      <c r="E58" s="677" t="s">
        <v>1665</v>
      </c>
      <c r="F58" s="238">
        <v>48</v>
      </c>
      <c r="G58" s="238">
        <v>22656</v>
      </c>
      <c r="H58" s="238">
        <v>1</v>
      </c>
      <c r="I58" s="238">
        <v>472</v>
      </c>
      <c r="J58" s="238">
        <v>42</v>
      </c>
      <c r="K58" s="238">
        <v>19992</v>
      </c>
      <c r="L58" s="238">
        <v>0.88241525423728817</v>
      </c>
      <c r="M58" s="238">
        <v>476</v>
      </c>
      <c r="N58" s="238">
        <v>48</v>
      </c>
      <c r="O58" s="238">
        <v>22848</v>
      </c>
      <c r="P58" s="688">
        <v>1.0084745762711864</v>
      </c>
      <c r="Q58" s="719">
        <v>476</v>
      </c>
    </row>
    <row r="59" spans="1:17" ht="14.4" customHeight="1" x14ac:dyDescent="0.3">
      <c r="A59" s="686" t="s">
        <v>507</v>
      </c>
      <c r="B59" s="677" t="s">
        <v>1597</v>
      </c>
      <c r="C59" s="677" t="s">
        <v>1452</v>
      </c>
      <c r="D59" s="677" t="s">
        <v>1666</v>
      </c>
      <c r="E59" s="677" t="s">
        <v>1667</v>
      </c>
      <c r="F59" s="238">
        <v>58</v>
      </c>
      <c r="G59" s="238">
        <v>53476</v>
      </c>
      <c r="H59" s="238">
        <v>1</v>
      </c>
      <c r="I59" s="238">
        <v>922</v>
      </c>
      <c r="J59" s="238">
        <v>4</v>
      </c>
      <c r="K59" s="238">
        <v>3720</v>
      </c>
      <c r="L59" s="238">
        <v>6.9563916523300171E-2</v>
      </c>
      <c r="M59" s="238">
        <v>930</v>
      </c>
      <c r="N59" s="238">
        <v>57</v>
      </c>
      <c r="O59" s="238">
        <v>53010</v>
      </c>
      <c r="P59" s="688">
        <v>0.99128581045702746</v>
      </c>
      <c r="Q59" s="719">
        <v>930</v>
      </c>
    </row>
    <row r="60" spans="1:17" ht="14.4" customHeight="1" x14ac:dyDescent="0.3">
      <c r="A60" s="686" t="s">
        <v>507</v>
      </c>
      <c r="B60" s="677" t="s">
        <v>1597</v>
      </c>
      <c r="C60" s="677" t="s">
        <v>1452</v>
      </c>
      <c r="D60" s="677" t="s">
        <v>1668</v>
      </c>
      <c r="E60" s="677" t="s">
        <v>1669</v>
      </c>
      <c r="F60" s="238">
        <v>81</v>
      </c>
      <c r="G60" s="238">
        <v>151705</v>
      </c>
      <c r="H60" s="238">
        <v>1</v>
      </c>
      <c r="I60" s="238">
        <v>1872.9012345679012</v>
      </c>
      <c r="J60" s="238">
        <v>36</v>
      </c>
      <c r="K60" s="238">
        <v>67824</v>
      </c>
      <c r="L60" s="238">
        <v>0.44707821100161499</v>
      </c>
      <c r="M60" s="238">
        <v>1884</v>
      </c>
      <c r="N60" s="238">
        <v>43</v>
      </c>
      <c r="O60" s="238">
        <v>81012</v>
      </c>
      <c r="P60" s="688">
        <v>0.53401008536304007</v>
      </c>
      <c r="Q60" s="719">
        <v>1884</v>
      </c>
    </row>
    <row r="61" spans="1:17" ht="14.4" customHeight="1" x14ac:dyDescent="0.3">
      <c r="A61" s="686" t="s">
        <v>507</v>
      </c>
      <c r="B61" s="677" t="s">
        <v>1597</v>
      </c>
      <c r="C61" s="677" t="s">
        <v>1452</v>
      </c>
      <c r="D61" s="677" t="s">
        <v>1670</v>
      </c>
      <c r="E61" s="677" t="s">
        <v>1671</v>
      </c>
      <c r="F61" s="238">
        <v>63</v>
      </c>
      <c r="G61" s="238">
        <v>4851</v>
      </c>
      <c r="H61" s="238">
        <v>1</v>
      </c>
      <c r="I61" s="238">
        <v>77</v>
      </c>
      <c r="J61" s="238">
        <v>37</v>
      </c>
      <c r="K61" s="238">
        <v>2877</v>
      </c>
      <c r="L61" s="238">
        <v>0.59307359307359309</v>
      </c>
      <c r="M61" s="238">
        <v>77.756756756756758</v>
      </c>
      <c r="N61" s="238">
        <v>16</v>
      </c>
      <c r="O61" s="238">
        <v>1248</v>
      </c>
      <c r="P61" s="688">
        <v>0.25726654298082868</v>
      </c>
      <c r="Q61" s="719">
        <v>78</v>
      </c>
    </row>
    <row r="62" spans="1:17" ht="14.4" customHeight="1" x14ac:dyDescent="0.3">
      <c r="A62" s="686" t="s">
        <v>507</v>
      </c>
      <c r="B62" s="677" t="s">
        <v>1597</v>
      </c>
      <c r="C62" s="677" t="s">
        <v>1452</v>
      </c>
      <c r="D62" s="677" t="s">
        <v>1672</v>
      </c>
      <c r="E62" s="677" t="s">
        <v>1673</v>
      </c>
      <c r="F62" s="238"/>
      <c r="G62" s="238"/>
      <c r="H62" s="238"/>
      <c r="I62" s="238"/>
      <c r="J62" s="238"/>
      <c r="K62" s="238"/>
      <c r="L62" s="238"/>
      <c r="M62" s="238"/>
      <c r="N62" s="238">
        <v>6</v>
      </c>
      <c r="O62" s="238">
        <v>492</v>
      </c>
      <c r="P62" s="688"/>
      <c r="Q62" s="719">
        <v>82</v>
      </c>
    </row>
    <row r="63" spans="1:17" ht="14.4" customHeight="1" x14ac:dyDescent="0.3">
      <c r="A63" s="686" t="s">
        <v>507</v>
      </c>
      <c r="B63" s="677" t="s">
        <v>1597</v>
      </c>
      <c r="C63" s="677" t="s">
        <v>1452</v>
      </c>
      <c r="D63" s="677" t="s">
        <v>1674</v>
      </c>
      <c r="E63" s="677" t="s">
        <v>1675</v>
      </c>
      <c r="F63" s="238"/>
      <c r="G63" s="238"/>
      <c r="H63" s="238"/>
      <c r="I63" s="238"/>
      <c r="J63" s="238">
        <v>1</v>
      </c>
      <c r="K63" s="238">
        <v>156</v>
      </c>
      <c r="L63" s="238"/>
      <c r="M63" s="238">
        <v>156</v>
      </c>
      <c r="N63" s="238">
        <v>1</v>
      </c>
      <c r="O63" s="238">
        <v>156</v>
      </c>
      <c r="P63" s="688"/>
      <c r="Q63" s="719">
        <v>156</v>
      </c>
    </row>
    <row r="64" spans="1:17" ht="14.4" customHeight="1" x14ac:dyDescent="0.3">
      <c r="A64" s="686" t="s">
        <v>507</v>
      </c>
      <c r="B64" s="677" t="s">
        <v>1597</v>
      </c>
      <c r="C64" s="677" t="s">
        <v>1452</v>
      </c>
      <c r="D64" s="677" t="s">
        <v>1676</v>
      </c>
      <c r="E64" s="677" t="s">
        <v>1677</v>
      </c>
      <c r="F64" s="238">
        <v>1</v>
      </c>
      <c r="G64" s="238">
        <v>1351</v>
      </c>
      <c r="H64" s="238">
        <v>1</v>
      </c>
      <c r="I64" s="238">
        <v>1351</v>
      </c>
      <c r="J64" s="238">
        <v>2</v>
      </c>
      <c r="K64" s="238">
        <v>2718</v>
      </c>
      <c r="L64" s="238">
        <v>2.0118430792005921</v>
      </c>
      <c r="M64" s="238">
        <v>1359</v>
      </c>
      <c r="N64" s="238">
        <v>1</v>
      </c>
      <c r="O64" s="238">
        <v>1359</v>
      </c>
      <c r="P64" s="688">
        <v>1.0059215396002961</v>
      </c>
      <c r="Q64" s="719">
        <v>1359</v>
      </c>
    </row>
    <row r="65" spans="1:17" ht="14.4" customHeight="1" x14ac:dyDescent="0.3">
      <c r="A65" s="686" t="s">
        <v>507</v>
      </c>
      <c r="B65" s="677" t="s">
        <v>1597</v>
      </c>
      <c r="C65" s="677" t="s">
        <v>1452</v>
      </c>
      <c r="D65" s="677" t="s">
        <v>1678</v>
      </c>
      <c r="E65" s="677" t="s">
        <v>1679</v>
      </c>
      <c r="F65" s="238"/>
      <c r="G65" s="238"/>
      <c r="H65" s="238"/>
      <c r="I65" s="238"/>
      <c r="J65" s="238">
        <v>2</v>
      </c>
      <c r="K65" s="238">
        <v>2026</v>
      </c>
      <c r="L65" s="238"/>
      <c r="M65" s="238">
        <v>1013</v>
      </c>
      <c r="N65" s="238">
        <v>2</v>
      </c>
      <c r="O65" s="238">
        <v>2026</v>
      </c>
      <c r="P65" s="688"/>
      <c r="Q65" s="719">
        <v>1013</v>
      </c>
    </row>
    <row r="66" spans="1:17" ht="14.4" customHeight="1" x14ac:dyDescent="0.3">
      <c r="A66" s="686" t="s">
        <v>507</v>
      </c>
      <c r="B66" s="677" t="s">
        <v>1597</v>
      </c>
      <c r="C66" s="677" t="s">
        <v>1452</v>
      </c>
      <c r="D66" s="677" t="s">
        <v>1680</v>
      </c>
      <c r="E66" s="677" t="s">
        <v>1530</v>
      </c>
      <c r="F66" s="238"/>
      <c r="G66" s="238"/>
      <c r="H66" s="238"/>
      <c r="I66" s="238"/>
      <c r="J66" s="238">
        <v>3</v>
      </c>
      <c r="K66" s="238">
        <v>594</v>
      </c>
      <c r="L66" s="238"/>
      <c r="M66" s="238">
        <v>198</v>
      </c>
      <c r="N66" s="238"/>
      <c r="O66" s="238"/>
      <c r="P66" s="688"/>
      <c r="Q66" s="719"/>
    </row>
    <row r="67" spans="1:17" ht="14.4" customHeight="1" x14ac:dyDescent="0.3">
      <c r="A67" s="686" t="s">
        <v>507</v>
      </c>
      <c r="B67" s="677" t="s">
        <v>1597</v>
      </c>
      <c r="C67" s="677" t="s">
        <v>1452</v>
      </c>
      <c r="D67" s="677" t="s">
        <v>1681</v>
      </c>
      <c r="E67" s="677" t="s">
        <v>1682</v>
      </c>
      <c r="F67" s="238">
        <v>6</v>
      </c>
      <c r="G67" s="238">
        <v>4122</v>
      </c>
      <c r="H67" s="238">
        <v>1</v>
      </c>
      <c r="I67" s="238">
        <v>687</v>
      </c>
      <c r="J67" s="238">
        <v>7</v>
      </c>
      <c r="K67" s="238">
        <v>4836</v>
      </c>
      <c r="L67" s="238">
        <v>1.1732168850072779</v>
      </c>
      <c r="M67" s="238">
        <v>690.85714285714289</v>
      </c>
      <c r="N67" s="238">
        <v>8</v>
      </c>
      <c r="O67" s="238">
        <v>5536</v>
      </c>
      <c r="P67" s="688">
        <v>1.3430373605046093</v>
      </c>
      <c r="Q67" s="719">
        <v>692</v>
      </c>
    </row>
    <row r="68" spans="1:17" ht="14.4" customHeight="1" x14ac:dyDescent="0.3">
      <c r="A68" s="686" t="s">
        <v>507</v>
      </c>
      <c r="B68" s="677" t="s">
        <v>1597</v>
      </c>
      <c r="C68" s="677" t="s">
        <v>1452</v>
      </c>
      <c r="D68" s="677" t="s">
        <v>1683</v>
      </c>
      <c r="E68" s="677" t="s">
        <v>1684</v>
      </c>
      <c r="F68" s="238">
        <v>6</v>
      </c>
      <c r="G68" s="238">
        <v>3894</v>
      </c>
      <c r="H68" s="238">
        <v>1</v>
      </c>
      <c r="I68" s="238">
        <v>649</v>
      </c>
      <c r="J68" s="238">
        <v>2</v>
      </c>
      <c r="K68" s="238">
        <v>1308</v>
      </c>
      <c r="L68" s="238">
        <v>0.3359013867488444</v>
      </c>
      <c r="M68" s="238">
        <v>654</v>
      </c>
      <c r="N68" s="238">
        <v>1</v>
      </c>
      <c r="O68" s="238">
        <v>654</v>
      </c>
      <c r="P68" s="688">
        <v>0.1679506933744222</v>
      </c>
      <c r="Q68" s="719">
        <v>654</v>
      </c>
    </row>
    <row r="69" spans="1:17" ht="14.4" customHeight="1" x14ac:dyDescent="0.3">
      <c r="A69" s="686" t="s">
        <v>507</v>
      </c>
      <c r="B69" s="677" t="s">
        <v>1597</v>
      </c>
      <c r="C69" s="677" t="s">
        <v>1452</v>
      </c>
      <c r="D69" s="677" t="s">
        <v>1685</v>
      </c>
      <c r="E69" s="677" t="s">
        <v>1686</v>
      </c>
      <c r="F69" s="238">
        <v>1</v>
      </c>
      <c r="G69" s="238">
        <v>725</v>
      </c>
      <c r="H69" s="238">
        <v>1</v>
      </c>
      <c r="I69" s="238">
        <v>725</v>
      </c>
      <c r="J69" s="238"/>
      <c r="K69" s="238"/>
      <c r="L69" s="238"/>
      <c r="M69" s="238"/>
      <c r="N69" s="238"/>
      <c r="O69" s="238"/>
      <c r="P69" s="688"/>
      <c r="Q69" s="719"/>
    </row>
    <row r="70" spans="1:17" ht="14.4" customHeight="1" x14ac:dyDescent="0.3">
      <c r="A70" s="686" t="s">
        <v>507</v>
      </c>
      <c r="B70" s="677" t="s">
        <v>1597</v>
      </c>
      <c r="C70" s="677" t="s">
        <v>1452</v>
      </c>
      <c r="D70" s="677" t="s">
        <v>1687</v>
      </c>
      <c r="E70" s="677" t="s">
        <v>1688</v>
      </c>
      <c r="F70" s="238">
        <v>1</v>
      </c>
      <c r="G70" s="238">
        <v>1066</v>
      </c>
      <c r="H70" s="238">
        <v>1</v>
      </c>
      <c r="I70" s="238">
        <v>1066</v>
      </c>
      <c r="J70" s="238">
        <v>2</v>
      </c>
      <c r="K70" s="238">
        <v>2144</v>
      </c>
      <c r="L70" s="238">
        <v>2.0112570356472794</v>
      </c>
      <c r="M70" s="238">
        <v>1072</v>
      </c>
      <c r="N70" s="238"/>
      <c r="O70" s="238"/>
      <c r="P70" s="688"/>
      <c r="Q70" s="719"/>
    </row>
    <row r="71" spans="1:17" ht="14.4" customHeight="1" x14ac:dyDescent="0.3">
      <c r="A71" s="686" t="s">
        <v>507</v>
      </c>
      <c r="B71" s="677" t="s">
        <v>1597</v>
      </c>
      <c r="C71" s="677" t="s">
        <v>1452</v>
      </c>
      <c r="D71" s="677" t="s">
        <v>1689</v>
      </c>
      <c r="E71" s="677" t="s">
        <v>1690</v>
      </c>
      <c r="F71" s="238">
        <v>21</v>
      </c>
      <c r="G71" s="238">
        <v>36897</v>
      </c>
      <c r="H71" s="238">
        <v>1</v>
      </c>
      <c r="I71" s="238">
        <v>1757</v>
      </c>
      <c r="J71" s="238">
        <v>8</v>
      </c>
      <c r="K71" s="238">
        <v>14144</v>
      </c>
      <c r="L71" s="238">
        <v>0.38333739870450173</v>
      </c>
      <c r="M71" s="238">
        <v>1768</v>
      </c>
      <c r="N71" s="238">
        <v>11</v>
      </c>
      <c r="O71" s="238">
        <v>19448</v>
      </c>
      <c r="P71" s="688">
        <v>0.52708892321868983</v>
      </c>
      <c r="Q71" s="719">
        <v>1768</v>
      </c>
    </row>
    <row r="72" spans="1:17" ht="14.4" customHeight="1" x14ac:dyDescent="0.3">
      <c r="A72" s="686" t="s">
        <v>507</v>
      </c>
      <c r="B72" s="677" t="s">
        <v>1597</v>
      </c>
      <c r="C72" s="677" t="s">
        <v>1452</v>
      </c>
      <c r="D72" s="677" t="s">
        <v>1691</v>
      </c>
      <c r="E72" s="677" t="s">
        <v>1692</v>
      </c>
      <c r="F72" s="238">
        <v>6</v>
      </c>
      <c r="G72" s="238">
        <v>2008</v>
      </c>
      <c r="H72" s="238">
        <v>1</v>
      </c>
      <c r="I72" s="238">
        <v>334.66666666666669</v>
      </c>
      <c r="J72" s="238">
        <v>4</v>
      </c>
      <c r="K72" s="238">
        <v>1352</v>
      </c>
      <c r="L72" s="238">
        <v>0.67330677290836649</v>
      </c>
      <c r="M72" s="238">
        <v>338</v>
      </c>
      <c r="N72" s="238">
        <v>5</v>
      </c>
      <c r="O72" s="238">
        <v>1690</v>
      </c>
      <c r="P72" s="688">
        <v>0.8416334661354582</v>
      </c>
      <c r="Q72" s="719">
        <v>338</v>
      </c>
    </row>
    <row r="73" spans="1:17" ht="14.4" customHeight="1" x14ac:dyDescent="0.3">
      <c r="A73" s="686" t="s">
        <v>507</v>
      </c>
      <c r="B73" s="677" t="s">
        <v>1597</v>
      </c>
      <c r="C73" s="677" t="s">
        <v>1452</v>
      </c>
      <c r="D73" s="677" t="s">
        <v>1693</v>
      </c>
      <c r="E73" s="677" t="s">
        <v>1694</v>
      </c>
      <c r="F73" s="238">
        <v>4</v>
      </c>
      <c r="G73" s="238">
        <v>3628</v>
      </c>
      <c r="H73" s="238">
        <v>1</v>
      </c>
      <c r="I73" s="238">
        <v>907</v>
      </c>
      <c r="J73" s="238"/>
      <c r="K73" s="238"/>
      <c r="L73" s="238"/>
      <c r="M73" s="238"/>
      <c r="N73" s="238"/>
      <c r="O73" s="238"/>
      <c r="P73" s="688"/>
      <c r="Q73" s="719"/>
    </row>
    <row r="74" spans="1:17" ht="14.4" customHeight="1" x14ac:dyDescent="0.3">
      <c r="A74" s="686" t="s">
        <v>507</v>
      </c>
      <c r="B74" s="677" t="s">
        <v>1597</v>
      </c>
      <c r="C74" s="677" t="s">
        <v>1452</v>
      </c>
      <c r="D74" s="677" t="s">
        <v>1695</v>
      </c>
      <c r="E74" s="677" t="s">
        <v>1696</v>
      </c>
      <c r="F74" s="238">
        <v>2</v>
      </c>
      <c r="G74" s="238">
        <v>2822</v>
      </c>
      <c r="H74" s="238">
        <v>1</v>
      </c>
      <c r="I74" s="238">
        <v>1411</v>
      </c>
      <c r="J74" s="238">
        <v>2</v>
      </c>
      <c r="K74" s="238">
        <v>2840</v>
      </c>
      <c r="L74" s="238">
        <v>1.0063784549964565</v>
      </c>
      <c r="M74" s="238">
        <v>1420</v>
      </c>
      <c r="N74" s="238">
        <v>1</v>
      </c>
      <c r="O74" s="238">
        <v>1420</v>
      </c>
      <c r="P74" s="688">
        <v>0.50318922749822825</v>
      </c>
      <c r="Q74" s="719">
        <v>1420</v>
      </c>
    </row>
    <row r="75" spans="1:17" ht="14.4" customHeight="1" x14ac:dyDescent="0.3">
      <c r="A75" s="686" t="s">
        <v>507</v>
      </c>
      <c r="B75" s="677" t="s">
        <v>1597</v>
      </c>
      <c r="C75" s="677" t="s">
        <v>1452</v>
      </c>
      <c r="D75" s="677" t="s">
        <v>1697</v>
      </c>
      <c r="E75" s="677" t="s">
        <v>1698</v>
      </c>
      <c r="F75" s="238">
        <v>4</v>
      </c>
      <c r="G75" s="238">
        <v>5764</v>
      </c>
      <c r="H75" s="238">
        <v>1</v>
      </c>
      <c r="I75" s="238">
        <v>1441</v>
      </c>
      <c r="J75" s="238">
        <v>1</v>
      </c>
      <c r="K75" s="238">
        <v>1450</v>
      </c>
      <c r="L75" s="238">
        <v>0.25156141568355311</v>
      </c>
      <c r="M75" s="238">
        <v>1450</v>
      </c>
      <c r="N75" s="238">
        <v>3</v>
      </c>
      <c r="O75" s="238">
        <v>4350</v>
      </c>
      <c r="P75" s="688">
        <v>0.75468424705065928</v>
      </c>
      <c r="Q75" s="719">
        <v>1450</v>
      </c>
    </row>
    <row r="76" spans="1:17" ht="14.4" customHeight="1" x14ac:dyDescent="0.3">
      <c r="A76" s="686" t="s">
        <v>507</v>
      </c>
      <c r="B76" s="677" t="s">
        <v>1597</v>
      </c>
      <c r="C76" s="677" t="s">
        <v>1452</v>
      </c>
      <c r="D76" s="677" t="s">
        <v>1699</v>
      </c>
      <c r="E76" s="677" t="s">
        <v>1700</v>
      </c>
      <c r="F76" s="238">
        <v>4</v>
      </c>
      <c r="G76" s="238">
        <v>5628</v>
      </c>
      <c r="H76" s="238">
        <v>1</v>
      </c>
      <c r="I76" s="238">
        <v>1407</v>
      </c>
      <c r="J76" s="238">
        <v>1</v>
      </c>
      <c r="K76" s="238">
        <v>1416</v>
      </c>
      <c r="L76" s="238">
        <v>0.25159914712153519</v>
      </c>
      <c r="M76" s="238">
        <v>1416</v>
      </c>
      <c r="N76" s="238"/>
      <c r="O76" s="238"/>
      <c r="P76" s="688"/>
      <c r="Q76" s="719"/>
    </row>
    <row r="77" spans="1:17" ht="14.4" customHeight="1" x14ac:dyDescent="0.3">
      <c r="A77" s="686" t="s">
        <v>507</v>
      </c>
      <c r="B77" s="677" t="s">
        <v>1597</v>
      </c>
      <c r="C77" s="677" t="s">
        <v>1452</v>
      </c>
      <c r="D77" s="677" t="s">
        <v>1548</v>
      </c>
      <c r="E77" s="677" t="s">
        <v>1549</v>
      </c>
      <c r="F77" s="238">
        <v>12</v>
      </c>
      <c r="G77" s="238">
        <v>4186</v>
      </c>
      <c r="H77" s="238">
        <v>1</v>
      </c>
      <c r="I77" s="238">
        <v>348.83333333333331</v>
      </c>
      <c r="J77" s="238">
        <v>3</v>
      </c>
      <c r="K77" s="238">
        <v>1053</v>
      </c>
      <c r="L77" s="238">
        <v>0.25155279503105588</v>
      </c>
      <c r="M77" s="238">
        <v>351</v>
      </c>
      <c r="N77" s="238">
        <v>9</v>
      </c>
      <c r="O77" s="238">
        <v>3159</v>
      </c>
      <c r="P77" s="688">
        <v>0.75465838509316774</v>
      </c>
      <c r="Q77" s="719">
        <v>351</v>
      </c>
    </row>
    <row r="78" spans="1:17" ht="14.4" customHeight="1" x14ac:dyDescent="0.3">
      <c r="A78" s="686" t="s">
        <v>507</v>
      </c>
      <c r="B78" s="677" t="s">
        <v>1597</v>
      </c>
      <c r="C78" s="677" t="s">
        <v>1452</v>
      </c>
      <c r="D78" s="677" t="s">
        <v>1550</v>
      </c>
      <c r="E78" s="677" t="s">
        <v>1551</v>
      </c>
      <c r="F78" s="238">
        <v>1</v>
      </c>
      <c r="G78" s="238">
        <v>150</v>
      </c>
      <c r="H78" s="238">
        <v>1</v>
      </c>
      <c r="I78" s="238">
        <v>150</v>
      </c>
      <c r="J78" s="238"/>
      <c r="K78" s="238"/>
      <c r="L78" s="238"/>
      <c r="M78" s="238"/>
      <c r="N78" s="238"/>
      <c r="O78" s="238"/>
      <c r="P78" s="688"/>
      <c r="Q78" s="719"/>
    </row>
    <row r="79" spans="1:17" ht="14.4" customHeight="1" x14ac:dyDescent="0.3">
      <c r="A79" s="686" t="s">
        <v>507</v>
      </c>
      <c r="B79" s="677" t="s">
        <v>1597</v>
      </c>
      <c r="C79" s="677" t="s">
        <v>1452</v>
      </c>
      <c r="D79" s="677" t="s">
        <v>1701</v>
      </c>
      <c r="E79" s="677" t="s">
        <v>1702</v>
      </c>
      <c r="F79" s="238">
        <v>108</v>
      </c>
      <c r="G79" s="238">
        <v>16200</v>
      </c>
      <c r="H79" s="238">
        <v>1</v>
      </c>
      <c r="I79" s="238">
        <v>150</v>
      </c>
      <c r="J79" s="238">
        <v>65</v>
      </c>
      <c r="K79" s="238">
        <v>9880</v>
      </c>
      <c r="L79" s="238">
        <v>0.6098765432098765</v>
      </c>
      <c r="M79" s="238">
        <v>152</v>
      </c>
      <c r="N79" s="238">
        <v>62</v>
      </c>
      <c r="O79" s="238">
        <v>9424</v>
      </c>
      <c r="P79" s="688">
        <v>0.58172839506172835</v>
      </c>
      <c r="Q79" s="719">
        <v>152</v>
      </c>
    </row>
    <row r="80" spans="1:17" ht="14.4" customHeight="1" x14ac:dyDescent="0.3">
      <c r="A80" s="686" t="s">
        <v>507</v>
      </c>
      <c r="B80" s="677" t="s">
        <v>1597</v>
      </c>
      <c r="C80" s="677" t="s">
        <v>1452</v>
      </c>
      <c r="D80" s="677" t="s">
        <v>1703</v>
      </c>
      <c r="E80" s="677" t="s">
        <v>1704</v>
      </c>
      <c r="F80" s="238">
        <v>2</v>
      </c>
      <c r="G80" s="238">
        <v>370</v>
      </c>
      <c r="H80" s="238">
        <v>1</v>
      </c>
      <c r="I80" s="238">
        <v>185</v>
      </c>
      <c r="J80" s="238">
        <v>3</v>
      </c>
      <c r="K80" s="238">
        <v>555</v>
      </c>
      <c r="L80" s="238">
        <v>1.5</v>
      </c>
      <c r="M80" s="238">
        <v>185</v>
      </c>
      <c r="N80" s="238">
        <v>1</v>
      </c>
      <c r="O80" s="238">
        <v>185</v>
      </c>
      <c r="P80" s="688">
        <v>0.5</v>
      </c>
      <c r="Q80" s="719">
        <v>185</v>
      </c>
    </row>
    <row r="81" spans="1:17" ht="14.4" customHeight="1" x14ac:dyDescent="0.3">
      <c r="A81" s="686" t="s">
        <v>507</v>
      </c>
      <c r="B81" s="677" t="s">
        <v>1597</v>
      </c>
      <c r="C81" s="677" t="s">
        <v>1452</v>
      </c>
      <c r="D81" s="677" t="s">
        <v>1705</v>
      </c>
      <c r="E81" s="677" t="s">
        <v>1706</v>
      </c>
      <c r="F81" s="238"/>
      <c r="G81" s="238"/>
      <c r="H81" s="238"/>
      <c r="I81" s="238"/>
      <c r="J81" s="238">
        <v>4</v>
      </c>
      <c r="K81" s="238">
        <v>1924</v>
      </c>
      <c r="L81" s="238"/>
      <c r="M81" s="238">
        <v>481</v>
      </c>
      <c r="N81" s="238">
        <v>5</v>
      </c>
      <c r="O81" s="238">
        <v>2405</v>
      </c>
      <c r="P81" s="688"/>
      <c r="Q81" s="719">
        <v>481</v>
      </c>
    </row>
    <row r="82" spans="1:17" ht="14.4" customHeight="1" x14ac:dyDescent="0.3">
      <c r="A82" s="686" t="s">
        <v>507</v>
      </c>
      <c r="B82" s="677" t="s">
        <v>1597</v>
      </c>
      <c r="C82" s="677" t="s">
        <v>1452</v>
      </c>
      <c r="D82" s="677" t="s">
        <v>1707</v>
      </c>
      <c r="E82" s="677" t="s">
        <v>1708</v>
      </c>
      <c r="F82" s="238">
        <v>8</v>
      </c>
      <c r="G82" s="238">
        <v>5248</v>
      </c>
      <c r="H82" s="238">
        <v>1</v>
      </c>
      <c r="I82" s="238">
        <v>656</v>
      </c>
      <c r="J82" s="238"/>
      <c r="K82" s="238"/>
      <c r="L82" s="238"/>
      <c r="M82" s="238"/>
      <c r="N82" s="238"/>
      <c r="O82" s="238"/>
      <c r="P82" s="688"/>
      <c r="Q82" s="719"/>
    </row>
    <row r="83" spans="1:17" ht="14.4" customHeight="1" x14ac:dyDescent="0.3">
      <c r="A83" s="686" t="s">
        <v>507</v>
      </c>
      <c r="B83" s="677" t="s">
        <v>1597</v>
      </c>
      <c r="C83" s="677" t="s">
        <v>1452</v>
      </c>
      <c r="D83" s="677" t="s">
        <v>1556</v>
      </c>
      <c r="E83" s="677" t="s">
        <v>1557</v>
      </c>
      <c r="F83" s="238"/>
      <c r="G83" s="238"/>
      <c r="H83" s="238"/>
      <c r="I83" s="238"/>
      <c r="J83" s="238">
        <v>5</v>
      </c>
      <c r="K83" s="238">
        <v>5005</v>
      </c>
      <c r="L83" s="238"/>
      <c r="M83" s="238">
        <v>1001</v>
      </c>
      <c r="N83" s="238">
        <v>6</v>
      </c>
      <c r="O83" s="238">
        <v>6006</v>
      </c>
      <c r="P83" s="688"/>
      <c r="Q83" s="719">
        <v>1001</v>
      </c>
    </row>
    <row r="84" spans="1:17" ht="14.4" customHeight="1" x14ac:dyDescent="0.3">
      <c r="A84" s="686" t="s">
        <v>507</v>
      </c>
      <c r="B84" s="677" t="s">
        <v>1597</v>
      </c>
      <c r="C84" s="677" t="s">
        <v>1452</v>
      </c>
      <c r="D84" s="677" t="s">
        <v>1709</v>
      </c>
      <c r="E84" s="677" t="s">
        <v>1710</v>
      </c>
      <c r="F84" s="238">
        <v>1</v>
      </c>
      <c r="G84" s="238">
        <v>1993</v>
      </c>
      <c r="H84" s="238">
        <v>1</v>
      </c>
      <c r="I84" s="238">
        <v>1993</v>
      </c>
      <c r="J84" s="238">
        <v>2</v>
      </c>
      <c r="K84" s="238">
        <v>4000</v>
      </c>
      <c r="L84" s="238">
        <v>2.0070245860511791</v>
      </c>
      <c r="M84" s="238">
        <v>2000</v>
      </c>
      <c r="N84" s="238">
        <v>1</v>
      </c>
      <c r="O84" s="238">
        <v>2000</v>
      </c>
      <c r="P84" s="688">
        <v>1.0035122930255895</v>
      </c>
      <c r="Q84" s="719">
        <v>2000</v>
      </c>
    </row>
    <row r="85" spans="1:17" ht="14.4" customHeight="1" x14ac:dyDescent="0.3">
      <c r="A85" s="686" t="s">
        <v>507</v>
      </c>
      <c r="B85" s="677" t="s">
        <v>1597</v>
      </c>
      <c r="C85" s="677" t="s">
        <v>1452</v>
      </c>
      <c r="D85" s="677" t="s">
        <v>1711</v>
      </c>
      <c r="E85" s="677" t="s">
        <v>1712</v>
      </c>
      <c r="F85" s="238">
        <v>1</v>
      </c>
      <c r="G85" s="238">
        <v>3578</v>
      </c>
      <c r="H85" s="238">
        <v>1</v>
      </c>
      <c r="I85" s="238">
        <v>3578</v>
      </c>
      <c r="J85" s="238"/>
      <c r="K85" s="238"/>
      <c r="L85" s="238"/>
      <c r="M85" s="238"/>
      <c r="N85" s="238"/>
      <c r="O85" s="238"/>
      <c r="P85" s="688"/>
      <c r="Q85" s="719"/>
    </row>
    <row r="86" spans="1:17" ht="14.4" customHeight="1" x14ac:dyDescent="0.3">
      <c r="A86" s="686" t="s">
        <v>507</v>
      </c>
      <c r="B86" s="677" t="s">
        <v>1597</v>
      </c>
      <c r="C86" s="677" t="s">
        <v>1452</v>
      </c>
      <c r="D86" s="677" t="s">
        <v>1713</v>
      </c>
      <c r="E86" s="677" t="s">
        <v>1714</v>
      </c>
      <c r="F86" s="238">
        <v>172</v>
      </c>
      <c r="G86" s="238">
        <v>39732</v>
      </c>
      <c r="H86" s="238">
        <v>1</v>
      </c>
      <c r="I86" s="238">
        <v>231</v>
      </c>
      <c r="J86" s="238">
        <v>114</v>
      </c>
      <c r="K86" s="238">
        <v>26447</v>
      </c>
      <c r="L86" s="238">
        <v>0.66563475284405516</v>
      </c>
      <c r="M86" s="238">
        <v>231.99122807017545</v>
      </c>
      <c r="N86" s="238">
        <v>150</v>
      </c>
      <c r="O86" s="238">
        <v>34800</v>
      </c>
      <c r="P86" s="688">
        <v>0.87586831772878282</v>
      </c>
      <c r="Q86" s="719">
        <v>232</v>
      </c>
    </row>
    <row r="87" spans="1:17" ht="14.4" customHeight="1" x14ac:dyDescent="0.3">
      <c r="A87" s="686" t="s">
        <v>507</v>
      </c>
      <c r="B87" s="677" t="s">
        <v>1597</v>
      </c>
      <c r="C87" s="677" t="s">
        <v>1452</v>
      </c>
      <c r="D87" s="677" t="s">
        <v>1715</v>
      </c>
      <c r="E87" s="677" t="s">
        <v>1716</v>
      </c>
      <c r="F87" s="238">
        <v>2</v>
      </c>
      <c r="G87" s="238">
        <v>4566</v>
      </c>
      <c r="H87" s="238">
        <v>1</v>
      </c>
      <c r="I87" s="238">
        <v>2283</v>
      </c>
      <c r="J87" s="238"/>
      <c r="K87" s="238"/>
      <c r="L87" s="238"/>
      <c r="M87" s="238"/>
      <c r="N87" s="238"/>
      <c r="O87" s="238"/>
      <c r="P87" s="688"/>
      <c r="Q87" s="719"/>
    </row>
    <row r="88" spans="1:17" ht="14.4" customHeight="1" x14ac:dyDescent="0.3">
      <c r="A88" s="686" t="s">
        <v>507</v>
      </c>
      <c r="B88" s="677" t="s">
        <v>1597</v>
      </c>
      <c r="C88" s="677" t="s">
        <v>1452</v>
      </c>
      <c r="D88" s="677" t="s">
        <v>1717</v>
      </c>
      <c r="E88" s="677" t="s">
        <v>1718</v>
      </c>
      <c r="F88" s="238"/>
      <c r="G88" s="238"/>
      <c r="H88" s="238"/>
      <c r="I88" s="238"/>
      <c r="J88" s="238">
        <v>2</v>
      </c>
      <c r="K88" s="238">
        <v>13638</v>
      </c>
      <c r="L88" s="238"/>
      <c r="M88" s="238">
        <v>6819</v>
      </c>
      <c r="N88" s="238">
        <v>1</v>
      </c>
      <c r="O88" s="238">
        <v>6819</v>
      </c>
      <c r="P88" s="688"/>
      <c r="Q88" s="719">
        <v>6819</v>
      </c>
    </row>
    <row r="89" spans="1:17" ht="14.4" customHeight="1" x14ac:dyDescent="0.3">
      <c r="A89" s="686" t="s">
        <v>507</v>
      </c>
      <c r="B89" s="677" t="s">
        <v>1597</v>
      </c>
      <c r="C89" s="677" t="s">
        <v>1452</v>
      </c>
      <c r="D89" s="677" t="s">
        <v>1719</v>
      </c>
      <c r="E89" s="677" t="s">
        <v>1720</v>
      </c>
      <c r="F89" s="238"/>
      <c r="G89" s="238"/>
      <c r="H89" s="238"/>
      <c r="I89" s="238"/>
      <c r="J89" s="238">
        <v>2</v>
      </c>
      <c r="K89" s="238">
        <v>10068</v>
      </c>
      <c r="L89" s="238"/>
      <c r="M89" s="238">
        <v>5034</v>
      </c>
      <c r="N89" s="238"/>
      <c r="O89" s="238"/>
      <c r="P89" s="688"/>
      <c r="Q89" s="719"/>
    </row>
    <row r="90" spans="1:17" ht="14.4" customHeight="1" x14ac:dyDescent="0.3">
      <c r="A90" s="686" t="s">
        <v>507</v>
      </c>
      <c r="B90" s="677" t="s">
        <v>1597</v>
      </c>
      <c r="C90" s="677" t="s">
        <v>1452</v>
      </c>
      <c r="D90" s="677" t="s">
        <v>1721</v>
      </c>
      <c r="E90" s="677" t="s">
        <v>1722</v>
      </c>
      <c r="F90" s="238">
        <v>2</v>
      </c>
      <c r="G90" s="238">
        <v>4968</v>
      </c>
      <c r="H90" s="238">
        <v>1</v>
      </c>
      <c r="I90" s="238">
        <v>2484</v>
      </c>
      <c r="J90" s="238">
        <v>2</v>
      </c>
      <c r="K90" s="238">
        <v>4998</v>
      </c>
      <c r="L90" s="238">
        <v>1.0060386473429952</v>
      </c>
      <c r="M90" s="238">
        <v>2499</v>
      </c>
      <c r="N90" s="238"/>
      <c r="O90" s="238"/>
      <c r="P90" s="688"/>
      <c r="Q90" s="719"/>
    </row>
    <row r="91" spans="1:17" ht="14.4" customHeight="1" x14ac:dyDescent="0.3">
      <c r="A91" s="686" t="s">
        <v>507</v>
      </c>
      <c r="B91" s="677" t="s">
        <v>1597</v>
      </c>
      <c r="C91" s="677" t="s">
        <v>1452</v>
      </c>
      <c r="D91" s="677" t="s">
        <v>1723</v>
      </c>
      <c r="E91" s="677" t="s">
        <v>1724</v>
      </c>
      <c r="F91" s="238">
        <v>1</v>
      </c>
      <c r="G91" s="238">
        <v>4891</v>
      </c>
      <c r="H91" s="238">
        <v>1</v>
      </c>
      <c r="I91" s="238">
        <v>4891</v>
      </c>
      <c r="J91" s="238"/>
      <c r="K91" s="238"/>
      <c r="L91" s="238"/>
      <c r="M91" s="238"/>
      <c r="N91" s="238">
        <v>1</v>
      </c>
      <c r="O91" s="238">
        <v>4925</v>
      </c>
      <c r="P91" s="688">
        <v>1.006951543651605</v>
      </c>
      <c r="Q91" s="719">
        <v>4925</v>
      </c>
    </row>
    <row r="92" spans="1:17" ht="14.4" customHeight="1" x14ac:dyDescent="0.3">
      <c r="A92" s="686" t="s">
        <v>507</v>
      </c>
      <c r="B92" s="677" t="s">
        <v>1597</v>
      </c>
      <c r="C92" s="677" t="s">
        <v>1452</v>
      </c>
      <c r="D92" s="677" t="s">
        <v>1725</v>
      </c>
      <c r="E92" s="677" t="s">
        <v>1726</v>
      </c>
      <c r="F92" s="238">
        <v>8</v>
      </c>
      <c r="G92" s="238">
        <v>8592</v>
      </c>
      <c r="H92" s="238">
        <v>1</v>
      </c>
      <c r="I92" s="238">
        <v>1074</v>
      </c>
      <c r="J92" s="238">
        <v>3</v>
      </c>
      <c r="K92" s="238">
        <v>3249</v>
      </c>
      <c r="L92" s="238">
        <v>0.37814245810055863</v>
      </c>
      <c r="M92" s="238">
        <v>1083</v>
      </c>
      <c r="N92" s="238">
        <v>4</v>
      </c>
      <c r="O92" s="238">
        <v>4332</v>
      </c>
      <c r="P92" s="688">
        <v>0.50418994413407825</v>
      </c>
      <c r="Q92" s="719">
        <v>1083</v>
      </c>
    </row>
    <row r="93" spans="1:17" ht="14.4" customHeight="1" x14ac:dyDescent="0.3">
      <c r="A93" s="686" t="s">
        <v>507</v>
      </c>
      <c r="B93" s="677" t="s">
        <v>1597</v>
      </c>
      <c r="C93" s="677" t="s">
        <v>1452</v>
      </c>
      <c r="D93" s="677" t="s">
        <v>1727</v>
      </c>
      <c r="E93" s="677" t="s">
        <v>1728</v>
      </c>
      <c r="F93" s="238">
        <v>3</v>
      </c>
      <c r="G93" s="238">
        <v>3369</v>
      </c>
      <c r="H93" s="238">
        <v>1</v>
      </c>
      <c r="I93" s="238">
        <v>1123</v>
      </c>
      <c r="J93" s="238"/>
      <c r="K93" s="238"/>
      <c r="L93" s="238"/>
      <c r="M93" s="238"/>
      <c r="N93" s="238">
        <v>1</v>
      </c>
      <c r="O93" s="238">
        <v>1132</v>
      </c>
      <c r="P93" s="688">
        <v>0.33600474918373402</v>
      </c>
      <c r="Q93" s="719">
        <v>1132</v>
      </c>
    </row>
    <row r="94" spans="1:17" ht="14.4" customHeight="1" x14ac:dyDescent="0.3">
      <c r="A94" s="686" t="s">
        <v>507</v>
      </c>
      <c r="B94" s="677" t="s">
        <v>1597</v>
      </c>
      <c r="C94" s="677" t="s">
        <v>1452</v>
      </c>
      <c r="D94" s="677" t="s">
        <v>1729</v>
      </c>
      <c r="E94" s="677" t="s">
        <v>1730</v>
      </c>
      <c r="F94" s="238">
        <v>2</v>
      </c>
      <c r="G94" s="238">
        <v>2270</v>
      </c>
      <c r="H94" s="238">
        <v>1</v>
      </c>
      <c r="I94" s="238">
        <v>1135</v>
      </c>
      <c r="J94" s="238"/>
      <c r="K94" s="238"/>
      <c r="L94" s="238"/>
      <c r="M94" s="238"/>
      <c r="N94" s="238">
        <v>10</v>
      </c>
      <c r="O94" s="238">
        <v>11440</v>
      </c>
      <c r="P94" s="688">
        <v>5.0396475770925111</v>
      </c>
      <c r="Q94" s="719">
        <v>1144</v>
      </c>
    </row>
    <row r="95" spans="1:17" ht="14.4" customHeight="1" x14ac:dyDescent="0.3">
      <c r="A95" s="686" t="s">
        <v>507</v>
      </c>
      <c r="B95" s="677" t="s">
        <v>1597</v>
      </c>
      <c r="C95" s="677" t="s">
        <v>1452</v>
      </c>
      <c r="D95" s="677" t="s">
        <v>1731</v>
      </c>
      <c r="E95" s="677" t="s">
        <v>1732</v>
      </c>
      <c r="F95" s="238">
        <v>4</v>
      </c>
      <c r="G95" s="238">
        <v>2656</v>
      </c>
      <c r="H95" s="238">
        <v>1</v>
      </c>
      <c r="I95" s="238">
        <v>664</v>
      </c>
      <c r="J95" s="238">
        <v>5</v>
      </c>
      <c r="K95" s="238">
        <v>3348</v>
      </c>
      <c r="L95" s="238">
        <v>1.2605421686746987</v>
      </c>
      <c r="M95" s="238">
        <v>669.6</v>
      </c>
      <c r="N95" s="238">
        <v>5</v>
      </c>
      <c r="O95" s="238">
        <v>3360</v>
      </c>
      <c r="P95" s="688">
        <v>1.2650602409638554</v>
      </c>
      <c r="Q95" s="719">
        <v>672</v>
      </c>
    </row>
    <row r="96" spans="1:17" ht="14.4" customHeight="1" x14ac:dyDescent="0.3">
      <c r="A96" s="686" t="s">
        <v>507</v>
      </c>
      <c r="B96" s="677" t="s">
        <v>1597</v>
      </c>
      <c r="C96" s="677" t="s">
        <v>1452</v>
      </c>
      <c r="D96" s="677" t="s">
        <v>1733</v>
      </c>
      <c r="E96" s="677" t="s">
        <v>1734</v>
      </c>
      <c r="F96" s="238">
        <v>1</v>
      </c>
      <c r="G96" s="238">
        <v>4502</v>
      </c>
      <c r="H96" s="238">
        <v>1</v>
      </c>
      <c r="I96" s="238">
        <v>4502</v>
      </c>
      <c r="J96" s="238"/>
      <c r="K96" s="238"/>
      <c r="L96" s="238"/>
      <c r="M96" s="238"/>
      <c r="N96" s="238"/>
      <c r="O96" s="238"/>
      <c r="P96" s="688"/>
      <c r="Q96" s="719"/>
    </row>
    <row r="97" spans="1:17" ht="14.4" customHeight="1" x14ac:dyDescent="0.3">
      <c r="A97" s="686" t="s">
        <v>507</v>
      </c>
      <c r="B97" s="677" t="s">
        <v>1597</v>
      </c>
      <c r="C97" s="677" t="s">
        <v>1452</v>
      </c>
      <c r="D97" s="677" t="s">
        <v>1735</v>
      </c>
      <c r="E97" s="677" t="s">
        <v>1736</v>
      </c>
      <c r="F97" s="238"/>
      <c r="G97" s="238"/>
      <c r="H97" s="238"/>
      <c r="I97" s="238"/>
      <c r="J97" s="238"/>
      <c r="K97" s="238"/>
      <c r="L97" s="238"/>
      <c r="M97" s="238"/>
      <c r="N97" s="238">
        <v>2</v>
      </c>
      <c r="O97" s="238">
        <v>3822</v>
      </c>
      <c r="P97" s="688"/>
      <c r="Q97" s="719">
        <v>1911</v>
      </c>
    </row>
    <row r="98" spans="1:17" ht="14.4" customHeight="1" x14ac:dyDescent="0.3">
      <c r="A98" s="686" t="s">
        <v>507</v>
      </c>
      <c r="B98" s="677" t="s">
        <v>1597</v>
      </c>
      <c r="C98" s="677" t="s">
        <v>1452</v>
      </c>
      <c r="D98" s="677" t="s">
        <v>1737</v>
      </c>
      <c r="E98" s="677" t="s">
        <v>1738</v>
      </c>
      <c r="F98" s="238">
        <v>2</v>
      </c>
      <c r="G98" s="238">
        <v>2528</v>
      </c>
      <c r="H98" s="238">
        <v>1</v>
      </c>
      <c r="I98" s="238">
        <v>1264</v>
      </c>
      <c r="J98" s="238"/>
      <c r="K98" s="238"/>
      <c r="L98" s="238"/>
      <c r="M98" s="238"/>
      <c r="N98" s="238"/>
      <c r="O98" s="238"/>
      <c r="P98" s="688"/>
      <c r="Q98" s="719"/>
    </row>
    <row r="99" spans="1:17" ht="14.4" customHeight="1" x14ac:dyDescent="0.3">
      <c r="A99" s="686" t="s">
        <v>507</v>
      </c>
      <c r="B99" s="677" t="s">
        <v>1597</v>
      </c>
      <c r="C99" s="677" t="s">
        <v>1452</v>
      </c>
      <c r="D99" s="677" t="s">
        <v>1739</v>
      </c>
      <c r="E99" s="677" t="s">
        <v>1740</v>
      </c>
      <c r="F99" s="238">
        <v>3</v>
      </c>
      <c r="G99" s="238">
        <v>2946</v>
      </c>
      <c r="H99" s="238">
        <v>1</v>
      </c>
      <c r="I99" s="238">
        <v>982</v>
      </c>
      <c r="J99" s="238"/>
      <c r="K99" s="238"/>
      <c r="L99" s="238"/>
      <c r="M99" s="238"/>
      <c r="N99" s="238"/>
      <c r="O99" s="238"/>
      <c r="P99" s="688"/>
      <c r="Q99" s="719"/>
    </row>
    <row r="100" spans="1:17" ht="14.4" customHeight="1" x14ac:dyDescent="0.3">
      <c r="A100" s="686" t="s">
        <v>507</v>
      </c>
      <c r="B100" s="677" t="s">
        <v>1597</v>
      </c>
      <c r="C100" s="677" t="s">
        <v>1452</v>
      </c>
      <c r="D100" s="677" t="s">
        <v>1560</v>
      </c>
      <c r="E100" s="677" t="s">
        <v>1561</v>
      </c>
      <c r="F100" s="238">
        <v>1</v>
      </c>
      <c r="G100" s="238">
        <v>154</v>
      </c>
      <c r="H100" s="238">
        <v>1</v>
      </c>
      <c r="I100" s="238">
        <v>154</v>
      </c>
      <c r="J100" s="238"/>
      <c r="K100" s="238"/>
      <c r="L100" s="238"/>
      <c r="M100" s="238"/>
      <c r="N100" s="238"/>
      <c r="O100" s="238"/>
      <c r="P100" s="688"/>
      <c r="Q100" s="719"/>
    </row>
    <row r="101" spans="1:17" ht="14.4" customHeight="1" x14ac:dyDescent="0.3">
      <c r="A101" s="686" t="s">
        <v>507</v>
      </c>
      <c r="B101" s="677" t="s">
        <v>1597</v>
      </c>
      <c r="C101" s="677" t="s">
        <v>1452</v>
      </c>
      <c r="D101" s="677" t="s">
        <v>1741</v>
      </c>
      <c r="E101" s="677" t="s">
        <v>1742</v>
      </c>
      <c r="F101" s="238">
        <v>1</v>
      </c>
      <c r="G101" s="238">
        <v>409</v>
      </c>
      <c r="H101" s="238">
        <v>1</v>
      </c>
      <c r="I101" s="238">
        <v>409</v>
      </c>
      <c r="J101" s="238"/>
      <c r="K101" s="238"/>
      <c r="L101" s="238"/>
      <c r="M101" s="238"/>
      <c r="N101" s="238"/>
      <c r="O101" s="238"/>
      <c r="P101" s="688"/>
      <c r="Q101" s="719"/>
    </row>
    <row r="102" spans="1:17" ht="14.4" customHeight="1" x14ac:dyDescent="0.3">
      <c r="A102" s="686" t="s">
        <v>507</v>
      </c>
      <c r="B102" s="677" t="s">
        <v>1597</v>
      </c>
      <c r="C102" s="677" t="s">
        <v>1452</v>
      </c>
      <c r="D102" s="677" t="s">
        <v>1743</v>
      </c>
      <c r="E102" s="677" t="s">
        <v>1744</v>
      </c>
      <c r="F102" s="238">
        <v>1</v>
      </c>
      <c r="G102" s="238">
        <v>311</v>
      </c>
      <c r="H102" s="238">
        <v>1</v>
      </c>
      <c r="I102" s="238">
        <v>311</v>
      </c>
      <c r="J102" s="238">
        <v>1</v>
      </c>
      <c r="K102" s="238">
        <v>313</v>
      </c>
      <c r="L102" s="238">
        <v>1.0064308681672025</v>
      </c>
      <c r="M102" s="238">
        <v>313</v>
      </c>
      <c r="N102" s="238"/>
      <c r="O102" s="238"/>
      <c r="P102" s="688"/>
      <c r="Q102" s="719"/>
    </row>
    <row r="103" spans="1:17" ht="14.4" customHeight="1" x14ac:dyDescent="0.3">
      <c r="A103" s="686" t="s">
        <v>507</v>
      </c>
      <c r="B103" s="677" t="s">
        <v>1597</v>
      </c>
      <c r="C103" s="677" t="s">
        <v>1452</v>
      </c>
      <c r="D103" s="677" t="s">
        <v>1562</v>
      </c>
      <c r="E103" s="677" t="s">
        <v>1563</v>
      </c>
      <c r="F103" s="238"/>
      <c r="G103" s="238"/>
      <c r="H103" s="238"/>
      <c r="I103" s="238"/>
      <c r="J103" s="238">
        <v>1</v>
      </c>
      <c r="K103" s="238">
        <v>90</v>
      </c>
      <c r="L103" s="238"/>
      <c r="M103" s="238">
        <v>90</v>
      </c>
      <c r="N103" s="238"/>
      <c r="O103" s="238"/>
      <c r="P103" s="688"/>
      <c r="Q103" s="719"/>
    </row>
    <row r="104" spans="1:17" ht="14.4" customHeight="1" x14ac:dyDescent="0.3">
      <c r="A104" s="686" t="s">
        <v>507</v>
      </c>
      <c r="B104" s="677" t="s">
        <v>1597</v>
      </c>
      <c r="C104" s="677" t="s">
        <v>1452</v>
      </c>
      <c r="D104" s="677" t="s">
        <v>1745</v>
      </c>
      <c r="E104" s="677" t="s">
        <v>1746</v>
      </c>
      <c r="F104" s="238">
        <v>3</v>
      </c>
      <c r="G104" s="238">
        <v>5544</v>
      </c>
      <c r="H104" s="238">
        <v>1</v>
      </c>
      <c r="I104" s="238">
        <v>1848</v>
      </c>
      <c r="J104" s="238">
        <v>4</v>
      </c>
      <c r="K104" s="238">
        <v>7456</v>
      </c>
      <c r="L104" s="238">
        <v>1.3448773448773448</v>
      </c>
      <c r="M104" s="238">
        <v>1864</v>
      </c>
      <c r="N104" s="238">
        <v>4</v>
      </c>
      <c r="O104" s="238">
        <v>7456</v>
      </c>
      <c r="P104" s="688">
        <v>1.3448773448773448</v>
      </c>
      <c r="Q104" s="719">
        <v>1864</v>
      </c>
    </row>
    <row r="105" spans="1:17" ht="14.4" customHeight="1" x14ac:dyDescent="0.3">
      <c r="A105" s="686" t="s">
        <v>507</v>
      </c>
      <c r="B105" s="677" t="s">
        <v>1597</v>
      </c>
      <c r="C105" s="677" t="s">
        <v>1452</v>
      </c>
      <c r="D105" s="677" t="s">
        <v>1747</v>
      </c>
      <c r="E105" s="677" t="s">
        <v>1748</v>
      </c>
      <c r="F105" s="238"/>
      <c r="G105" s="238"/>
      <c r="H105" s="238"/>
      <c r="I105" s="238"/>
      <c r="J105" s="238">
        <v>2</v>
      </c>
      <c r="K105" s="238">
        <v>4722</v>
      </c>
      <c r="L105" s="238"/>
      <c r="M105" s="238">
        <v>2361</v>
      </c>
      <c r="N105" s="238">
        <v>2</v>
      </c>
      <c r="O105" s="238">
        <v>4722</v>
      </c>
      <c r="P105" s="688"/>
      <c r="Q105" s="719">
        <v>2361</v>
      </c>
    </row>
    <row r="106" spans="1:17" ht="14.4" customHeight="1" x14ac:dyDescent="0.3">
      <c r="A106" s="686" t="s">
        <v>507</v>
      </c>
      <c r="B106" s="677" t="s">
        <v>1597</v>
      </c>
      <c r="C106" s="677" t="s">
        <v>1452</v>
      </c>
      <c r="D106" s="677" t="s">
        <v>1749</v>
      </c>
      <c r="E106" s="677" t="s">
        <v>1750</v>
      </c>
      <c r="F106" s="238">
        <v>1</v>
      </c>
      <c r="G106" s="238">
        <v>1259</v>
      </c>
      <c r="H106" s="238">
        <v>1</v>
      </c>
      <c r="I106" s="238">
        <v>1259</v>
      </c>
      <c r="J106" s="238"/>
      <c r="K106" s="238"/>
      <c r="L106" s="238"/>
      <c r="M106" s="238"/>
      <c r="N106" s="238">
        <v>1</v>
      </c>
      <c r="O106" s="238">
        <v>1266</v>
      </c>
      <c r="P106" s="688">
        <v>1.005559968228753</v>
      </c>
      <c r="Q106" s="719">
        <v>1266</v>
      </c>
    </row>
    <row r="107" spans="1:17" ht="14.4" customHeight="1" x14ac:dyDescent="0.3">
      <c r="A107" s="686" t="s">
        <v>507</v>
      </c>
      <c r="B107" s="677" t="s">
        <v>1597</v>
      </c>
      <c r="C107" s="677" t="s">
        <v>1452</v>
      </c>
      <c r="D107" s="677" t="s">
        <v>1564</v>
      </c>
      <c r="E107" s="677" t="s">
        <v>1565</v>
      </c>
      <c r="F107" s="238">
        <v>1</v>
      </c>
      <c r="G107" s="238">
        <v>92</v>
      </c>
      <c r="H107" s="238">
        <v>1</v>
      </c>
      <c r="I107" s="238">
        <v>92</v>
      </c>
      <c r="J107" s="238"/>
      <c r="K107" s="238"/>
      <c r="L107" s="238"/>
      <c r="M107" s="238"/>
      <c r="N107" s="238"/>
      <c r="O107" s="238"/>
      <c r="P107" s="688"/>
      <c r="Q107" s="719"/>
    </row>
    <row r="108" spans="1:17" ht="14.4" customHeight="1" x14ac:dyDescent="0.3">
      <c r="A108" s="686" t="s">
        <v>507</v>
      </c>
      <c r="B108" s="677" t="s">
        <v>1597</v>
      </c>
      <c r="C108" s="677" t="s">
        <v>1452</v>
      </c>
      <c r="D108" s="677" t="s">
        <v>1751</v>
      </c>
      <c r="E108" s="677" t="s">
        <v>1752</v>
      </c>
      <c r="F108" s="238">
        <v>0</v>
      </c>
      <c r="G108" s="238">
        <v>0</v>
      </c>
      <c r="H108" s="238"/>
      <c r="I108" s="238"/>
      <c r="J108" s="238">
        <v>0</v>
      </c>
      <c r="K108" s="238">
        <v>0</v>
      </c>
      <c r="L108" s="238"/>
      <c r="M108" s="238"/>
      <c r="N108" s="238">
        <v>0</v>
      </c>
      <c r="O108" s="238">
        <v>0</v>
      </c>
      <c r="P108" s="688"/>
      <c r="Q108" s="719"/>
    </row>
    <row r="109" spans="1:17" ht="14.4" customHeight="1" x14ac:dyDescent="0.3">
      <c r="A109" s="686" t="s">
        <v>507</v>
      </c>
      <c r="B109" s="677" t="s">
        <v>1597</v>
      </c>
      <c r="C109" s="677" t="s">
        <v>1452</v>
      </c>
      <c r="D109" s="677" t="s">
        <v>1753</v>
      </c>
      <c r="E109" s="677" t="s">
        <v>1754</v>
      </c>
      <c r="F109" s="238">
        <v>38</v>
      </c>
      <c r="G109" s="238">
        <v>0</v>
      </c>
      <c r="H109" s="238"/>
      <c r="I109" s="238">
        <v>0</v>
      </c>
      <c r="J109" s="238">
        <v>43</v>
      </c>
      <c r="K109" s="238">
        <v>0</v>
      </c>
      <c r="L109" s="238"/>
      <c r="M109" s="238">
        <v>0</v>
      </c>
      <c r="N109" s="238">
        <v>56</v>
      </c>
      <c r="O109" s="238">
        <v>0</v>
      </c>
      <c r="P109" s="688"/>
      <c r="Q109" s="719">
        <v>0</v>
      </c>
    </row>
    <row r="110" spans="1:17" ht="14.4" customHeight="1" x14ac:dyDescent="0.3">
      <c r="A110" s="686" t="s">
        <v>507</v>
      </c>
      <c r="B110" s="677" t="s">
        <v>1597</v>
      </c>
      <c r="C110" s="677" t="s">
        <v>1452</v>
      </c>
      <c r="D110" s="677" t="s">
        <v>1499</v>
      </c>
      <c r="E110" s="677" t="s">
        <v>1500</v>
      </c>
      <c r="F110" s="238">
        <v>10</v>
      </c>
      <c r="G110" s="238">
        <v>0</v>
      </c>
      <c r="H110" s="238"/>
      <c r="I110" s="238">
        <v>0</v>
      </c>
      <c r="J110" s="238">
        <v>10</v>
      </c>
      <c r="K110" s="238">
        <v>0</v>
      </c>
      <c r="L110" s="238"/>
      <c r="M110" s="238">
        <v>0</v>
      </c>
      <c r="N110" s="238"/>
      <c r="O110" s="238"/>
      <c r="P110" s="688"/>
      <c r="Q110" s="719"/>
    </row>
    <row r="111" spans="1:17" ht="14.4" customHeight="1" x14ac:dyDescent="0.3">
      <c r="A111" s="686" t="s">
        <v>507</v>
      </c>
      <c r="B111" s="677" t="s">
        <v>1597</v>
      </c>
      <c r="C111" s="677" t="s">
        <v>1452</v>
      </c>
      <c r="D111" s="677" t="s">
        <v>1755</v>
      </c>
      <c r="E111" s="677" t="s">
        <v>1756</v>
      </c>
      <c r="F111" s="238">
        <v>19</v>
      </c>
      <c r="G111" s="238">
        <v>0</v>
      </c>
      <c r="H111" s="238"/>
      <c r="I111" s="238">
        <v>0</v>
      </c>
      <c r="J111" s="238">
        <v>4</v>
      </c>
      <c r="K111" s="238">
        <v>0</v>
      </c>
      <c r="L111" s="238"/>
      <c r="M111" s="238">
        <v>0</v>
      </c>
      <c r="N111" s="238">
        <v>9</v>
      </c>
      <c r="O111" s="238">
        <v>0</v>
      </c>
      <c r="P111" s="688"/>
      <c r="Q111" s="719">
        <v>0</v>
      </c>
    </row>
    <row r="112" spans="1:17" ht="14.4" customHeight="1" x14ac:dyDescent="0.3">
      <c r="A112" s="686" t="s">
        <v>507</v>
      </c>
      <c r="B112" s="677" t="s">
        <v>1597</v>
      </c>
      <c r="C112" s="677" t="s">
        <v>1452</v>
      </c>
      <c r="D112" s="677" t="s">
        <v>1757</v>
      </c>
      <c r="E112" s="677" t="s">
        <v>1758</v>
      </c>
      <c r="F112" s="238">
        <v>6</v>
      </c>
      <c r="G112" s="238">
        <v>618</v>
      </c>
      <c r="H112" s="238">
        <v>1</v>
      </c>
      <c r="I112" s="238">
        <v>103</v>
      </c>
      <c r="J112" s="238"/>
      <c r="K112" s="238"/>
      <c r="L112" s="238"/>
      <c r="M112" s="238"/>
      <c r="N112" s="238"/>
      <c r="O112" s="238"/>
      <c r="P112" s="688"/>
      <c r="Q112" s="719"/>
    </row>
    <row r="113" spans="1:17" ht="14.4" customHeight="1" x14ac:dyDescent="0.3">
      <c r="A113" s="686" t="s">
        <v>507</v>
      </c>
      <c r="B113" s="677" t="s">
        <v>1597</v>
      </c>
      <c r="C113" s="677" t="s">
        <v>1452</v>
      </c>
      <c r="D113" s="677" t="s">
        <v>1759</v>
      </c>
      <c r="E113" s="677" t="s">
        <v>1760</v>
      </c>
      <c r="F113" s="238">
        <v>590</v>
      </c>
      <c r="G113" s="238">
        <v>0</v>
      </c>
      <c r="H113" s="238"/>
      <c r="I113" s="238">
        <v>0</v>
      </c>
      <c r="J113" s="238">
        <v>353</v>
      </c>
      <c r="K113" s="238">
        <v>0</v>
      </c>
      <c r="L113" s="238"/>
      <c r="M113" s="238">
        <v>0</v>
      </c>
      <c r="N113" s="238"/>
      <c r="O113" s="238"/>
      <c r="P113" s="688"/>
      <c r="Q113" s="719"/>
    </row>
    <row r="114" spans="1:17" ht="14.4" customHeight="1" x14ac:dyDescent="0.3">
      <c r="A114" s="686" t="s">
        <v>507</v>
      </c>
      <c r="B114" s="677" t="s">
        <v>1597</v>
      </c>
      <c r="C114" s="677" t="s">
        <v>1452</v>
      </c>
      <c r="D114" s="677" t="s">
        <v>1568</v>
      </c>
      <c r="E114" s="677" t="s">
        <v>1569</v>
      </c>
      <c r="F114" s="238">
        <v>8</v>
      </c>
      <c r="G114" s="238">
        <v>600</v>
      </c>
      <c r="H114" s="238">
        <v>1</v>
      </c>
      <c r="I114" s="238">
        <v>75</v>
      </c>
      <c r="J114" s="238"/>
      <c r="K114" s="238"/>
      <c r="L114" s="238"/>
      <c r="M114" s="238"/>
      <c r="N114" s="238">
        <v>2</v>
      </c>
      <c r="O114" s="238">
        <v>162</v>
      </c>
      <c r="P114" s="688">
        <v>0.27</v>
      </c>
      <c r="Q114" s="719">
        <v>81</v>
      </c>
    </row>
    <row r="115" spans="1:17" ht="14.4" customHeight="1" x14ac:dyDescent="0.3">
      <c r="A115" s="686" t="s">
        <v>507</v>
      </c>
      <c r="B115" s="677" t="s">
        <v>1597</v>
      </c>
      <c r="C115" s="677" t="s">
        <v>1452</v>
      </c>
      <c r="D115" s="677" t="s">
        <v>1761</v>
      </c>
      <c r="E115" s="677" t="s">
        <v>1762</v>
      </c>
      <c r="F115" s="238">
        <v>637</v>
      </c>
      <c r="G115" s="238">
        <v>681424</v>
      </c>
      <c r="H115" s="238">
        <v>1</v>
      </c>
      <c r="I115" s="238">
        <v>1069.7394034536892</v>
      </c>
      <c r="J115" s="238">
        <v>404</v>
      </c>
      <c r="K115" s="238">
        <v>423740</v>
      </c>
      <c r="L115" s="238">
        <v>0.62184484256498151</v>
      </c>
      <c r="M115" s="238">
        <v>1048.8613861386139</v>
      </c>
      <c r="N115" s="238">
        <v>550</v>
      </c>
      <c r="O115" s="238">
        <v>581447</v>
      </c>
      <c r="P115" s="688">
        <v>0.85328224424147081</v>
      </c>
      <c r="Q115" s="719">
        <v>1057.1763636363637</v>
      </c>
    </row>
    <row r="116" spans="1:17" ht="14.4" customHeight="1" x14ac:dyDescent="0.3">
      <c r="A116" s="686" t="s">
        <v>507</v>
      </c>
      <c r="B116" s="677" t="s">
        <v>1597</v>
      </c>
      <c r="C116" s="677" t="s">
        <v>1452</v>
      </c>
      <c r="D116" s="677" t="s">
        <v>1763</v>
      </c>
      <c r="E116" s="677" t="s">
        <v>1764</v>
      </c>
      <c r="F116" s="238">
        <v>1</v>
      </c>
      <c r="G116" s="238">
        <v>3490</v>
      </c>
      <c r="H116" s="238">
        <v>1</v>
      </c>
      <c r="I116" s="238">
        <v>3490</v>
      </c>
      <c r="J116" s="238"/>
      <c r="K116" s="238"/>
      <c r="L116" s="238"/>
      <c r="M116" s="238"/>
      <c r="N116" s="238"/>
      <c r="O116" s="238"/>
      <c r="P116" s="688"/>
      <c r="Q116" s="719"/>
    </row>
    <row r="117" spans="1:17" ht="14.4" customHeight="1" x14ac:dyDescent="0.3">
      <c r="A117" s="686" t="s">
        <v>507</v>
      </c>
      <c r="B117" s="677" t="s">
        <v>1597</v>
      </c>
      <c r="C117" s="677" t="s">
        <v>1452</v>
      </c>
      <c r="D117" s="677" t="s">
        <v>1765</v>
      </c>
      <c r="E117" s="677" t="s">
        <v>1766</v>
      </c>
      <c r="F117" s="238"/>
      <c r="G117" s="238"/>
      <c r="H117" s="238"/>
      <c r="I117" s="238"/>
      <c r="J117" s="238"/>
      <c r="K117" s="238"/>
      <c r="L117" s="238"/>
      <c r="M117" s="238"/>
      <c r="N117" s="238">
        <v>1</v>
      </c>
      <c r="O117" s="238">
        <v>1892</v>
      </c>
      <c r="P117" s="688"/>
      <c r="Q117" s="719">
        <v>1892</v>
      </c>
    </row>
    <row r="118" spans="1:17" ht="14.4" customHeight="1" x14ac:dyDescent="0.3">
      <c r="A118" s="686" t="s">
        <v>507</v>
      </c>
      <c r="B118" s="677" t="s">
        <v>1597</v>
      </c>
      <c r="C118" s="677" t="s">
        <v>1452</v>
      </c>
      <c r="D118" s="677" t="s">
        <v>1767</v>
      </c>
      <c r="E118" s="677" t="s">
        <v>1768</v>
      </c>
      <c r="F118" s="238">
        <v>1</v>
      </c>
      <c r="G118" s="238">
        <v>5665</v>
      </c>
      <c r="H118" s="238">
        <v>1</v>
      </c>
      <c r="I118" s="238">
        <v>5665</v>
      </c>
      <c r="J118" s="238">
        <v>1</v>
      </c>
      <c r="K118" s="238">
        <v>5701</v>
      </c>
      <c r="L118" s="238">
        <v>1.0063548102383053</v>
      </c>
      <c r="M118" s="238">
        <v>5701</v>
      </c>
      <c r="N118" s="238"/>
      <c r="O118" s="238"/>
      <c r="P118" s="688"/>
      <c r="Q118" s="719"/>
    </row>
    <row r="119" spans="1:17" ht="14.4" customHeight="1" x14ac:dyDescent="0.3">
      <c r="A119" s="686" t="s">
        <v>507</v>
      </c>
      <c r="B119" s="677" t="s">
        <v>1597</v>
      </c>
      <c r="C119" s="677" t="s">
        <v>1452</v>
      </c>
      <c r="D119" s="677" t="s">
        <v>1769</v>
      </c>
      <c r="E119" s="677" t="s">
        <v>1770</v>
      </c>
      <c r="F119" s="238"/>
      <c r="G119" s="238"/>
      <c r="H119" s="238"/>
      <c r="I119" s="238"/>
      <c r="J119" s="238"/>
      <c r="K119" s="238"/>
      <c r="L119" s="238"/>
      <c r="M119" s="238"/>
      <c r="N119" s="238">
        <v>1</v>
      </c>
      <c r="O119" s="238">
        <v>684</v>
      </c>
      <c r="P119" s="688"/>
      <c r="Q119" s="719">
        <v>684</v>
      </c>
    </row>
    <row r="120" spans="1:17" ht="14.4" customHeight="1" x14ac:dyDescent="0.3">
      <c r="A120" s="686" t="s">
        <v>507</v>
      </c>
      <c r="B120" s="677" t="s">
        <v>1597</v>
      </c>
      <c r="C120" s="677" t="s">
        <v>1452</v>
      </c>
      <c r="D120" s="677" t="s">
        <v>1771</v>
      </c>
      <c r="E120" s="677" t="s">
        <v>1772</v>
      </c>
      <c r="F120" s="238"/>
      <c r="G120" s="238"/>
      <c r="H120" s="238"/>
      <c r="I120" s="238"/>
      <c r="J120" s="238"/>
      <c r="K120" s="238"/>
      <c r="L120" s="238"/>
      <c r="M120" s="238"/>
      <c r="N120" s="238">
        <v>2</v>
      </c>
      <c r="O120" s="238">
        <v>5686</v>
      </c>
      <c r="P120" s="688"/>
      <c r="Q120" s="719">
        <v>2843</v>
      </c>
    </row>
    <row r="121" spans="1:17" ht="14.4" customHeight="1" x14ac:dyDescent="0.3">
      <c r="A121" s="686" t="s">
        <v>507</v>
      </c>
      <c r="B121" s="677" t="s">
        <v>1597</v>
      </c>
      <c r="C121" s="677" t="s">
        <v>1452</v>
      </c>
      <c r="D121" s="677" t="s">
        <v>1773</v>
      </c>
      <c r="E121" s="677" t="s">
        <v>1774</v>
      </c>
      <c r="F121" s="238"/>
      <c r="G121" s="238"/>
      <c r="H121" s="238"/>
      <c r="I121" s="238"/>
      <c r="J121" s="238"/>
      <c r="K121" s="238"/>
      <c r="L121" s="238"/>
      <c r="M121" s="238"/>
      <c r="N121" s="238">
        <v>4</v>
      </c>
      <c r="O121" s="238">
        <v>10528</v>
      </c>
      <c r="P121" s="688"/>
      <c r="Q121" s="719">
        <v>2632</v>
      </c>
    </row>
    <row r="122" spans="1:17" ht="14.4" customHeight="1" x14ac:dyDescent="0.3">
      <c r="A122" s="686" t="s">
        <v>507</v>
      </c>
      <c r="B122" s="677" t="s">
        <v>1597</v>
      </c>
      <c r="C122" s="677" t="s">
        <v>1452</v>
      </c>
      <c r="D122" s="677" t="s">
        <v>1775</v>
      </c>
      <c r="E122" s="677" t="s">
        <v>1776</v>
      </c>
      <c r="F122" s="238">
        <v>3</v>
      </c>
      <c r="G122" s="238">
        <v>7353</v>
      </c>
      <c r="H122" s="238">
        <v>1</v>
      </c>
      <c r="I122" s="238">
        <v>2451</v>
      </c>
      <c r="J122" s="238">
        <v>1</v>
      </c>
      <c r="K122" s="238">
        <v>2468</v>
      </c>
      <c r="L122" s="238">
        <v>0.33564531483748128</v>
      </c>
      <c r="M122" s="238">
        <v>2468</v>
      </c>
      <c r="N122" s="238">
        <v>5</v>
      </c>
      <c r="O122" s="238">
        <v>12340</v>
      </c>
      <c r="P122" s="688">
        <v>1.6782265741874065</v>
      </c>
      <c r="Q122" s="719">
        <v>2468</v>
      </c>
    </row>
    <row r="123" spans="1:17" ht="14.4" customHeight="1" x14ac:dyDescent="0.3">
      <c r="A123" s="686" t="s">
        <v>507</v>
      </c>
      <c r="B123" s="677" t="s">
        <v>1597</v>
      </c>
      <c r="C123" s="677" t="s">
        <v>1452</v>
      </c>
      <c r="D123" s="677" t="s">
        <v>1777</v>
      </c>
      <c r="E123" s="677" t="s">
        <v>1778</v>
      </c>
      <c r="F123" s="238">
        <v>1</v>
      </c>
      <c r="G123" s="238">
        <v>5189</v>
      </c>
      <c r="H123" s="238">
        <v>1</v>
      </c>
      <c r="I123" s="238">
        <v>5189</v>
      </c>
      <c r="J123" s="238"/>
      <c r="K123" s="238"/>
      <c r="L123" s="238"/>
      <c r="M123" s="238"/>
      <c r="N123" s="238">
        <v>1</v>
      </c>
      <c r="O123" s="238">
        <v>5227</v>
      </c>
      <c r="P123" s="688">
        <v>1.0073231836577374</v>
      </c>
      <c r="Q123" s="719">
        <v>5227</v>
      </c>
    </row>
    <row r="124" spans="1:17" ht="14.4" customHeight="1" x14ac:dyDescent="0.3">
      <c r="A124" s="686" t="s">
        <v>507</v>
      </c>
      <c r="B124" s="677" t="s">
        <v>1597</v>
      </c>
      <c r="C124" s="677" t="s">
        <v>1452</v>
      </c>
      <c r="D124" s="677" t="s">
        <v>1779</v>
      </c>
      <c r="E124" s="677" t="s">
        <v>1780</v>
      </c>
      <c r="F124" s="238">
        <v>1</v>
      </c>
      <c r="G124" s="238">
        <v>2172</v>
      </c>
      <c r="H124" s="238">
        <v>1</v>
      </c>
      <c r="I124" s="238">
        <v>2172</v>
      </c>
      <c r="J124" s="238">
        <v>3</v>
      </c>
      <c r="K124" s="238">
        <v>6567</v>
      </c>
      <c r="L124" s="238">
        <v>3.0234806629834252</v>
      </c>
      <c r="M124" s="238">
        <v>2189</v>
      </c>
      <c r="N124" s="238">
        <v>2</v>
      </c>
      <c r="O124" s="238">
        <v>4378</v>
      </c>
      <c r="P124" s="688">
        <v>2.0156537753222836</v>
      </c>
      <c r="Q124" s="719">
        <v>2189</v>
      </c>
    </row>
    <row r="125" spans="1:17" ht="14.4" customHeight="1" x14ac:dyDescent="0.3">
      <c r="A125" s="686" t="s">
        <v>507</v>
      </c>
      <c r="B125" s="677" t="s">
        <v>1597</v>
      </c>
      <c r="C125" s="677" t="s">
        <v>1452</v>
      </c>
      <c r="D125" s="677" t="s">
        <v>1781</v>
      </c>
      <c r="E125" s="677" t="s">
        <v>1782</v>
      </c>
      <c r="F125" s="238">
        <v>6</v>
      </c>
      <c r="G125" s="238">
        <v>2868</v>
      </c>
      <c r="H125" s="238">
        <v>1</v>
      </c>
      <c r="I125" s="238">
        <v>478</v>
      </c>
      <c r="J125" s="238"/>
      <c r="K125" s="238"/>
      <c r="L125" s="238"/>
      <c r="M125" s="238"/>
      <c r="N125" s="238"/>
      <c r="O125" s="238"/>
      <c r="P125" s="688"/>
      <c r="Q125" s="719"/>
    </row>
    <row r="126" spans="1:17" ht="14.4" customHeight="1" x14ac:dyDescent="0.3">
      <c r="A126" s="686" t="s">
        <v>507</v>
      </c>
      <c r="B126" s="677" t="s">
        <v>1597</v>
      </c>
      <c r="C126" s="677" t="s">
        <v>1452</v>
      </c>
      <c r="D126" s="677" t="s">
        <v>1783</v>
      </c>
      <c r="E126" s="677" t="s">
        <v>1784</v>
      </c>
      <c r="F126" s="238">
        <v>148</v>
      </c>
      <c r="G126" s="238">
        <v>50613</v>
      </c>
      <c r="H126" s="238">
        <v>1</v>
      </c>
      <c r="I126" s="238">
        <v>341.97972972972974</v>
      </c>
      <c r="J126" s="238">
        <v>84</v>
      </c>
      <c r="K126" s="238">
        <v>28892</v>
      </c>
      <c r="L126" s="238">
        <v>0.57084148341335228</v>
      </c>
      <c r="M126" s="238">
        <v>343.95238095238096</v>
      </c>
      <c r="N126" s="238">
        <v>132</v>
      </c>
      <c r="O126" s="238">
        <v>45408</v>
      </c>
      <c r="P126" s="688">
        <v>0.89716080848793789</v>
      </c>
      <c r="Q126" s="719">
        <v>344</v>
      </c>
    </row>
    <row r="127" spans="1:17" ht="14.4" customHeight="1" x14ac:dyDescent="0.3">
      <c r="A127" s="686" t="s">
        <v>507</v>
      </c>
      <c r="B127" s="677" t="s">
        <v>1597</v>
      </c>
      <c r="C127" s="677" t="s">
        <v>1452</v>
      </c>
      <c r="D127" s="677" t="s">
        <v>1785</v>
      </c>
      <c r="E127" s="677" t="s">
        <v>1786</v>
      </c>
      <c r="F127" s="238">
        <v>2</v>
      </c>
      <c r="G127" s="238">
        <v>2662</v>
      </c>
      <c r="H127" s="238">
        <v>1</v>
      </c>
      <c r="I127" s="238">
        <v>1331</v>
      </c>
      <c r="J127" s="238">
        <v>2</v>
      </c>
      <c r="K127" s="238">
        <v>2676</v>
      </c>
      <c r="L127" s="238">
        <v>1.005259203606311</v>
      </c>
      <c r="M127" s="238">
        <v>1338</v>
      </c>
      <c r="N127" s="238">
        <v>4</v>
      </c>
      <c r="O127" s="238">
        <v>5352</v>
      </c>
      <c r="P127" s="688">
        <v>2.0105184072126221</v>
      </c>
      <c r="Q127" s="719">
        <v>1338</v>
      </c>
    </row>
    <row r="128" spans="1:17" ht="14.4" customHeight="1" x14ac:dyDescent="0.3">
      <c r="A128" s="686" t="s">
        <v>507</v>
      </c>
      <c r="B128" s="677" t="s">
        <v>1597</v>
      </c>
      <c r="C128" s="677" t="s">
        <v>1452</v>
      </c>
      <c r="D128" s="677" t="s">
        <v>1787</v>
      </c>
      <c r="E128" s="677" t="s">
        <v>1788</v>
      </c>
      <c r="F128" s="238">
        <v>35</v>
      </c>
      <c r="G128" s="238">
        <v>83671</v>
      </c>
      <c r="H128" s="238">
        <v>1</v>
      </c>
      <c r="I128" s="238">
        <v>2390.6</v>
      </c>
      <c r="J128" s="238">
        <v>11</v>
      </c>
      <c r="K128" s="238">
        <v>26488</v>
      </c>
      <c r="L128" s="238">
        <v>0.31657324521040742</v>
      </c>
      <c r="M128" s="238">
        <v>2408</v>
      </c>
      <c r="N128" s="238">
        <v>13</v>
      </c>
      <c r="O128" s="238">
        <v>31304</v>
      </c>
      <c r="P128" s="688">
        <v>0.37413201706684512</v>
      </c>
      <c r="Q128" s="719">
        <v>2408</v>
      </c>
    </row>
    <row r="129" spans="1:17" ht="14.4" customHeight="1" x14ac:dyDescent="0.3">
      <c r="A129" s="686" t="s">
        <v>507</v>
      </c>
      <c r="B129" s="677" t="s">
        <v>1597</v>
      </c>
      <c r="C129" s="677" t="s">
        <v>1452</v>
      </c>
      <c r="D129" s="677" t="s">
        <v>1789</v>
      </c>
      <c r="E129" s="677" t="s">
        <v>1790</v>
      </c>
      <c r="F129" s="238"/>
      <c r="G129" s="238"/>
      <c r="H129" s="238"/>
      <c r="I129" s="238"/>
      <c r="J129" s="238">
        <v>1</v>
      </c>
      <c r="K129" s="238">
        <v>4523</v>
      </c>
      <c r="L129" s="238"/>
      <c r="M129" s="238">
        <v>4523</v>
      </c>
      <c r="N129" s="238"/>
      <c r="O129" s="238"/>
      <c r="P129" s="688"/>
      <c r="Q129" s="719"/>
    </row>
    <row r="130" spans="1:17" ht="14.4" customHeight="1" x14ac:dyDescent="0.3">
      <c r="A130" s="686" t="s">
        <v>507</v>
      </c>
      <c r="B130" s="677" t="s">
        <v>1597</v>
      </c>
      <c r="C130" s="677" t="s">
        <v>1452</v>
      </c>
      <c r="D130" s="677" t="s">
        <v>1791</v>
      </c>
      <c r="E130" s="677" t="s">
        <v>1792</v>
      </c>
      <c r="F130" s="238">
        <v>3</v>
      </c>
      <c r="G130" s="238">
        <v>15027</v>
      </c>
      <c r="H130" s="238">
        <v>1</v>
      </c>
      <c r="I130" s="238">
        <v>5009</v>
      </c>
      <c r="J130" s="238"/>
      <c r="K130" s="238"/>
      <c r="L130" s="238"/>
      <c r="M130" s="238"/>
      <c r="N130" s="238"/>
      <c r="O130" s="238"/>
      <c r="P130" s="688"/>
      <c r="Q130" s="719"/>
    </row>
    <row r="131" spans="1:17" ht="14.4" customHeight="1" x14ac:dyDescent="0.3">
      <c r="A131" s="686" t="s">
        <v>507</v>
      </c>
      <c r="B131" s="677" t="s">
        <v>1597</v>
      </c>
      <c r="C131" s="677" t="s">
        <v>1452</v>
      </c>
      <c r="D131" s="677" t="s">
        <v>1793</v>
      </c>
      <c r="E131" s="677" t="s">
        <v>1794</v>
      </c>
      <c r="F131" s="238">
        <v>1</v>
      </c>
      <c r="G131" s="238">
        <v>2890</v>
      </c>
      <c r="H131" s="238">
        <v>1</v>
      </c>
      <c r="I131" s="238">
        <v>2890</v>
      </c>
      <c r="J131" s="238"/>
      <c r="K131" s="238"/>
      <c r="L131" s="238"/>
      <c r="M131" s="238"/>
      <c r="N131" s="238"/>
      <c r="O131" s="238"/>
      <c r="P131" s="688"/>
      <c r="Q131" s="719"/>
    </row>
    <row r="132" spans="1:17" ht="14.4" customHeight="1" x14ac:dyDescent="0.3">
      <c r="A132" s="686" t="s">
        <v>507</v>
      </c>
      <c r="B132" s="677" t="s">
        <v>1597</v>
      </c>
      <c r="C132" s="677" t="s">
        <v>1452</v>
      </c>
      <c r="D132" s="677" t="s">
        <v>1795</v>
      </c>
      <c r="E132" s="677" t="s">
        <v>1796</v>
      </c>
      <c r="F132" s="238">
        <v>1</v>
      </c>
      <c r="G132" s="238">
        <v>1242</v>
      </c>
      <c r="H132" s="238">
        <v>1</v>
      </c>
      <c r="I132" s="238">
        <v>1242</v>
      </c>
      <c r="J132" s="238"/>
      <c r="K132" s="238"/>
      <c r="L132" s="238"/>
      <c r="M132" s="238"/>
      <c r="N132" s="238">
        <v>2</v>
      </c>
      <c r="O132" s="238">
        <v>2502</v>
      </c>
      <c r="P132" s="688">
        <v>2.0144927536231885</v>
      </c>
      <c r="Q132" s="719">
        <v>1251</v>
      </c>
    </row>
    <row r="133" spans="1:17" ht="14.4" customHeight="1" x14ac:dyDescent="0.3">
      <c r="A133" s="686" t="s">
        <v>507</v>
      </c>
      <c r="B133" s="677" t="s">
        <v>1597</v>
      </c>
      <c r="C133" s="677" t="s">
        <v>1452</v>
      </c>
      <c r="D133" s="677" t="s">
        <v>1797</v>
      </c>
      <c r="E133" s="677" t="s">
        <v>1798</v>
      </c>
      <c r="F133" s="238"/>
      <c r="G133" s="238"/>
      <c r="H133" s="238"/>
      <c r="I133" s="238"/>
      <c r="J133" s="238"/>
      <c r="K133" s="238"/>
      <c r="L133" s="238"/>
      <c r="M133" s="238"/>
      <c r="N133" s="238">
        <v>2</v>
      </c>
      <c r="O133" s="238">
        <v>4666</v>
      </c>
      <c r="P133" s="688"/>
      <c r="Q133" s="719">
        <v>2333</v>
      </c>
    </row>
    <row r="134" spans="1:17" ht="14.4" customHeight="1" x14ac:dyDescent="0.3">
      <c r="A134" s="686" t="s">
        <v>507</v>
      </c>
      <c r="B134" s="677" t="s">
        <v>1597</v>
      </c>
      <c r="C134" s="677" t="s">
        <v>1452</v>
      </c>
      <c r="D134" s="677" t="s">
        <v>1799</v>
      </c>
      <c r="E134" s="677" t="s">
        <v>1800</v>
      </c>
      <c r="F134" s="238">
        <v>16</v>
      </c>
      <c r="G134" s="238">
        <v>9482</v>
      </c>
      <c r="H134" s="238">
        <v>1</v>
      </c>
      <c r="I134" s="238">
        <v>592.625</v>
      </c>
      <c r="J134" s="238">
        <v>5</v>
      </c>
      <c r="K134" s="238">
        <v>2985</v>
      </c>
      <c r="L134" s="238">
        <v>0.31480700274203754</v>
      </c>
      <c r="M134" s="238">
        <v>597</v>
      </c>
      <c r="N134" s="238">
        <v>12</v>
      </c>
      <c r="O134" s="238">
        <v>7164</v>
      </c>
      <c r="P134" s="688">
        <v>0.75553680658089006</v>
      </c>
      <c r="Q134" s="719">
        <v>597</v>
      </c>
    </row>
    <row r="135" spans="1:17" ht="14.4" customHeight="1" x14ac:dyDescent="0.3">
      <c r="A135" s="686" t="s">
        <v>507</v>
      </c>
      <c r="B135" s="677" t="s">
        <v>1597</v>
      </c>
      <c r="C135" s="677" t="s">
        <v>1452</v>
      </c>
      <c r="D135" s="677" t="s">
        <v>1801</v>
      </c>
      <c r="E135" s="677" t="s">
        <v>1802</v>
      </c>
      <c r="F135" s="238">
        <v>1</v>
      </c>
      <c r="G135" s="238">
        <v>2578</v>
      </c>
      <c r="H135" s="238">
        <v>1</v>
      </c>
      <c r="I135" s="238">
        <v>2578</v>
      </c>
      <c r="J135" s="238"/>
      <c r="K135" s="238"/>
      <c r="L135" s="238"/>
      <c r="M135" s="238"/>
      <c r="N135" s="238"/>
      <c r="O135" s="238"/>
      <c r="P135" s="688"/>
      <c r="Q135" s="719"/>
    </row>
    <row r="136" spans="1:17" ht="14.4" customHeight="1" x14ac:dyDescent="0.3">
      <c r="A136" s="686" t="s">
        <v>507</v>
      </c>
      <c r="B136" s="677" t="s">
        <v>1597</v>
      </c>
      <c r="C136" s="677" t="s">
        <v>1452</v>
      </c>
      <c r="D136" s="677" t="s">
        <v>1803</v>
      </c>
      <c r="E136" s="677" t="s">
        <v>1804</v>
      </c>
      <c r="F136" s="238">
        <v>7</v>
      </c>
      <c r="G136" s="238">
        <v>10038</v>
      </c>
      <c r="H136" s="238">
        <v>1</v>
      </c>
      <c r="I136" s="238">
        <v>1434</v>
      </c>
      <c r="J136" s="238">
        <v>2</v>
      </c>
      <c r="K136" s="238">
        <v>2892</v>
      </c>
      <c r="L136" s="238">
        <v>0.28810520023909147</v>
      </c>
      <c r="M136" s="238">
        <v>1446</v>
      </c>
      <c r="N136" s="238">
        <v>6</v>
      </c>
      <c r="O136" s="238">
        <v>8676</v>
      </c>
      <c r="P136" s="688">
        <v>0.86431560071727431</v>
      </c>
      <c r="Q136" s="719">
        <v>1446</v>
      </c>
    </row>
    <row r="137" spans="1:17" ht="14.4" customHeight="1" x14ac:dyDescent="0.3">
      <c r="A137" s="686" t="s">
        <v>507</v>
      </c>
      <c r="B137" s="677" t="s">
        <v>1597</v>
      </c>
      <c r="C137" s="677" t="s">
        <v>1452</v>
      </c>
      <c r="D137" s="677" t="s">
        <v>1805</v>
      </c>
      <c r="E137" s="677" t="s">
        <v>1806</v>
      </c>
      <c r="F137" s="238">
        <v>1</v>
      </c>
      <c r="G137" s="238">
        <v>2307</v>
      </c>
      <c r="H137" s="238">
        <v>1</v>
      </c>
      <c r="I137" s="238">
        <v>2307</v>
      </c>
      <c r="J137" s="238">
        <v>1</v>
      </c>
      <c r="K137" s="238">
        <v>2322</v>
      </c>
      <c r="L137" s="238">
        <v>1.0065019505851756</v>
      </c>
      <c r="M137" s="238">
        <v>2322</v>
      </c>
      <c r="N137" s="238"/>
      <c r="O137" s="238"/>
      <c r="P137" s="688"/>
      <c r="Q137" s="719"/>
    </row>
    <row r="138" spans="1:17" ht="14.4" customHeight="1" x14ac:dyDescent="0.3">
      <c r="A138" s="686" t="s">
        <v>507</v>
      </c>
      <c r="B138" s="677" t="s">
        <v>1597</v>
      </c>
      <c r="C138" s="677" t="s">
        <v>1452</v>
      </c>
      <c r="D138" s="677" t="s">
        <v>1807</v>
      </c>
      <c r="E138" s="677" t="s">
        <v>1808</v>
      </c>
      <c r="F138" s="238"/>
      <c r="G138" s="238"/>
      <c r="H138" s="238"/>
      <c r="I138" s="238"/>
      <c r="J138" s="238">
        <v>3</v>
      </c>
      <c r="K138" s="238">
        <v>9372</v>
      </c>
      <c r="L138" s="238"/>
      <c r="M138" s="238">
        <v>3124</v>
      </c>
      <c r="N138" s="238">
        <v>2</v>
      </c>
      <c r="O138" s="238">
        <v>6248</v>
      </c>
      <c r="P138" s="688"/>
      <c r="Q138" s="719">
        <v>3124</v>
      </c>
    </row>
    <row r="139" spans="1:17" ht="14.4" customHeight="1" x14ac:dyDescent="0.3">
      <c r="A139" s="686" t="s">
        <v>507</v>
      </c>
      <c r="B139" s="677" t="s">
        <v>1597</v>
      </c>
      <c r="C139" s="677" t="s">
        <v>1452</v>
      </c>
      <c r="D139" s="677" t="s">
        <v>1809</v>
      </c>
      <c r="E139" s="677" t="s">
        <v>1810</v>
      </c>
      <c r="F139" s="238"/>
      <c r="G139" s="238"/>
      <c r="H139" s="238"/>
      <c r="I139" s="238"/>
      <c r="J139" s="238">
        <v>2</v>
      </c>
      <c r="K139" s="238">
        <v>6116</v>
      </c>
      <c r="L139" s="238"/>
      <c r="M139" s="238">
        <v>3058</v>
      </c>
      <c r="N139" s="238"/>
      <c r="O139" s="238"/>
      <c r="P139" s="688"/>
      <c r="Q139" s="719"/>
    </row>
    <row r="140" spans="1:17" ht="14.4" customHeight="1" x14ac:dyDescent="0.3">
      <c r="A140" s="686" t="s">
        <v>507</v>
      </c>
      <c r="B140" s="677" t="s">
        <v>1597</v>
      </c>
      <c r="C140" s="677" t="s">
        <v>1452</v>
      </c>
      <c r="D140" s="677" t="s">
        <v>1811</v>
      </c>
      <c r="E140" s="677" t="s">
        <v>1812</v>
      </c>
      <c r="F140" s="238">
        <v>4</v>
      </c>
      <c r="G140" s="238">
        <v>14428</v>
      </c>
      <c r="H140" s="238">
        <v>1</v>
      </c>
      <c r="I140" s="238">
        <v>3607</v>
      </c>
      <c r="J140" s="238"/>
      <c r="K140" s="238"/>
      <c r="L140" s="238"/>
      <c r="M140" s="238"/>
      <c r="N140" s="238"/>
      <c r="O140" s="238"/>
      <c r="P140" s="688"/>
      <c r="Q140" s="719"/>
    </row>
    <row r="141" spans="1:17" ht="14.4" customHeight="1" x14ac:dyDescent="0.3">
      <c r="A141" s="686" t="s">
        <v>507</v>
      </c>
      <c r="B141" s="677" t="s">
        <v>1597</v>
      </c>
      <c r="C141" s="677" t="s">
        <v>1452</v>
      </c>
      <c r="D141" s="677" t="s">
        <v>1813</v>
      </c>
      <c r="E141" s="677" t="s">
        <v>1814</v>
      </c>
      <c r="F141" s="238"/>
      <c r="G141" s="238"/>
      <c r="H141" s="238"/>
      <c r="I141" s="238"/>
      <c r="J141" s="238">
        <v>4</v>
      </c>
      <c r="K141" s="238">
        <v>7012</v>
      </c>
      <c r="L141" s="238"/>
      <c r="M141" s="238">
        <v>1753</v>
      </c>
      <c r="N141" s="238">
        <v>4</v>
      </c>
      <c r="O141" s="238">
        <v>7012</v>
      </c>
      <c r="P141" s="688"/>
      <c r="Q141" s="719">
        <v>1753</v>
      </c>
    </row>
    <row r="142" spans="1:17" ht="14.4" customHeight="1" x14ac:dyDescent="0.3">
      <c r="A142" s="686" t="s">
        <v>507</v>
      </c>
      <c r="B142" s="677" t="s">
        <v>1597</v>
      </c>
      <c r="C142" s="677" t="s">
        <v>1452</v>
      </c>
      <c r="D142" s="677" t="s">
        <v>1815</v>
      </c>
      <c r="E142" s="677" t="s">
        <v>1816</v>
      </c>
      <c r="F142" s="238">
        <v>1</v>
      </c>
      <c r="G142" s="238">
        <v>1069</v>
      </c>
      <c r="H142" s="238">
        <v>1</v>
      </c>
      <c r="I142" s="238">
        <v>1069</v>
      </c>
      <c r="J142" s="238">
        <v>1</v>
      </c>
      <c r="K142" s="238">
        <v>1078</v>
      </c>
      <c r="L142" s="238">
        <v>1.0084190832553788</v>
      </c>
      <c r="M142" s="238">
        <v>1078</v>
      </c>
      <c r="N142" s="238">
        <v>3</v>
      </c>
      <c r="O142" s="238">
        <v>3234</v>
      </c>
      <c r="P142" s="688">
        <v>3.0252572497661365</v>
      </c>
      <c r="Q142" s="719">
        <v>1078</v>
      </c>
    </row>
    <row r="143" spans="1:17" ht="14.4" customHeight="1" x14ac:dyDescent="0.3">
      <c r="A143" s="686" t="s">
        <v>507</v>
      </c>
      <c r="B143" s="677" t="s">
        <v>1597</v>
      </c>
      <c r="C143" s="677" t="s">
        <v>1452</v>
      </c>
      <c r="D143" s="677" t="s">
        <v>1817</v>
      </c>
      <c r="E143" s="677" t="s">
        <v>1818</v>
      </c>
      <c r="F143" s="238">
        <v>1</v>
      </c>
      <c r="G143" s="238">
        <v>5818</v>
      </c>
      <c r="H143" s="238">
        <v>1</v>
      </c>
      <c r="I143" s="238">
        <v>5818</v>
      </c>
      <c r="J143" s="238"/>
      <c r="K143" s="238"/>
      <c r="L143" s="238"/>
      <c r="M143" s="238"/>
      <c r="N143" s="238"/>
      <c r="O143" s="238"/>
      <c r="P143" s="688"/>
      <c r="Q143" s="719"/>
    </row>
    <row r="144" spans="1:17" ht="14.4" customHeight="1" x14ac:dyDescent="0.3">
      <c r="A144" s="686" t="s">
        <v>507</v>
      </c>
      <c r="B144" s="677" t="s">
        <v>1597</v>
      </c>
      <c r="C144" s="677" t="s">
        <v>1452</v>
      </c>
      <c r="D144" s="677" t="s">
        <v>1819</v>
      </c>
      <c r="E144" s="677" t="s">
        <v>1820</v>
      </c>
      <c r="F144" s="238">
        <v>1</v>
      </c>
      <c r="G144" s="238">
        <v>527</v>
      </c>
      <c r="H144" s="238">
        <v>1</v>
      </c>
      <c r="I144" s="238">
        <v>527</v>
      </c>
      <c r="J144" s="238"/>
      <c r="K144" s="238"/>
      <c r="L144" s="238"/>
      <c r="M144" s="238"/>
      <c r="N144" s="238">
        <v>2</v>
      </c>
      <c r="O144" s="238">
        <v>1062</v>
      </c>
      <c r="P144" s="688">
        <v>2.0151802656546489</v>
      </c>
      <c r="Q144" s="719">
        <v>531</v>
      </c>
    </row>
    <row r="145" spans="1:17" ht="14.4" customHeight="1" x14ac:dyDescent="0.3">
      <c r="A145" s="686" t="s">
        <v>507</v>
      </c>
      <c r="B145" s="677" t="s">
        <v>1597</v>
      </c>
      <c r="C145" s="677" t="s">
        <v>1452</v>
      </c>
      <c r="D145" s="677" t="s">
        <v>1821</v>
      </c>
      <c r="E145" s="677" t="s">
        <v>1822</v>
      </c>
      <c r="F145" s="238">
        <v>1</v>
      </c>
      <c r="G145" s="238">
        <v>2730</v>
      </c>
      <c r="H145" s="238">
        <v>1</v>
      </c>
      <c r="I145" s="238">
        <v>2730</v>
      </c>
      <c r="J145" s="238"/>
      <c r="K145" s="238"/>
      <c r="L145" s="238"/>
      <c r="M145" s="238"/>
      <c r="N145" s="238"/>
      <c r="O145" s="238"/>
      <c r="P145" s="688"/>
      <c r="Q145" s="719"/>
    </row>
    <row r="146" spans="1:17" ht="14.4" customHeight="1" x14ac:dyDescent="0.3">
      <c r="A146" s="686" t="s">
        <v>507</v>
      </c>
      <c r="B146" s="677" t="s">
        <v>1597</v>
      </c>
      <c r="C146" s="677" t="s">
        <v>1452</v>
      </c>
      <c r="D146" s="677" t="s">
        <v>1823</v>
      </c>
      <c r="E146" s="677" t="s">
        <v>1824</v>
      </c>
      <c r="F146" s="238"/>
      <c r="G146" s="238"/>
      <c r="H146" s="238"/>
      <c r="I146" s="238"/>
      <c r="J146" s="238">
        <v>1</v>
      </c>
      <c r="K146" s="238">
        <v>466</v>
      </c>
      <c r="L146" s="238"/>
      <c r="M146" s="238">
        <v>466</v>
      </c>
      <c r="N146" s="238"/>
      <c r="O146" s="238"/>
      <c r="P146" s="688"/>
      <c r="Q146" s="719"/>
    </row>
    <row r="147" spans="1:17" ht="14.4" customHeight="1" x14ac:dyDescent="0.3">
      <c r="A147" s="686" t="s">
        <v>507</v>
      </c>
      <c r="B147" s="677" t="s">
        <v>1597</v>
      </c>
      <c r="C147" s="677" t="s">
        <v>1452</v>
      </c>
      <c r="D147" s="677" t="s">
        <v>1825</v>
      </c>
      <c r="E147" s="677" t="s">
        <v>1826</v>
      </c>
      <c r="F147" s="238"/>
      <c r="G147" s="238"/>
      <c r="H147" s="238"/>
      <c r="I147" s="238"/>
      <c r="J147" s="238"/>
      <c r="K147" s="238"/>
      <c r="L147" s="238"/>
      <c r="M147" s="238"/>
      <c r="N147" s="238">
        <v>1</v>
      </c>
      <c r="O147" s="238">
        <v>1119</v>
      </c>
      <c r="P147" s="688"/>
      <c r="Q147" s="719">
        <v>1119</v>
      </c>
    </row>
    <row r="148" spans="1:17" ht="14.4" customHeight="1" thickBot="1" x14ac:dyDescent="0.35">
      <c r="A148" s="642" t="s">
        <v>507</v>
      </c>
      <c r="B148" s="679" t="s">
        <v>1827</v>
      </c>
      <c r="C148" s="679" t="s">
        <v>1452</v>
      </c>
      <c r="D148" s="679" t="s">
        <v>1767</v>
      </c>
      <c r="E148" s="679" t="s">
        <v>1768</v>
      </c>
      <c r="F148" s="680"/>
      <c r="G148" s="680"/>
      <c r="H148" s="680"/>
      <c r="I148" s="680"/>
      <c r="J148" s="680">
        <v>2</v>
      </c>
      <c r="K148" s="680">
        <v>11402</v>
      </c>
      <c r="L148" s="680"/>
      <c r="M148" s="680">
        <v>5701</v>
      </c>
      <c r="N148" s="680"/>
      <c r="O148" s="680"/>
      <c r="P148" s="689"/>
      <c r="Q148" s="720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M42"/>
  <sheetViews>
    <sheetView showGridLines="0" showRowColHeaders="0" zoomScaleNormal="100" workbookViewId="0">
      <selection sqref="A1:M1"/>
    </sheetView>
  </sheetViews>
  <sheetFormatPr defaultColWidth="9.33203125" defaultRowHeight="14.4" customHeight="1" outlineLevelRow="1" x14ac:dyDescent="0.25"/>
  <cols>
    <col min="1" max="1" width="29.109375" style="367" customWidth="1"/>
    <col min="2" max="4" width="7.88671875" style="367" customWidth="1"/>
    <col min="5" max="5" width="7.88671875" style="376" customWidth="1"/>
    <col min="6" max="8" width="7.88671875" style="367" customWidth="1"/>
    <col min="9" max="9" width="7.88671875" style="377" customWidth="1"/>
    <col min="10" max="13" width="7.88671875" style="367" customWidth="1"/>
    <col min="14" max="16384" width="9.33203125" style="367"/>
  </cols>
  <sheetData>
    <row r="1" spans="1:13" ht="18.600000000000001" customHeight="1" thickBot="1" x14ac:dyDescent="0.4">
      <c r="A1" s="555" t="s">
        <v>139</v>
      </c>
      <c r="B1" s="532"/>
      <c r="C1" s="532"/>
      <c r="D1" s="532"/>
      <c r="E1" s="532"/>
      <c r="F1" s="532"/>
      <c r="G1" s="532"/>
      <c r="H1" s="532"/>
      <c r="I1" s="532"/>
      <c r="J1" s="532"/>
      <c r="K1" s="532"/>
      <c r="L1" s="532"/>
      <c r="M1" s="532"/>
    </row>
    <row r="2" spans="1:13" ht="14.4" customHeight="1" thickBot="1" x14ac:dyDescent="0.35">
      <c r="A2" s="389" t="s">
        <v>299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</row>
    <row r="3" spans="1:13" ht="14.4" customHeight="1" thickBot="1" x14ac:dyDescent="0.35">
      <c r="A3" s="556" t="s">
        <v>73</v>
      </c>
      <c r="B3" s="535" t="s">
        <v>74</v>
      </c>
      <c r="C3" s="536"/>
      <c r="D3" s="536"/>
      <c r="E3" s="537"/>
      <c r="F3" s="535" t="s">
        <v>242</v>
      </c>
      <c r="G3" s="536"/>
      <c r="H3" s="536"/>
      <c r="I3" s="537"/>
      <c r="J3" s="123"/>
      <c r="K3" s="124"/>
      <c r="L3" s="123"/>
      <c r="M3" s="125"/>
    </row>
    <row r="4" spans="1:13" ht="14.4" customHeight="1" thickBot="1" x14ac:dyDescent="0.35">
      <c r="A4" s="557"/>
      <c r="B4" s="126">
        <v>2012</v>
      </c>
      <c r="C4" s="127">
        <v>2013</v>
      </c>
      <c r="D4" s="127">
        <v>2014</v>
      </c>
      <c r="E4" s="128" t="s">
        <v>5</v>
      </c>
      <c r="F4" s="127">
        <v>2012</v>
      </c>
      <c r="G4" s="127">
        <v>2013</v>
      </c>
      <c r="H4" s="127">
        <v>2014</v>
      </c>
      <c r="I4" s="128" t="s">
        <v>5</v>
      </c>
      <c r="J4" s="123"/>
      <c r="K4" s="123"/>
      <c r="L4" s="129" t="s">
        <v>75</v>
      </c>
      <c r="M4" s="130" t="s">
        <v>76</v>
      </c>
    </row>
    <row r="5" spans="1:13" ht="14.4" hidden="1" customHeight="1" outlineLevel="1" x14ac:dyDescent="0.3">
      <c r="A5" s="118" t="s">
        <v>172</v>
      </c>
      <c r="B5" s="121">
        <v>89.688000000000002</v>
      </c>
      <c r="C5" s="114">
        <v>52.777000000000001</v>
      </c>
      <c r="D5" s="114">
        <v>58.36</v>
      </c>
      <c r="E5" s="131">
        <v>0.65070020515565064</v>
      </c>
      <c r="F5" s="132">
        <v>76</v>
      </c>
      <c r="G5" s="114">
        <v>49</v>
      </c>
      <c r="H5" s="114">
        <v>59</v>
      </c>
      <c r="I5" s="133">
        <v>0.77631578947368418</v>
      </c>
      <c r="J5" s="123"/>
      <c r="K5" s="123"/>
      <c r="L5" s="7">
        <f>D5-B5</f>
        <v>-31.328000000000003</v>
      </c>
      <c r="M5" s="8">
        <f>H5-F5</f>
        <v>-17</v>
      </c>
    </row>
    <row r="6" spans="1:13" ht="14.4" hidden="1" customHeight="1" outlineLevel="1" x14ac:dyDescent="0.3">
      <c r="A6" s="119" t="s">
        <v>173</v>
      </c>
      <c r="B6" s="122">
        <v>13.608000000000001</v>
      </c>
      <c r="C6" s="113">
        <v>10.817</v>
      </c>
      <c r="D6" s="113">
        <v>14.228999999999999</v>
      </c>
      <c r="E6" s="134">
        <v>1.0456349206349205</v>
      </c>
      <c r="F6" s="135">
        <v>12</v>
      </c>
      <c r="G6" s="113">
        <v>10</v>
      </c>
      <c r="H6" s="113">
        <v>14</v>
      </c>
      <c r="I6" s="136">
        <v>1.1666666666666667</v>
      </c>
      <c r="J6" s="123"/>
      <c r="K6" s="123"/>
      <c r="L6" s="5">
        <f t="shared" ref="L6:L11" si="0">D6-B6</f>
        <v>0.62099999999999866</v>
      </c>
      <c r="M6" s="6">
        <f t="shared" ref="M6:M13" si="1">H6-F6</f>
        <v>2</v>
      </c>
    </row>
    <row r="7" spans="1:13" ht="14.4" hidden="1" customHeight="1" outlineLevel="1" x14ac:dyDescent="0.3">
      <c r="A7" s="119" t="s">
        <v>174</v>
      </c>
      <c r="B7" s="122">
        <v>46.468000000000004</v>
      </c>
      <c r="C7" s="113">
        <v>24.010999999999999</v>
      </c>
      <c r="D7" s="113">
        <v>32.597999999999999</v>
      </c>
      <c r="E7" s="134">
        <v>0.70151502108978214</v>
      </c>
      <c r="F7" s="135">
        <v>43</v>
      </c>
      <c r="G7" s="113">
        <v>19</v>
      </c>
      <c r="H7" s="113">
        <v>33</v>
      </c>
      <c r="I7" s="136">
        <v>0.76744186046511631</v>
      </c>
      <c r="J7" s="123"/>
      <c r="K7" s="123"/>
      <c r="L7" s="5">
        <f t="shared" si="0"/>
        <v>-13.870000000000005</v>
      </c>
      <c r="M7" s="6">
        <f t="shared" si="1"/>
        <v>-10</v>
      </c>
    </row>
    <row r="8" spans="1:13" ht="14.4" hidden="1" customHeight="1" outlineLevel="1" x14ac:dyDescent="0.3">
      <c r="A8" s="119" t="s">
        <v>175</v>
      </c>
      <c r="B8" s="122">
        <v>8.9550000000000001</v>
      </c>
      <c r="C8" s="113">
        <v>2.117</v>
      </c>
      <c r="D8" s="113">
        <v>5.31</v>
      </c>
      <c r="E8" s="134">
        <v>0.59296482412060292</v>
      </c>
      <c r="F8" s="135">
        <v>9</v>
      </c>
      <c r="G8" s="113">
        <v>3</v>
      </c>
      <c r="H8" s="113">
        <v>6</v>
      </c>
      <c r="I8" s="136">
        <v>0.66666666666666663</v>
      </c>
      <c r="J8" s="123"/>
      <c r="K8" s="123"/>
      <c r="L8" s="5">
        <f t="shared" si="0"/>
        <v>-3.6450000000000005</v>
      </c>
      <c r="M8" s="6">
        <f t="shared" si="1"/>
        <v>-3</v>
      </c>
    </row>
    <row r="9" spans="1:13" ht="14.4" hidden="1" customHeight="1" outlineLevel="1" x14ac:dyDescent="0.3">
      <c r="A9" s="119" t="s">
        <v>176</v>
      </c>
      <c r="B9" s="122">
        <v>0</v>
      </c>
      <c r="C9" s="113">
        <v>0</v>
      </c>
      <c r="D9" s="113">
        <v>0</v>
      </c>
      <c r="E9" s="134" t="s">
        <v>508</v>
      </c>
      <c r="F9" s="135">
        <v>0</v>
      </c>
      <c r="G9" s="113">
        <v>0</v>
      </c>
      <c r="H9" s="113">
        <v>0</v>
      </c>
      <c r="I9" s="136" t="s">
        <v>508</v>
      </c>
      <c r="J9" s="123"/>
      <c r="K9" s="123"/>
      <c r="L9" s="5">
        <f t="shared" si="0"/>
        <v>0</v>
      </c>
      <c r="M9" s="6">
        <f t="shared" si="1"/>
        <v>0</v>
      </c>
    </row>
    <row r="10" spans="1:13" ht="14.4" hidden="1" customHeight="1" outlineLevel="1" x14ac:dyDescent="0.3">
      <c r="A10" s="119" t="s">
        <v>177</v>
      </c>
      <c r="B10" s="122">
        <v>30.149000000000001</v>
      </c>
      <c r="C10" s="113">
        <v>6.0279999999999996</v>
      </c>
      <c r="D10" s="113">
        <v>17.948</v>
      </c>
      <c r="E10" s="134">
        <v>0.5953099605293708</v>
      </c>
      <c r="F10" s="135">
        <v>14</v>
      </c>
      <c r="G10" s="113">
        <v>8</v>
      </c>
      <c r="H10" s="113">
        <v>17</v>
      </c>
      <c r="I10" s="136">
        <v>1.2142857142857142</v>
      </c>
      <c r="J10" s="123"/>
      <c r="K10" s="123"/>
      <c r="L10" s="5">
        <f t="shared" si="0"/>
        <v>-12.201000000000001</v>
      </c>
      <c r="M10" s="6">
        <f t="shared" si="1"/>
        <v>3</v>
      </c>
    </row>
    <row r="11" spans="1:13" ht="14.4" hidden="1" customHeight="1" outlineLevel="1" x14ac:dyDescent="0.3">
      <c r="A11" s="119" t="s">
        <v>178</v>
      </c>
      <c r="B11" s="122">
        <v>8.4060000000000006</v>
      </c>
      <c r="C11" s="113">
        <v>4.032</v>
      </c>
      <c r="D11" s="113">
        <v>3.4359999999999999</v>
      </c>
      <c r="E11" s="134">
        <v>0.4087556507256721</v>
      </c>
      <c r="F11" s="135">
        <v>7</v>
      </c>
      <c r="G11" s="113">
        <v>5</v>
      </c>
      <c r="H11" s="113">
        <v>6</v>
      </c>
      <c r="I11" s="136">
        <v>0.8571428571428571</v>
      </c>
      <c r="J11" s="123"/>
      <c r="K11" s="123"/>
      <c r="L11" s="5">
        <f t="shared" si="0"/>
        <v>-4.9700000000000006</v>
      </c>
      <c r="M11" s="6">
        <f t="shared" si="1"/>
        <v>-1</v>
      </c>
    </row>
    <row r="12" spans="1:13" ht="14.4" hidden="1" customHeight="1" outlineLevel="1" thickBot="1" x14ac:dyDescent="0.35">
      <c r="A12" s="250" t="s">
        <v>241</v>
      </c>
      <c r="B12" s="251">
        <v>0.59499999999999997</v>
      </c>
      <c r="C12" s="252">
        <v>0</v>
      </c>
      <c r="D12" s="252">
        <v>0</v>
      </c>
      <c r="E12" s="253"/>
      <c r="F12" s="254">
        <v>1</v>
      </c>
      <c r="G12" s="252">
        <v>0</v>
      </c>
      <c r="H12" s="252">
        <v>0</v>
      </c>
      <c r="I12" s="255"/>
      <c r="J12" s="123"/>
      <c r="K12" s="123"/>
      <c r="L12" s="256">
        <f>D12-B12</f>
        <v>-0.59499999999999997</v>
      </c>
      <c r="M12" s="257">
        <f>H12-F12</f>
        <v>-1</v>
      </c>
    </row>
    <row r="13" spans="1:13" ht="14.4" customHeight="1" collapsed="1" thickBot="1" x14ac:dyDescent="0.35">
      <c r="A13" s="120" t="s">
        <v>6</v>
      </c>
      <c r="B13" s="115">
        <f>SUM(B5:B12)</f>
        <v>197.86900000000003</v>
      </c>
      <c r="C13" s="116">
        <f>SUM(C5:C12)</f>
        <v>99.782000000000011</v>
      </c>
      <c r="D13" s="116">
        <f>SUM(D5:D12)</f>
        <v>131.881</v>
      </c>
      <c r="E13" s="137">
        <f>IF(OR(D13=0,B13=0),0,D13/B13)</f>
        <v>0.66650662812264672</v>
      </c>
      <c r="F13" s="138">
        <f>SUM(F5:F12)</f>
        <v>162</v>
      </c>
      <c r="G13" s="116">
        <f>SUM(G5:G12)</f>
        <v>94</v>
      </c>
      <c r="H13" s="116">
        <f>SUM(H5:H12)</f>
        <v>135</v>
      </c>
      <c r="I13" s="139">
        <f>IF(OR(H13=0,F13=0),0,H13/F13)</f>
        <v>0.83333333333333337</v>
      </c>
      <c r="J13" s="123"/>
      <c r="K13" s="123"/>
      <c r="L13" s="129">
        <f>D13-B13</f>
        <v>-65.988000000000028</v>
      </c>
      <c r="M13" s="140">
        <f t="shared" si="1"/>
        <v>-27</v>
      </c>
    </row>
    <row r="14" spans="1:13" ht="14.4" customHeight="1" x14ac:dyDescent="0.3">
      <c r="A14" s="141"/>
      <c r="B14" s="558"/>
      <c r="C14" s="558"/>
      <c r="D14" s="558"/>
      <c r="E14" s="558"/>
      <c r="F14" s="558"/>
      <c r="G14" s="558"/>
      <c r="H14" s="558"/>
      <c r="I14" s="558"/>
      <c r="J14" s="123"/>
      <c r="K14" s="123"/>
      <c r="L14" s="123"/>
      <c r="M14" s="125"/>
    </row>
    <row r="15" spans="1:13" ht="14.4" customHeight="1" thickBot="1" x14ac:dyDescent="0.35">
      <c r="A15" s="141"/>
      <c r="B15" s="369"/>
      <c r="C15" s="370"/>
      <c r="D15" s="370"/>
      <c r="E15" s="370"/>
      <c r="F15" s="369"/>
      <c r="G15" s="370"/>
      <c r="H15" s="370"/>
      <c r="I15" s="370"/>
      <c r="J15" s="123"/>
      <c r="K15" s="123"/>
      <c r="L15" s="123"/>
      <c r="M15" s="125"/>
    </row>
    <row r="16" spans="1:13" ht="14.4" customHeight="1" thickBot="1" x14ac:dyDescent="0.35">
      <c r="A16" s="564" t="s">
        <v>235</v>
      </c>
      <c r="B16" s="566" t="s">
        <v>74</v>
      </c>
      <c r="C16" s="567"/>
      <c r="D16" s="567"/>
      <c r="E16" s="568"/>
      <c r="F16" s="566" t="s">
        <v>242</v>
      </c>
      <c r="G16" s="567"/>
      <c r="H16" s="567"/>
      <c r="I16" s="568"/>
      <c r="J16" s="549" t="s">
        <v>183</v>
      </c>
      <c r="K16" s="550"/>
      <c r="L16" s="158"/>
      <c r="M16" s="158"/>
    </row>
    <row r="17" spans="1:13" ht="14.4" customHeight="1" thickBot="1" x14ac:dyDescent="0.35">
      <c r="A17" s="565"/>
      <c r="B17" s="142">
        <v>2012</v>
      </c>
      <c r="C17" s="143">
        <v>2013</v>
      </c>
      <c r="D17" s="143">
        <v>2014</v>
      </c>
      <c r="E17" s="144" t="s">
        <v>5</v>
      </c>
      <c r="F17" s="142">
        <v>2012</v>
      </c>
      <c r="G17" s="143">
        <v>2013</v>
      </c>
      <c r="H17" s="143">
        <v>2014</v>
      </c>
      <c r="I17" s="144" t="s">
        <v>5</v>
      </c>
      <c r="J17" s="551" t="s">
        <v>184</v>
      </c>
      <c r="K17" s="552"/>
      <c r="L17" s="145" t="s">
        <v>75</v>
      </c>
      <c r="M17" s="146" t="s">
        <v>76</v>
      </c>
    </row>
    <row r="18" spans="1:13" ht="14.4" hidden="1" customHeight="1" outlineLevel="1" x14ac:dyDescent="0.3">
      <c r="A18" s="118" t="s">
        <v>172</v>
      </c>
      <c r="B18" s="121">
        <v>89.688000000000002</v>
      </c>
      <c r="C18" s="114">
        <v>52.777000000000001</v>
      </c>
      <c r="D18" s="114">
        <v>58.36</v>
      </c>
      <c r="E18" s="131">
        <v>0.65070020515565064</v>
      </c>
      <c r="F18" s="121">
        <v>76</v>
      </c>
      <c r="G18" s="114">
        <v>49</v>
      </c>
      <c r="H18" s="114">
        <v>59</v>
      </c>
      <c r="I18" s="133">
        <v>0.77631578947368418</v>
      </c>
      <c r="J18" s="553">
        <f>0.97*0.976</f>
        <v>0.94672000000000001</v>
      </c>
      <c r="K18" s="554"/>
      <c r="L18" s="147">
        <f>D18-B18</f>
        <v>-31.328000000000003</v>
      </c>
      <c r="M18" s="148">
        <f>H18-F18</f>
        <v>-17</v>
      </c>
    </row>
    <row r="19" spans="1:13" ht="14.4" hidden="1" customHeight="1" outlineLevel="1" x14ac:dyDescent="0.3">
      <c r="A19" s="119" t="s">
        <v>173</v>
      </c>
      <c r="B19" s="122">
        <v>13.608000000000001</v>
      </c>
      <c r="C19" s="113">
        <v>10.817</v>
      </c>
      <c r="D19" s="113">
        <v>14.228999999999999</v>
      </c>
      <c r="E19" s="134">
        <v>1.0456349206349205</v>
      </c>
      <c r="F19" s="122">
        <v>12</v>
      </c>
      <c r="G19" s="113">
        <v>10</v>
      </c>
      <c r="H19" s="113">
        <v>14</v>
      </c>
      <c r="I19" s="136">
        <v>1.1666666666666667</v>
      </c>
      <c r="J19" s="553">
        <f>0.97*1.096</f>
        <v>1.0631200000000001</v>
      </c>
      <c r="K19" s="554"/>
      <c r="L19" s="149">
        <f t="shared" ref="L19:L26" si="2">D19-B19</f>
        <v>0.62099999999999866</v>
      </c>
      <c r="M19" s="150">
        <f t="shared" ref="M19:M26" si="3">H19-F19</f>
        <v>2</v>
      </c>
    </row>
    <row r="20" spans="1:13" ht="14.4" hidden="1" customHeight="1" outlineLevel="1" x14ac:dyDescent="0.3">
      <c r="A20" s="119" t="s">
        <v>174</v>
      </c>
      <c r="B20" s="122">
        <v>46.468000000000004</v>
      </c>
      <c r="C20" s="113">
        <v>24.010999999999999</v>
      </c>
      <c r="D20" s="113">
        <v>32.597999999999999</v>
      </c>
      <c r="E20" s="134">
        <v>0.70151502108978214</v>
      </c>
      <c r="F20" s="122">
        <v>43</v>
      </c>
      <c r="G20" s="113">
        <v>19</v>
      </c>
      <c r="H20" s="113">
        <v>33</v>
      </c>
      <c r="I20" s="136">
        <v>0.76744186046511631</v>
      </c>
      <c r="J20" s="553">
        <f>0.97*1.047</f>
        <v>1.01559</v>
      </c>
      <c r="K20" s="554"/>
      <c r="L20" s="149">
        <f t="shared" si="2"/>
        <v>-13.870000000000005</v>
      </c>
      <c r="M20" s="150">
        <f t="shared" si="3"/>
        <v>-10</v>
      </c>
    </row>
    <row r="21" spans="1:13" ht="14.4" hidden="1" customHeight="1" outlineLevel="1" x14ac:dyDescent="0.3">
      <c r="A21" s="119" t="s">
        <v>175</v>
      </c>
      <c r="B21" s="122">
        <v>8.9550000000000001</v>
      </c>
      <c r="C21" s="113">
        <v>2.117</v>
      </c>
      <c r="D21" s="113">
        <v>5.31</v>
      </c>
      <c r="E21" s="134">
        <v>0.59296482412060292</v>
      </c>
      <c r="F21" s="122">
        <v>9</v>
      </c>
      <c r="G21" s="113">
        <v>3</v>
      </c>
      <c r="H21" s="113">
        <v>6</v>
      </c>
      <c r="I21" s="136">
        <v>0.66666666666666663</v>
      </c>
      <c r="J21" s="553">
        <f>0.97*1.091</f>
        <v>1.05827</v>
      </c>
      <c r="K21" s="554"/>
      <c r="L21" s="149">
        <f t="shared" si="2"/>
        <v>-3.6450000000000005</v>
      </c>
      <c r="M21" s="150">
        <f t="shared" si="3"/>
        <v>-3</v>
      </c>
    </row>
    <row r="22" spans="1:13" ht="14.4" hidden="1" customHeight="1" outlineLevel="1" x14ac:dyDescent="0.3">
      <c r="A22" s="119" t="s">
        <v>176</v>
      </c>
      <c r="B22" s="122">
        <v>0</v>
      </c>
      <c r="C22" s="113">
        <v>0</v>
      </c>
      <c r="D22" s="113">
        <v>0</v>
      </c>
      <c r="E22" s="134" t="s">
        <v>508</v>
      </c>
      <c r="F22" s="122">
        <v>0</v>
      </c>
      <c r="G22" s="113">
        <v>0</v>
      </c>
      <c r="H22" s="113">
        <v>0</v>
      </c>
      <c r="I22" s="136" t="s">
        <v>508</v>
      </c>
      <c r="J22" s="553">
        <f>0.97*1</f>
        <v>0.97</v>
      </c>
      <c r="K22" s="554"/>
      <c r="L22" s="149">
        <f t="shared" si="2"/>
        <v>0</v>
      </c>
      <c r="M22" s="150">
        <f t="shared" si="3"/>
        <v>0</v>
      </c>
    </row>
    <row r="23" spans="1:13" ht="14.4" hidden="1" customHeight="1" outlineLevel="1" x14ac:dyDescent="0.3">
      <c r="A23" s="119" t="s">
        <v>177</v>
      </c>
      <c r="B23" s="122">
        <v>30.149000000000001</v>
      </c>
      <c r="C23" s="113">
        <v>6.0279999999999996</v>
      </c>
      <c r="D23" s="113">
        <v>17.948</v>
      </c>
      <c r="E23" s="134">
        <v>0.5953099605293708</v>
      </c>
      <c r="F23" s="122">
        <v>14</v>
      </c>
      <c r="G23" s="113">
        <v>8</v>
      </c>
      <c r="H23" s="113">
        <v>17</v>
      </c>
      <c r="I23" s="136">
        <v>1.2142857142857142</v>
      </c>
      <c r="J23" s="553">
        <f>0.97*1.096</f>
        <v>1.0631200000000001</v>
      </c>
      <c r="K23" s="554"/>
      <c r="L23" s="149">
        <f t="shared" si="2"/>
        <v>-12.201000000000001</v>
      </c>
      <c r="M23" s="150">
        <f t="shared" si="3"/>
        <v>3</v>
      </c>
    </row>
    <row r="24" spans="1:13" ht="14.4" hidden="1" customHeight="1" outlineLevel="1" x14ac:dyDescent="0.3">
      <c r="A24" s="119" t="s">
        <v>178</v>
      </c>
      <c r="B24" s="122">
        <v>8.4060000000000006</v>
      </c>
      <c r="C24" s="113">
        <v>4.032</v>
      </c>
      <c r="D24" s="113">
        <v>3.4359999999999999</v>
      </c>
      <c r="E24" s="134">
        <v>0.4087556507256721</v>
      </c>
      <c r="F24" s="122">
        <v>7</v>
      </c>
      <c r="G24" s="113">
        <v>5</v>
      </c>
      <c r="H24" s="113">
        <v>6</v>
      </c>
      <c r="I24" s="136">
        <v>0.8571428571428571</v>
      </c>
      <c r="J24" s="553">
        <f>0.97*0.989</f>
        <v>0.95933000000000002</v>
      </c>
      <c r="K24" s="554"/>
      <c r="L24" s="149">
        <f t="shared" si="2"/>
        <v>-4.9700000000000006</v>
      </c>
      <c r="M24" s="150">
        <f t="shared" si="3"/>
        <v>-1</v>
      </c>
    </row>
    <row r="25" spans="1:13" ht="14.4" hidden="1" customHeight="1" outlineLevel="1" thickBot="1" x14ac:dyDescent="0.35">
      <c r="A25" s="250" t="s">
        <v>241</v>
      </c>
      <c r="B25" s="251">
        <v>0.59499999999999997</v>
      </c>
      <c r="C25" s="252">
        <v>0</v>
      </c>
      <c r="D25" s="252">
        <v>0</v>
      </c>
      <c r="E25" s="253"/>
      <c r="F25" s="251">
        <v>1</v>
      </c>
      <c r="G25" s="252">
        <v>0</v>
      </c>
      <c r="H25" s="252">
        <v>0</v>
      </c>
      <c r="I25" s="255"/>
      <c r="J25" s="371"/>
      <c r="K25" s="372"/>
      <c r="L25" s="258">
        <f>D25-B25</f>
        <v>-0.59499999999999997</v>
      </c>
      <c r="M25" s="259">
        <f>H25-F25</f>
        <v>-1</v>
      </c>
    </row>
    <row r="26" spans="1:13" ht="14.4" customHeight="1" collapsed="1" thickBot="1" x14ac:dyDescent="0.35">
      <c r="A26" s="151" t="s">
        <v>6</v>
      </c>
      <c r="B26" s="152">
        <f>SUM(B18:B25)</f>
        <v>197.86900000000003</v>
      </c>
      <c r="C26" s="153">
        <f>SUM(C18:C25)</f>
        <v>99.782000000000011</v>
      </c>
      <c r="D26" s="153">
        <f>SUM(D18:D25)</f>
        <v>131.881</v>
      </c>
      <c r="E26" s="154">
        <f>IF(OR(D26=0,B26=0),0,D26/B26)</f>
        <v>0.66650662812264672</v>
      </c>
      <c r="F26" s="152">
        <f>SUM(F18:F25)</f>
        <v>162</v>
      </c>
      <c r="G26" s="153">
        <f>SUM(G18:G25)</f>
        <v>94</v>
      </c>
      <c r="H26" s="153">
        <f>SUM(H18:H25)</f>
        <v>135</v>
      </c>
      <c r="I26" s="155">
        <f>IF(OR(H26=0,F26=0),0,H26/F26)</f>
        <v>0.83333333333333337</v>
      </c>
      <c r="J26" s="123"/>
      <c r="K26" s="123"/>
      <c r="L26" s="145">
        <f t="shared" si="2"/>
        <v>-65.988000000000028</v>
      </c>
      <c r="M26" s="156">
        <f t="shared" si="3"/>
        <v>-27</v>
      </c>
    </row>
    <row r="27" spans="1:13" ht="14.4" customHeight="1" x14ac:dyDescent="0.3">
      <c r="A27" s="157"/>
      <c r="B27" s="558" t="s">
        <v>237</v>
      </c>
      <c r="C27" s="569"/>
      <c r="D27" s="569"/>
      <c r="E27" s="569"/>
      <c r="F27" s="558" t="s">
        <v>238</v>
      </c>
      <c r="G27" s="569"/>
      <c r="H27" s="569"/>
      <c r="I27" s="569"/>
      <c r="J27" s="158"/>
      <c r="K27" s="158"/>
      <c r="L27" s="158"/>
      <c r="M27" s="159"/>
    </row>
    <row r="28" spans="1:13" ht="14.4" customHeight="1" thickBot="1" x14ac:dyDescent="0.35">
      <c r="A28" s="157"/>
      <c r="B28" s="369"/>
      <c r="C28" s="370"/>
      <c r="D28" s="370"/>
      <c r="E28" s="370"/>
      <c r="F28" s="369"/>
      <c r="G28" s="370"/>
      <c r="H28" s="370"/>
      <c r="I28" s="370"/>
      <c r="J28" s="158"/>
      <c r="K28" s="158"/>
      <c r="L28" s="158"/>
      <c r="M28" s="159"/>
    </row>
    <row r="29" spans="1:13" ht="14.4" customHeight="1" thickBot="1" x14ac:dyDescent="0.35">
      <c r="A29" s="559" t="s">
        <v>236</v>
      </c>
      <c r="B29" s="561" t="s">
        <v>74</v>
      </c>
      <c r="C29" s="562"/>
      <c r="D29" s="562"/>
      <c r="E29" s="563"/>
      <c r="F29" s="562" t="s">
        <v>242</v>
      </c>
      <c r="G29" s="562"/>
      <c r="H29" s="562"/>
      <c r="I29" s="563"/>
      <c r="J29" s="158"/>
      <c r="K29" s="158"/>
      <c r="L29" s="158"/>
      <c r="M29" s="159"/>
    </row>
    <row r="30" spans="1:13" ht="14.4" customHeight="1" thickBot="1" x14ac:dyDescent="0.35">
      <c r="A30" s="560"/>
      <c r="B30" s="160">
        <v>2012</v>
      </c>
      <c r="C30" s="161">
        <v>2013</v>
      </c>
      <c r="D30" s="161">
        <v>2014</v>
      </c>
      <c r="E30" s="162" t="s">
        <v>5</v>
      </c>
      <c r="F30" s="161">
        <v>2012</v>
      </c>
      <c r="G30" s="161">
        <v>2013</v>
      </c>
      <c r="H30" s="161">
        <v>2014</v>
      </c>
      <c r="I30" s="162" t="s">
        <v>5</v>
      </c>
      <c r="J30" s="158"/>
      <c r="K30" s="158"/>
      <c r="L30" s="163" t="s">
        <v>75</v>
      </c>
      <c r="M30" s="164" t="s">
        <v>76</v>
      </c>
    </row>
    <row r="31" spans="1:13" ht="14.4" hidden="1" customHeight="1" outlineLevel="1" x14ac:dyDescent="0.3">
      <c r="A31" s="118" t="s">
        <v>172</v>
      </c>
      <c r="B31" s="121">
        <v>0</v>
      </c>
      <c r="C31" s="114">
        <v>0</v>
      </c>
      <c r="D31" s="114">
        <v>0</v>
      </c>
      <c r="E31" s="131" t="s">
        <v>508</v>
      </c>
      <c r="F31" s="132">
        <v>0</v>
      </c>
      <c r="G31" s="114">
        <v>0</v>
      </c>
      <c r="H31" s="114">
        <v>0</v>
      </c>
      <c r="I31" s="133" t="s">
        <v>508</v>
      </c>
      <c r="J31" s="158"/>
      <c r="K31" s="158"/>
      <c r="L31" s="147">
        <f t="shared" ref="L31:L39" si="4">D31-B31</f>
        <v>0</v>
      </c>
      <c r="M31" s="148">
        <f t="shared" ref="M31:M39" si="5">H31-F31</f>
        <v>0</v>
      </c>
    </row>
    <row r="32" spans="1:13" ht="14.4" hidden="1" customHeight="1" outlineLevel="1" x14ac:dyDescent="0.3">
      <c r="A32" s="119" t="s">
        <v>173</v>
      </c>
      <c r="B32" s="122">
        <v>0</v>
      </c>
      <c r="C32" s="113">
        <v>0</v>
      </c>
      <c r="D32" s="113">
        <v>0</v>
      </c>
      <c r="E32" s="134" t="s">
        <v>508</v>
      </c>
      <c r="F32" s="135">
        <v>0</v>
      </c>
      <c r="G32" s="113">
        <v>0</v>
      </c>
      <c r="H32" s="113">
        <v>0</v>
      </c>
      <c r="I32" s="136" t="s">
        <v>508</v>
      </c>
      <c r="J32" s="158"/>
      <c r="K32" s="158"/>
      <c r="L32" s="149">
        <f t="shared" si="4"/>
        <v>0</v>
      </c>
      <c r="M32" s="150">
        <f t="shared" si="5"/>
        <v>0</v>
      </c>
    </row>
    <row r="33" spans="1:13" ht="14.4" hidden="1" customHeight="1" outlineLevel="1" x14ac:dyDescent="0.3">
      <c r="A33" s="119" t="s">
        <v>174</v>
      </c>
      <c r="B33" s="122">
        <v>0</v>
      </c>
      <c r="C33" s="113">
        <v>0</v>
      </c>
      <c r="D33" s="113">
        <v>0</v>
      </c>
      <c r="E33" s="134" t="s">
        <v>508</v>
      </c>
      <c r="F33" s="135">
        <v>0</v>
      </c>
      <c r="G33" s="113">
        <v>0</v>
      </c>
      <c r="H33" s="113">
        <v>0</v>
      </c>
      <c r="I33" s="136" t="s">
        <v>508</v>
      </c>
      <c r="J33" s="158"/>
      <c r="K33" s="158"/>
      <c r="L33" s="149">
        <f t="shared" si="4"/>
        <v>0</v>
      </c>
      <c r="M33" s="150">
        <f t="shared" si="5"/>
        <v>0</v>
      </c>
    </row>
    <row r="34" spans="1:13" ht="14.4" hidden="1" customHeight="1" outlineLevel="1" x14ac:dyDescent="0.3">
      <c r="A34" s="119" t="s">
        <v>175</v>
      </c>
      <c r="B34" s="122">
        <v>0</v>
      </c>
      <c r="C34" s="113">
        <v>0</v>
      </c>
      <c r="D34" s="113">
        <v>0</v>
      </c>
      <c r="E34" s="134" t="s">
        <v>508</v>
      </c>
      <c r="F34" s="135">
        <v>0</v>
      </c>
      <c r="G34" s="113">
        <v>0</v>
      </c>
      <c r="H34" s="113">
        <v>0</v>
      </c>
      <c r="I34" s="136" t="s">
        <v>508</v>
      </c>
      <c r="J34" s="158"/>
      <c r="K34" s="158"/>
      <c r="L34" s="149">
        <f t="shared" si="4"/>
        <v>0</v>
      </c>
      <c r="M34" s="150">
        <f t="shared" si="5"/>
        <v>0</v>
      </c>
    </row>
    <row r="35" spans="1:13" ht="14.4" hidden="1" customHeight="1" outlineLevel="1" x14ac:dyDescent="0.3">
      <c r="A35" s="119" t="s">
        <v>176</v>
      </c>
      <c r="B35" s="122">
        <v>0</v>
      </c>
      <c r="C35" s="113">
        <v>0</v>
      </c>
      <c r="D35" s="113">
        <v>0</v>
      </c>
      <c r="E35" s="134" t="s">
        <v>508</v>
      </c>
      <c r="F35" s="135">
        <v>0</v>
      </c>
      <c r="G35" s="113">
        <v>0</v>
      </c>
      <c r="H35" s="113">
        <v>0</v>
      </c>
      <c r="I35" s="136" t="s">
        <v>508</v>
      </c>
      <c r="J35" s="158"/>
      <c r="K35" s="158"/>
      <c r="L35" s="149">
        <f t="shared" si="4"/>
        <v>0</v>
      </c>
      <c r="M35" s="150">
        <f t="shared" si="5"/>
        <v>0</v>
      </c>
    </row>
    <row r="36" spans="1:13" ht="14.4" hidden="1" customHeight="1" outlineLevel="1" x14ac:dyDescent="0.3">
      <c r="A36" s="119" t="s">
        <v>177</v>
      </c>
      <c r="B36" s="122">
        <v>0</v>
      </c>
      <c r="C36" s="113">
        <v>0</v>
      </c>
      <c r="D36" s="113">
        <v>0</v>
      </c>
      <c r="E36" s="134" t="s">
        <v>508</v>
      </c>
      <c r="F36" s="135">
        <v>0</v>
      </c>
      <c r="G36" s="113">
        <v>0</v>
      </c>
      <c r="H36" s="113">
        <v>0</v>
      </c>
      <c r="I36" s="136" t="s">
        <v>508</v>
      </c>
      <c r="J36" s="158"/>
      <c r="K36" s="158"/>
      <c r="L36" s="149">
        <f t="shared" si="4"/>
        <v>0</v>
      </c>
      <c r="M36" s="150">
        <f t="shared" si="5"/>
        <v>0</v>
      </c>
    </row>
    <row r="37" spans="1:13" ht="14.4" hidden="1" customHeight="1" outlineLevel="1" x14ac:dyDescent="0.3">
      <c r="A37" s="119" t="s">
        <v>178</v>
      </c>
      <c r="B37" s="122">
        <v>0</v>
      </c>
      <c r="C37" s="113">
        <v>0</v>
      </c>
      <c r="D37" s="113">
        <v>0</v>
      </c>
      <c r="E37" s="134" t="s">
        <v>508</v>
      </c>
      <c r="F37" s="135">
        <v>0</v>
      </c>
      <c r="G37" s="113">
        <v>0</v>
      </c>
      <c r="H37" s="113">
        <v>0</v>
      </c>
      <c r="I37" s="136" t="s">
        <v>508</v>
      </c>
      <c r="J37" s="158"/>
      <c r="K37" s="158"/>
      <c r="L37" s="149">
        <f t="shared" si="4"/>
        <v>0</v>
      </c>
      <c r="M37" s="150">
        <f t="shared" si="5"/>
        <v>0</v>
      </c>
    </row>
    <row r="38" spans="1:13" ht="14.4" hidden="1" customHeight="1" outlineLevel="1" thickBot="1" x14ac:dyDescent="0.35">
      <c r="A38" s="250" t="s">
        <v>241</v>
      </c>
      <c r="B38" s="251">
        <v>0</v>
      </c>
      <c r="C38" s="252">
        <v>0</v>
      </c>
      <c r="D38" s="252">
        <v>0</v>
      </c>
      <c r="E38" s="253"/>
      <c r="F38" s="254">
        <v>0</v>
      </c>
      <c r="G38" s="252">
        <v>0</v>
      </c>
      <c r="H38" s="252">
        <v>0</v>
      </c>
      <c r="I38" s="255"/>
      <c r="J38" s="158"/>
      <c r="K38" s="158"/>
      <c r="L38" s="258">
        <f>D38-B38</f>
        <v>0</v>
      </c>
      <c r="M38" s="259">
        <f>H38-F38</f>
        <v>0</v>
      </c>
    </row>
    <row r="39" spans="1:13" ht="14.4" customHeight="1" collapsed="1" thickBot="1" x14ac:dyDescent="0.35">
      <c r="A39" s="165" t="s">
        <v>6</v>
      </c>
      <c r="B39" s="117">
        <f>SUM(B31:B38)</f>
        <v>0</v>
      </c>
      <c r="C39" s="166">
        <f>SUM(C31:C38)</f>
        <v>0</v>
      </c>
      <c r="D39" s="166">
        <f>SUM(D31:D38)</f>
        <v>0</v>
      </c>
      <c r="E39" s="167">
        <f>IF(OR(D39=0,B39=0),0,D39/B39)</f>
        <v>0</v>
      </c>
      <c r="F39" s="168">
        <f>SUM(F31:F38)</f>
        <v>0</v>
      </c>
      <c r="G39" s="166">
        <f>SUM(G31:G38)</f>
        <v>0</v>
      </c>
      <c r="H39" s="166">
        <f>SUM(H31:H38)</f>
        <v>0</v>
      </c>
      <c r="I39" s="169">
        <f>IF(OR(H39=0,F39=0),0,H39/F39)</f>
        <v>0</v>
      </c>
      <c r="J39" s="158"/>
      <c r="K39" s="158"/>
      <c r="L39" s="163">
        <f t="shared" si="4"/>
        <v>0</v>
      </c>
      <c r="M39" s="170">
        <f t="shared" si="5"/>
        <v>0</v>
      </c>
    </row>
    <row r="40" spans="1:13" ht="14.4" customHeight="1" x14ac:dyDescent="0.25">
      <c r="A40" s="373"/>
      <c r="B40" s="373"/>
      <c r="C40" s="373"/>
      <c r="D40" s="373"/>
      <c r="E40" s="374"/>
      <c r="F40" s="373"/>
      <c r="G40" s="373"/>
      <c r="H40" s="373"/>
      <c r="I40" s="375"/>
      <c r="J40" s="373"/>
      <c r="K40" s="373"/>
      <c r="L40" s="373"/>
      <c r="M40" s="373"/>
    </row>
    <row r="41" spans="1:13" ht="14.4" customHeight="1" x14ac:dyDescent="0.3">
      <c r="A41" s="268" t="s">
        <v>239</v>
      </c>
      <c r="B41" s="373"/>
      <c r="C41" s="373"/>
      <c r="D41" s="373"/>
      <c r="E41" s="374"/>
      <c r="F41" s="373"/>
      <c r="G41" s="373"/>
      <c r="H41" s="373"/>
      <c r="I41" s="375"/>
      <c r="J41" s="373"/>
      <c r="K41" s="373"/>
      <c r="L41" s="373"/>
      <c r="M41" s="373"/>
    </row>
    <row r="42" spans="1:13" ht="14.4" customHeight="1" x14ac:dyDescent="0.3">
      <c r="A42" s="249" t="s">
        <v>240</v>
      </c>
      <c r="B42" s="373"/>
      <c r="C42" s="373"/>
      <c r="D42" s="373"/>
      <c r="E42" s="374"/>
      <c r="F42" s="373"/>
      <c r="G42" s="373"/>
      <c r="H42" s="373"/>
      <c r="I42" s="375"/>
      <c r="J42" s="373"/>
      <c r="K42" s="373"/>
      <c r="L42" s="373"/>
      <c r="M42" s="373"/>
    </row>
  </sheetData>
  <mergeCells count="23">
    <mergeCell ref="J24:K24"/>
    <mergeCell ref="J19:K19"/>
    <mergeCell ref="J20:K20"/>
    <mergeCell ref="J21:K21"/>
    <mergeCell ref="J22:K22"/>
    <mergeCell ref="J23:K23"/>
    <mergeCell ref="A29:A30"/>
    <mergeCell ref="B29:E29"/>
    <mergeCell ref="F29:I29"/>
    <mergeCell ref="A16:A17"/>
    <mergeCell ref="B16:E16"/>
    <mergeCell ref="F16:I16"/>
    <mergeCell ref="B27:E27"/>
    <mergeCell ref="F27:I27"/>
    <mergeCell ref="J16:K16"/>
    <mergeCell ref="J17:K17"/>
    <mergeCell ref="J18:K18"/>
    <mergeCell ref="A1:M1"/>
    <mergeCell ref="A3:A4"/>
    <mergeCell ref="B3:E3"/>
    <mergeCell ref="F3:I3"/>
    <mergeCell ref="B14:E14"/>
    <mergeCell ref="F14:I14"/>
  </mergeCells>
  <conditionalFormatting sqref="E18:E26">
    <cfRule type="cellIs" dxfId="17" priority="11" stopIfTrue="1" operator="lessThan">
      <formula>1</formula>
    </cfRule>
  </conditionalFormatting>
  <conditionalFormatting sqref="I18:I26">
    <cfRule type="cellIs" dxfId="16" priority="10" stopIfTrue="1" operator="lessThan">
      <formula>0.95</formula>
    </cfRule>
  </conditionalFormatting>
  <conditionalFormatting sqref="L5:M13 L18:M26 L31:M39">
    <cfRule type="cellIs" dxfId="15" priority="9" stopIfTrue="1" operator="lessThan">
      <formula>0</formula>
    </cfRule>
  </conditionalFormatting>
  <conditionalFormatting sqref="D31:D38 D5:D12 H5:H12 D18:D25 H18:H25 H31:H38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{42AE6CD6-2D5D-4743-B35C-69F84FE26F98}</x14:id>
        </ext>
      </extLst>
    </cfRule>
  </conditionalFormatting>
  <conditionalFormatting sqref="D5:D12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{A4EF560A-8599-4347-B851-343B92BCD5E1}</x14:id>
        </ext>
      </extLst>
    </cfRule>
  </conditionalFormatting>
  <conditionalFormatting sqref="H5:H12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{C26992FC-93C6-46A0-A6FF-231000D745AA}</x14:id>
        </ext>
      </extLst>
    </cfRule>
  </conditionalFormatting>
  <conditionalFormatting sqref="D18:D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{6B84CA98-94F0-413A-8305-92901160F8F9}</x14:id>
        </ext>
      </extLst>
    </cfRule>
  </conditionalFormatting>
  <conditionalFormatting sqref="H18:H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{22330AD9-BF89-40A5-88DF-FF41314428B1}</x14:id>
        </ext>
      </extLst>
    </cfRule>
  </conditionalFormatting>
  <conditionalFormatting sqref="D31:D38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{1583B143-B462-4C73-A979-5D07CBCBE895}</x14:id>
        </ext>
      </extLst>
    </cfRule>
  </conditionalFormatting>
  <conditionalFormatting sqref="H31:H38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{DD197DDA-FC0B-4F23-81BF-C02D70CD23CB}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13 E26 E39" formula="1"/>
    <ignoredError sqref="B39:D39 F39:H39 B13:D13 F13:H13 B26:D26 F26:H26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AE6CD6-2D5D-4743-B35C-69F84FE26F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 D5:D12 H5:H12 D18:D25 H18:H25 H31:H38</xm:sqref>
        </x14:conditionalFormatting>
        <x14:conditionalFormatting xmlns:xm="http://schemas.microsoft.com/office/excel/2006/main">
          <x14:cfRule type="dataBar" id="{A4EF560A-8599-4347-B851-343B92BCD5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  <x14:conditionalFormatting xmlns:xm="http://schemas.microsoft.com/office/excel/2006/main">
          <x14:cfRule type="dataBar" id="{C26992FC-93C6-46A0-A6FF-231000D745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H5:H12</xm:sqref>
        </x14:conditionalFormatting>
        <x14:conditionalFormatting xmlns:xm="http://schemas.microsoft.com/office/excel/2006/main">
          <x14:cfRule type="dataBar" id="{6B84CA98-94F0-413A-8305-92901160F8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22330AD9-BF89-40A5-88DF-FF41314428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H18:H25</xm:sqref>
        </x14:conditionalFormatting>
        <x14:conditionalFormatting xmlns:xm="http://schemas.microsoft.com/office/excel/2006/main">
          <x14:cfRule type="dataBar" id="{1583B143-B462-4C73-A979-5D07CBCBE8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DD197DDA-FC0B-4F23-81BF-C02D70CD23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H31:H38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9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487" t="s">
        <v>118</v>
      </c>
      <c r="B1" s="532"/>
      <c r="C1" s="532"/>
      <c r="D1" s="532"/>
      <c r="E1" s="532"/>
      <c r="F1" s="532"/>
      <c r="G1" s="532"/>
      <c r="H1" s="532"/>
      <c r="I1" s="532"/>
      <c r="J1" s="532"/>
      <c r="K1" s="532"/>
      <c r="L1" s="532"/>
      <c r="M1" s="532"/>
    </row>
    <row r="2" spans="1:13" ht="14.4" customHeight="1" x14ac:dyDescent="0.3">
      <c r="A2" s="389" t="s">
        <v>299</v>
      </c>
      <c r="B2" s="205"/>
      <c r="C2" s="205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78"/>
      <c r="C3" s="378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78"/>
      <c r="C4" s="378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78"/>
      <c r="C5" s="378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78"/>
      <c r="C6" s="378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78"/>
      <c r="C7" s="378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78"/>
      <c r="C8" s="378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78"/>
      <c r="C9" s="378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78"/>
      <c r="C10" s="378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78"/>
      <c r="C11" s="378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78"/>
      <c r="C12" s="378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78"/>
      <c r="C13" s="378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78"/>
      <c r="C14" s="378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78"/>
      <c r="C15" s="378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78"/>
      <c r="C16" s="378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78"/>
      <c r="C17" s="378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78"/>
      <c r="C18" s="378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78"/>
      <c r="C19" s="378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78"/>
      <c r="C20" s="378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78"/>
      <c r="C21" s="378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78"/>
      <c r="C22" s="378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78"/>
      <c r="C23" s="378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78"/>
      <c r="C24" s="378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78"/>
      <c r="C25" s="378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78"/>
      <c r="C26" s="378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78"/>
      <c r="C27" s="378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78"/>
      <c r="C28" s="378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78"/>
      <c r="C29" s="378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78"/>
      <c r="C30" s="378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9"/>
      <c r="B31" s="570" t="s">
        <v>86</v>
      </c>
      <c r="C31" s="571"/>
      <c r="D31" s="571"/>
      <c r="E31" s="572"/>
      <c r="F31" s="171" t="s">
        <v>86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80" t="s">
        <v>70</v>
      </c>
      <c r="B32" s="172" t="s">
        <v>89</v>
      </c>
      <c r="C32" s="173" t="s">
        <v>90</v>
      </c>
      <c r="D32" s="173" t="s">
        <v>91</v>
      </c>
      <c r="E32" s="174" t="s">
        <v>5</v>
      </c>
      <c r="F32" s="175" t="s">
        <v>92</v>
      </c>
      <c r="G32" s="379"/>
      <c r="H32" s="379" t="s">
        <v>119</v>
      </c>
      <c r="I32" s="80"/>
      <c r="J32" s="80"/>
      <c r="K32" s="80"/>
      <c r="L32" s="80"/>
      <c r="M32" s="80"/>
    </row>
    <row r="33" spans="1:13" ht="14.4" customHeight="1" x14ac:dyDescent="0.3">
      <c r="A33" s="176" t="s">
        <v>106</v>
      </c>
      <c r="B33" s="206">
        <v>321.47000000000003</v>
      </c>
      <c r="C33" s="206">
        <v>295</v>
      </c>
      <c r="D33" s="84">
        <f>IF(C33="","",C33-B33)</f>
        <v>-26.470000000000027</v>
      </c>
      <c r="E33" s="85">
        <f>IF(C33="","",C33/B33)</f>
        <v>0.91765950166422983</v>
      </c>
      <c r="F33" s="86">
        <v>39.090000000000003</v>
      </c>
      <c r="G33" s="379">
        <v>0</v>
      </c>
      <c r="H33" s="380">
        <v>1</v>
      </c>
      <c r="I33" s="80"/>
      <c r="J33" s="80"/>
      <c r="K33" s="80"/>
      <c r="L33" s="80"/>
      <c r="M33" s="80"/>
    </row>
    <row r="34" spans="1:13" ht="14.4" customHeight="1" x14ac:dyDescent="0.3">
      <c r="A34" s="177" t="s">
        <v>107</v>
      </c>
      <c r="B34" s="207">
        <v>700.32</v>
      </c>
      <c r="C34" s="207">
        <v>698</v>
      </c>
      <c r="D34" s="87">
        <f t="shared" ref="D34:D45" si="0">IF(C34="","",C34-B34)</f>
        <v>-2.32000000000005</v>
      </c>
      <c r="E34" s="88">
        <f t="shared" ref="E34:E45" si="1">IF(C34="","",C34/B34)</f>
        <v>0.99668722869545345</v>
      </c>
      <c r="F34" s="89">
        <v>143</v>
      </c>
      <c r="G34" s="379">
        <v>1</v>
      </c>
      <c r="H34" s="380">
        <v>1</v>
      </c>
      <c r="I34" s="80"/>
      <c r="J34" s="80"/>
      <c r="K34" s="80"/>
      <c r="L34" s="80"/>
      <c r="M34" s="80"/>
    </row>
    <row r="35" spans="1:13" ht="14.4" customHeight="1" x14ac:dyDescent="0.3">
      <c r="A35" s="177" t="s">
        <v>108</v>
      </c>
      <c r="B35" s="207"/>
      <c r="C35" s="207"/>
      <c r="D35" s="87" t="str">
        <f t="shared" si="0"/>
        <v/>
      </c>
      <c r="E35" s="88" t="str">
        <f t="shared" si="1"/>
        <v/>
      </c>
      <c r="F35" s="89"/>
      <c r="G35" s="381"/>
      <c r="H35" s="381"/>
      <c r="I35" s="80"/>
      <c r="J35" s="80"/>
      <c r="K35" s="80"/>
      <c r="L35" s="80"/>
      <c r="M35" s="80"/>
    </row>
    <row r="36" spans="1:13" ht="14.4" customHeight="1" x14ac:dyDescent="0.3">
      <c r="A36" s="177" t="s">
        <v>109</v>
      </c>
      <c r="B36" s="207"/>
      <c r="C36" s="207"/>
      <c r="D36" s="87" t="str">
        <f t="shared" si="0"/>
        <v/>
      </c>
      <c r="E36" s="88" t="str">
        <f t="shared" si="1"/>
        <v/>
      </c>
      <c r="F36" s="89"/>
      <c r="G36" s="381"/>
      <c r="H36" s="381"/>
      <c r="I36" s="80"/>
      <c r="J36" s="80"/>
      <c r="K36" s="80"/>
      <c r="L36" s="80"/>
      <c r="M36" s="80"/>
    </row>
    <row r="37" spans="1:13" ht="14.4" customHeight="1" x14ac:dyDescent="0.3">
      <c r="A37" s="177" t="s">
        <v>110</v>
      </c>
      <c r="B37" s="207"/>
      <c r="C37" s="207"/>
      <c r="D37" s="87" t="str">
        <f t="shared" si="0"/>
        <v/>
      </c>
      <c r="E37" s="88" t="str">
        <f t="shared" si="1"/>
        <v/>
      </c>
      <c r="F37" s="89"/>
      <c r="G37" s="381"/>
      <c r="H37" s="381"/>
      <c r="I37" s="80"/>
      <c r="J37" s="80"/>
      <c r="K37" s="80"/>
      <c r="L37" s="80"/>
      <c r="M37" s="80"/>
    </row>
    <row r="38" spans="1:13" ht="14.4" customHeight="1" x14ac:dyDescent="0.3">
      <c r="A38" s="177" t="s">
        <v>111</v>
      </c>
      <c r="B38" s="207"/>
      <c r="C38" s="207"/>
      <c r="D38" s="87" t="str">
        <f t="shared" si="0"/>
        <v/>
      </c>
      <c r="E38" s="88" t="str">
        <f t="shared" si="1"/>
        <v/>
      </c>
      <c r="F38" s="89"/>
      <c r="G38" s="381"/>
      <c r="H38" s="381"/>
      <c r="I38" s="80"/>
      <c r="J38" s="80"/>
      <c r="K38" s="80"/>
      <c r="L38" s="80"/>
      <c r="M38" s="80"/>
    </row>
    <row r="39" spans="1:13" ht="14.4" customHeight="1" x14ac:dyDescent="0.3">
      <c r="A39" s="177" t="s">
        <v>112</v>
      </c>
      <c r="B39" s="207"/>
      <c r="C39" s="207"/>
      <c r="D39" s="87" t="str">
        <f t="shared" si="0"/>
        <v/>
      </c>
      <c r="E39" s="88" t="str">
        <f t="shared" si="1"/>
        <v/>
      </c>
      <c r="F39" s="89"/>
      <c r="G39" s="381"/>
      <c r="H39" s="381"/>
      <c r="I39" s="80"/>
      <c r="J39" s="80"/>
      <c r="K39" s="80"/>
      <c r="L39" s="80"/>
      <c r="M39" s="80"/>
    </row>
    <row r="40" spans="1:13" ht="14.4" customHeight="1" x14ac:dyDescent="0.3">
      <c r="A40" s="177" t="s">
        <v>113</v>
      </c>
      <c r="B40" s="207"/>
      <c r="C40" s="207"/>
      <c r="D40" s="87" t="str">
        <f t="shared" si="0"/>
        <v/>
      </c>
      <c r="E40" s="88" t="str">
        <f t="shared" si="1"/>
        <v/>
      </c>
      <c r="F40" s="89"/>
      <c r="G40" s="381"/>
      <c r="H40" s="381"/>
      <c r="I40" s="80"/>
      <c r="J40" s="80"/>
      <c r="K40" s="80"/>
      <c r="L40" s="80"/>
      <c r="M40" s="80"/>
    </row>
    <row r="41" spans="1:13" ht="14.4" customHeight="1" x14ac:dyDescent="0.3">
      <c r="A41" s="177" t="s">
        <v>114</v>
      </c>
      <c r="B41" s="207"/>
      <c r="C41" s="207"/>
      <c r="D41" s="87" t="str">
        <f t="shared" si="0"/>
        <v/>
      </c>
      <c r="E41" s="88" t="str">
        <f t="shared" si="1"/>
        <v/>
      </c>
      <c r="F41" s="89"/>
      <c r="G41" s="381"/>
      <c r="H41" s="381"/>
      <c r="I41" s="80"/>
      <c r="J41" s="80"/>
      <c r="K41" s="80"/>
      <c r="L41" s="80"/>
      <c r="M41" s="80"/>
    </row>
    <row r="42" spans="1:13" ht="14.4" customHeight="1" x14ac:dyDescent="0.3">
      <c r="A42" s="177" t="s">
        <v>115</v>
      </c>
      <c r="B42" s="207"/>
      <c r="C42" s="207"/>
      <c r="D42" s="87" t="str">
        <f t="shared" si="0"/>
        <v/>
      </c>
      <c r="E42" s="88" t="str">
        <f t="shared" si="1"/>
        <v/>
      </c>
      <c r="F42" s="89"/>
      <c r="G42" s="381"/>
      <c r="H42" s="381"/>
      <c r="I42" s="80"/>
      <c r="J42" s="80"/>
      <c r="K42" s="80"/>
      <c r="L42" s="80"/>
      <c r="M42" s="80"/>
    </row>
    <row r="43" spans="1:13" ht="14.4" customHeight="1" x14ac:dyDescent="0.3">
      <c r="A43" s="177" t="s">
        <v>116</v>
      </c>
      <c r="B43" s="207"/>
      <c r="C43" s="207"/>
      <c r="D43" s="87" t="str">
        <f t="shared" si="0"/>
        <v/>
      </c>
      <c r="E43" s="88" t="str">
        <f t="shared" si="1"/>
        <v/>
      </c>
      <c r="F43" s="89"/>
      <c r="G43" s="381"/>
      <c r="H43" s="381"/>
      <c r="I43" s="80"/>
      <c r="J43" s="80"/>
      <c r="K43" s="80"/>
      <c r="L43" s="80"/>
      <c r="M43" s="80"/>
    </row>
    <row r="44" spans="1:13" ht="14.4" customHeight="1" x14ac:dyDescent="0.3">
      <c r="A44" s="177" t="s">
        <v>117</v>
      </c>
      <c r="B44" s="207"/>
      <c r="C44" s="207"/>
      <c r="D44" s="87" t="str">
        <f t="shared" si="0"/>
        <v/>
      </c>
      <c r="E44" s="88" t="str">
        <f t="shared" si="1"/>
        <v/>
      </c>
      <c r="F44" s="89"/>
      <c r="G44" s="381"/>
      <c r="H44" s="381"/>
      <c r="I44" s="80"/>
      <c r="J44" s="80"/>
      <c r="K44" s="80"/>
      <c r="L44" s="80"/>
      <c r="M44" s="80"/>
    </row>
    <row r="45" spans="1:13" ht="14.4" customHeight="1" thickBot="1" x14ac:dyDescent="0.35">
      <c r="A45" s="178" t="s">
        <v>120</v>
      </c>
      <c r="B45" s="208"/>
      <c r="C45" s="208"/>
      <c r="D45" s="90" t="str">
        <f t="shared" si="0"/>
        <v/>
      </c>
      <c r="E45" s="91" t="str">
        <f t="shared" si="1"/>
        <v/>
      </c>
      <c r="F45" s="92"/>
      <c r="G45" s="381"/>
      <c r="H45" s="381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4" priority="2" operator="greaterThan">
      <formula>1</formula>
    </cfRule>
  </conditionalFormatting>
  <conditionalFormatting sqref="F33:F45">
    <cfRule type="cellIs" dxfId="1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W51"/>
  <sheetViews>
    <sheetView showGridLines="0" showRowColHeaders="0" zoomScaleNormal="100" workbookViewId="0">
      <pane ySplit="4" topLeftCell="A5" activePane="bottomLeft" state="frozen"/>
      <selection sqref="A1:N1"/>
      <selection pane="bottomLeft" sqref="A1:W1"/>
    </sheetView>
  </sheetViews>
  <sheetFormatPr defaultRowHeight="14.4" customHeight="1" x14ac:dyDescent="0.3"/>
  <cols>
    <col min="1" max="1" width="6.109375" style="96" customWidth="1"/>
    <col min="2" max="2" width="6.5546875" style="223" customWidth="1"/>
    <col min="3" max="3" width="5.88671875" style="223" customWidth="1"/>
    <col min="4" max="4" width="7.6640625" style="223" customWidth="1"/>
    <col min="5" max="5" width="6.5546875" style="99" customWidth="1"/>
    <col min="6" max="6" width="5.88671875" style="99" customWidth="1"/>
    <col min="7" max="7" width="7.6640625" style="99" customWidth="1"/>
    <col min="8" max="8" width="6.6640625" style="99" bestFit="1" customWidth="1"/>
    <col min="9" max="9" width="6" style="99" bestFit="1" customWidth="1"/>
    <col min="10" max="10" width="7.77734375" style="99" bestFit="1" customWidth="1"/>
    <col min="11" max="11" width="9.109375" style="99" bestFit="1" customWidth="1"/>
    <col min="12" max="12" width="3.88671875" style="99" bestFit="1" customWidth="1"/>
    <col min="13" max="13" width="4.33203125" style="99" bestFit="1" customWidth="1"/>
    <col min="14" max="14" width="5.44140625" style="99" bestFit="1" customWidth="1"/>
    <col min="15" max="15" width="4" style="99" bestFit="1" customWidth="1"/>
    <col min="16" max="16" width="55.44140625" style="93" customWidth="1"/>
    <col min="17" max="17" width="7.88671875" style="97" bestFit="1" customWidth="1"/>
    <col min="18" max="18" width="6" style="97" bestFit="1" customWidth="1"/>
    <col min="19" max="19" width="9.5546875" style="223" customWidth="1"/>
    <col min="20" max="20" width="9.6640625" style="223" customWidth="1"/>
    <col min="21" max="21" width="7.6640625" style="223" bestFit="1" customWidth="1"/>
    <col min="22" max="22" width="6.109375" style="100" bestFit="1" customWidth="1"/>
    <col min="23" max="23" width="17.21875" style="98" bestFit="1" customWidth="1"/>
    <col min="24" max="16384" width="8.88671875" style="93"/>
  </cols>
  <sheetData>
    <row r="1" spans="1:23" s="327" customFormat="1" ht="18.600000000000001" customHeight="1" thickBot="1" x14ac:dyDescent="0.4">
      <c r="A1" s="522" t="s">
        <v>1924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  <c r="L1" s="463"/>
      <c r="M1" s="463"/>
      <c r="N1" s="463"/>
      <c r="O1" s="463"/>
      <c r="P1" s="463"/>
      <c r="Q1" s="463"/>
      <c r="R1" s="463"/>
      <c r="S1" s="463"/>
      <c r="T1" s="463"/>
      <c r="U1" s="463"/>
      <c r="V1" s="463"/>
      <c r="W1" s="463"/>
    </row>
    <row r="2" spans="1:23" ht="14.4" customHeight="1" thickBot="1" x14ac:dyDescent="0.35">
      <c r="A2" s="389" t="s">
        <v>299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2"/>
      <c r="Q2" s="382"/>
      <c r="R2" s="382"/>
      <c r="S2" s="383"/>
      <c r="T2" s="383"/>
      <c r="U2" s="383"/>
      <c r="V2" s="382"/>
      <c r="W2" s="384"/>
    </row>
    <row r="3" spans="1:23" s="94" customFormat="1" ht="14.4" customHeight="1" x14ac:dyDescent="0.3">
      <c r="A3" s="579" t="s">
        <v>78</v>
      </c>
      <c r="B3" s="580">
        <v>2012</v>
      </c>
      <c r="C3" s="581"/>
      <c r="D3" s="582"/>
      <c r="E3" s="580">
        <v>2013</v>
      </c>
      <c r="F3" s="581"/>
      <c r="G3" s="582"/>
      <c r="H3" s="580">
        <v>2014</v>
      </c>
      <c r="I3" s="581"/>
      <c r="J3" s="582"/>
      <c r="K3" s="583" t="s">
        <v>79</v>
      </c>
      <c r="L3" s="575" t="s">
        <v>80</v>
      </c>
      <c r="M3" s="575" t="s">
        <v>81</v>
      </c>
      <c r="N3" s="575" t="s">
        <v>82</v>
      </c>
      <c r="O3" s="276" t="s">
        <v>83</v>
      </c>
      <c r="P3" s="576" t="s">
        <v>84</v>
      </c>
      <c r="Q3" s="577" t="s">
        <v>85</v>
      </c>
      <c r="R3" s="578"/>
      <c r="S3" s="573" t="s">
        <v>86</v>
      </c>
      <c r="T3" s="574"/>
      <c r="U3" s="574"/>
      <c r="V3" s="574"/>
      <c r="W3" s="224" t="s">
        <v>86</v>
      </c>
    </row>
    <row r="4" spans="1:23" s="95" customFormat="1" ht="14.4" customHeight="1" thickBot="1" x14ac:dyDescent="0.35">
      <c r="A4" s="784"/>
      <c r="B4" s="785" t="s">
        <v>87</v>
      </c>
      <c r="C4" s="786" t="s">
        <v>75</v>
      </c>
      <c r="D4" s="787" t="s">
        <v>88</v>
      </c>
      <c r="E4" s="785" t="s">
        <v>87</v>
      </c>
      <c r="F4" s="786" t="s">
        <v>75</v>
      </c>
      <c r="G4" s="787" t="s">
        <v>88</v>
      </c>
      <c r="H4" s="785" t="s">
        <v>87</v>
      </c>
      <c r="I4" s="786" t="s">
        <v>75</v>
      </c>
      <c r="J4" s="787" t="s">
        <v>88</v>
      </c>
      <c r="K4" s="788"/>
      <c r="L4" s="789"/>
      <c r="M4" s="789"/>
      <c r="N4" s="789"/>
      <c r="O4" s="790"/>
      <c r="P4" s="791"/>
      <c r="Q4" s="792" t="s">
        <v>76</v>
      </c>
      <c r="R4" s="793" t="s">
        <v>75</v>
      </c>
      <c r="S4" s="794" t="s">
        <v>89</v>
      </c>
      <c r="T4" s="795" t="s">
        <v>90</v>
      </c>
      <c r="U4" s="795" t="s">
        <v>91</v>
      </c>
      <c r="V4" s="796" t="s">
        <v>5</v>
      </c>
      <c r="W4" s="797" t="s">
        <v>92</v>
      </c>
    </row>
    <row r="5" spans="1:23" ht="14.4" customHeight="1" x14ac:dyDescent="0.3">
      <c r="A5" s="826" t="s">
        <v>1829</v>
      </c>
      <c r="B5" s="798">
        <v>1</v>
      </c>
      <c r="C5" s="799">
        <v>19.600000000000001</v>
      </c>
      <c r="D5" s="800">
        <v>16</v>
      </c>
      <c r="E5" s="801"/>
      <c r="F5" s="802"/>
      <c r="G5" s="803"/>
      <c r="H5" s="804"/>
      <c r="I5" s="802"/>
      <c r="J5" s="803"/>
      <c r="K5" s="805">
        <v>19.600000000000001</v>
      </c>
      <c r="L5" s="804">
        <v>8</v>
      </c>
      <c r="M5" s="804">
        <v>69</v>
      </c>
      <c r="N5" s="806">
        <v>23.12</v>
      </c>
      <c r="O5" s="804" t="s">
        <v>1830</v>
      </c>
      <c r="P5" s="807" t="s">
        <v>1831</v>
      </c>
      <c r="Q5" s="808">
        <f>H5-B5</f>
        <v>-1</v>
      </c>
      <c r="R5" s="808">
        <f>I5-C5</f>
        <v>-19.600000000000001</v>
      </c>
      <c r="S5" s="809" t="str">
        <f>IF(H5=0,"",H5*N5)</f>
        <v/>
      </c>
      <c r="T5" s="809" t="str">
        <f>IF(H5=0,"",H5*J5)</f>
        <v/>
      </c>
      <c r="U5" s="809" t="str">
        <f>IF(H5=0,"",T5-S5)</f>
        <v/>
      </c>
      <c r="V5" s="810" t="str">
        <f>IF(H5=0,"",T5/S5)</f>
        <v/>
      </c>
      <c r="W5" s="811"/>
    </row>
    <row r="6" spans="1:23" ht="14.4" customHeight="1" x14ac:dyDescent="0.3">
      <c r="A6" s="827" t="s">
        <v>1832</v>
      </c>
      <c r="B6" s="758">
        <v>1</v>
      </c>
      <c r="C6" s="759">
        <v>0.54</v>
      </c>
      <c r="D6" s="760">
        <v>10</v>
      </c>
      <c r="E6" s="777"/>
      <c r="F6" s="761"/>
      <c r="G6" s="762"/>
      <c r="H6" s="763"/>
      <c r="I6" s="761"/>
      <c r="J6" s="762"/>
      <c r="K6" s="764">
        <v>0.54</v>
      </c>
      <c r="L6" s="763">
        <v>2</v>
      </c>
      <c r="M6" s="763">
        <v>22</v>
      </c>
      <c r="N6" s="765">
        <v>7.22</v>
      </c>
      <c r="O6" s="763" t="s">
        <v>1830</v>
      </c>
      <c r="P6" s="778" t="s">
        <v>1833</v>
      </c>
      <c r="Q6" s="766">
        <f t="shared" ref="Q6:R51" si="0">H6-B6</f>
        <v>-1</v>
      </c>
      <c r="R6" s="766">
        <f t="shared" si="0"/>
        <v>-0.54</v>
      </c>
      <c r="S6" s="779" t="str">
        <f t="shared" ref="S6:S51" si="1">IF(H6=0,"",H6*N6)</f>
        <v/>
      </c>
      <c r="T6" s="779" t="str">
        <f t="shared" ref="T6:T51" si="2">IF(H6=0,"",H6*J6)</f>
        <v/>
      </c>
      <c r="U6" s="779" t="str">
        <f t="shared" ref="U6:U51" si="3">IF(H6=0,"",T6-S6)</f>
        <v/>
      </c>
      <c r="V6" s="780" t="str">
        <f t="shared" ref="V6:V51" si="4">IF(H6=0,"",T6/S6)</f>
        <v/>
      </c>
      <c r="W6" s="767"/>
    </row>
    <row r="7" spans="1:23" ht="14.4" customHeight="1" x14ac:dyDescent="0.3">
      <c r="A7" s="827" t="s">
        <v>1834</v>
      </c>
      <c r="B7" s="779"/>
      <c r="C7" s="781"/>
      <c r="D7" s="782"/>
      <c r="E7" s="768">
        <v>1</v>
      </c>
      <c r="F7" s="769">
        <v>0.51</v>
      </c>
      <c r="G7" s="770">
        <v>4</v>
      </c>
      <c r="H7" s="763"/>
      <c r="I7" s="761"/>
      <c r="J7" s="762"/>
      <c r="K7" s="764">
        <v>0.51</v>
      </c>
      <c r="L7" s="763">
        <v>1</v>
      </c>
      <c r="M7" s="763">
        <v>12</v>
      </c>
      <c r="N7" s="765">
        <v>4.16</v>
      </c>
      <c r="O7" s="763" t="s">
        <v>1830</v>
      </c>
      <c r="P7" s="778" t="s">
        <v>1835</v>
      </c>
      <c r="Q7" s="766">
        <f t="shared" si="0"/>
        <v>0</v>
      </c>
      <c r="R7" s="766">
        <f t="shared" si="0"/>
        <v>0</v>
      </c>
      <c r="S7" s="779" t="str">
        <f t="shared" si="1"/>
        <v/>
      </c>
      <c r="T7" s="779" t="str">
        <f t="shared" si="2"/>
        <v/>
      </c>
      <c r="U7" s="779" t="str">
        <f t="shared" si="3"/>
        <v/>
      </c>
      <c r="V7" s="780" t="str">
        <f t="shared" si="4"/>
        <v/>
      </c>
      <c r="W7" s="767"/>
    </row>
    <row r="8" spans="1:23" ht="14.4" customHeight="1" x14ac:dyDescent="0.3">
      <c r="A8" s="827" t="s">
        <v>1836</v>
      </c>
      <c r="B8" s="779"/>
      <c r="C8" s="781"/>
      <c r="D8" s="782"/>
      <c r="E8" s="768"/>
      <c r="F8" s="769"/>
      <c r="G8" s="770"/>
      <c r="H8" s="763">
        <v>1</v>
      </c>
      <c r="I8" s="761">
        <v>1.93</v>
      </c>
      <c r="J8" s="771">
        <v>23</v>
      </c>
      <c r="K8" s="764">
        <v>1.65</v>
      </c>
      <c r="L8" s="763">
        <v>2</v>
      </c>
      <c r="M8" s="763">
        <v>21</v>
      </c>
      <c r="N8" s="765">
        <v>7.13</v>
      </c>
      <c r="O8" s="763" t="s">
        <v>1830</v>
      </c>
      <c r="P8" s="778" t="s">
        <v>1837</v>
      </c>
      <c r="Q8" s="766">
        <f t="shared" si="0"/>
        <v>1</v>
      </c>
      <c r="R8" s="766">
        <f t="shared" si="0"/>
        <v>1.93</v>
      </c>
      <c r="S8" s="779">
        <f t="shared" si="1"/>
        <v>7.13</v>
      </c>
      <c r="T8" s="779">
        <f t="shared" si="2"/>
        <v>23</v>
      </c>
      <c r="U8" s="779">
        <f t="shared" si="3"/>
        <v>15.870000000000001</v>
      </c>
      <c r="V8" s="780">
        <f t="shared" si="4"/>
        <v>3.2258064516129035</v>
      </c>
      <c r="W8" s="767">
        <v>16</v>
      </c>
    </row>
    <row r="9" spans="1:23" ht="14.4" customHeight="1" x14ac:dyDescent="0.3">
      <c r="A9" s="828" t="s">
        <v>1838</v>
      </c>
      <c r="B9" s="812"/>
      <c r="C9" s="813"/>
      <c r="D9" s="783"/>
      <c r="E9" s="814">
        <v>2</v>
      </c>
      <c r="F9" s="815">
        <v>4.05</v>
      </c>
      <c r="G9" s="772">
        <v>6</v>
      </c>
      <c r="H9" s="816"/>
      <c r="I9" s="817"/>
      <c r="J9" s="773"/>
      <c r="K9" s="818">
        <v>2.02</v>
      </c>
      <c r="L9" s="816">
        <v>3</v>
      </c>
      <c r="M9" s="816">
        <v>26</v>
      </c>
      <c r="N9" s="819">
        <v>8.7899999999999991</v>
      </c>
      <c r="O9" s="816" t="s">
        <v>1830</v>
      </c>
      <c r="P9" s="820" t="s">
        <v>1839</v>
      </c>
      <c r="Q9" s="821">
        <f t="shared" si="0"/>
        <v>0</v>
      </c>
      <c r="R9" s="821">
        <f t="shared" si="0"/>
        <v>0</v>
      </c>
      <c r="S9" s="812" t="str">
        <f t="shared" si="1"/>
        <v/>
      </c>
      <c r="T9" s="812" t="str">
        <f t="shared" si="2"/>
        <v/>
      </c>
      <c r="U9" s="812" t="str">
        <f t="shared" si="3"/>
        <v/>
      </c>
      <c r="V9" s="822" t="str">
        <f t="shared" si="4"/>
        <v/>
      </c>
      <c r="W9" s="774"/>
    </row>
    <row r="10" spans="1:23" ht="14.4" customHeight="1" x14ac:dyDescent="0.3">
      <c r="A10" s="827" t="s">
        <v>1840</v>
      </c>
      <c r="B10" s="779">
        <v>1</v>
      </c>
      <c r="C10" s="781">
        <v>0.52</v>
      </c>
      <c r="D10" s="782">
        <v>5</v>
      </c>
      <c r="E10" s="777"/>
      <c r="F10" s="761"/>
      <c r="G10" s="762"/>
      <c r="H10" s="768"/>
      <c r="I10" s="769"/>
      <c r="J10" s="770"/>
      <c r="K10" s="764">
        <v>0.52</v>
      </c>
      <c r="L10" s="763">
        <v>1</v>
      </c>
      <c r="M10" s="763">
        <v>12</v>
      </c>
      <c r="N10" s="765">
        <v>3.96</v>
      </c>
      <c r="O10" s="763" t="s">
        <v>1830</v>
      </c>
      <c r="P10" s="778" t="s">
        <v>1841</v>
      </c>
      <c r="Q10" s="766">
        <f t="shared" si="0"/>
        <v>-1</v>
      </c>
      <c r="R10" s="766">
        <f t="shared" si="0"/>
        <v>-0.52</v>
      </c>
      <c r="S10" s="779" t="str">
        <f t="shared" si="1"/>
        <v/>
      </c>
      <c r="T10" s="779" t="str">
        <f t="shared" si="2"/>
        <v/>
      </c>
      <c r="U10" s="779" t="str">
        <f t="shared" si="3"/>
        <v/>
      </c>
      <c r="V10" s="780" t="str">
        <f t="shared" si="4"/>
        <v/>
      </c>
      <c r="W10" s="767"/>
    </row>
    <row r="11" spans="1:23" ht="14.4" customHeight="1" x14ac:dyDescent="0.3">
      <c r="A11" s="828" t="s">
        <v>1842</v>
      </c>
      <c r="B11" s="812"/>
      <c r="C11" s="813"/>
      <c r="D11" s="783"/>
      <c r="E11" s="823"/>
      <c r="F11" s="817"/>
      <c r="G11" s="773"/>
      <c r="H11" s="814">
        <v>1</v>
      </c>
      <c r="I11" s="815">
        <v>0.59</v>
      </c>
      <c r="J11" s="775">
        <v>6</v>
      </c>
      <c r="K11" s="818">
        <v>0.59</v>
      </c>
      <c r="L11" s="816">
        <v>2</v>
      </c>
      <c r="M11" s="816">
        <v>14</v>
      </c>
      <c r="N11" s="819">
        <v>4.83</v>
      </c>
      <c r="O11" s="816" t="s">
        <v>1830</v>
      </c>
      <c r="P11" s="820" t="s">
        <v>1843</v>
      </c>
      <c r="Q11" s="821">
        <f t="shared" si="0"/>
        <v>1</v>
      </c>
      <c r="R11" s="821">
        <f t="shared" si="0"/>
        <v>0.59</v>
      </c>
      <c r="S11" s="812">
        <f t="shared" si="1"/>
        <v>4.83</v>
      </c>
      <c r="T11" s="812">
        <f t="shared" si="2"/>
        <v>6</v>
      </c>
      <c r="U11" s="812">
        <f t="shared" si="3"/>
        <v>1.17</v>
      </c>
      <c r="V11" s="822">
        <f t="shared" si="4"/>
        <v>1.2422360248447204</v>
      </c>
      <c r="W11" s="774">
        <v>1</v>
      </c>
    </row>
    <row r="12" spans="1:23" ht="14.4" customHeight="1" x14ac:dyDescent="0.3">
      <c r="A12" s="827" t="s">
        <v>1844</v>
      </c>
      <c r="B12" s="758">
        <v>1</v>
      </c>
      <c r="C12" s="759">
        <v>2.25</v>
      </c>
      <c r="D12" s="760">
        <v>15</v>
      </c>
      <c r="E12" s="777">
        <v>2</v>
      </c>
      <c r="F12" s="761">
        <v>4.51</v>
      </c>
      <c r="G12" s="762">
        <v>11</v>
      </c>
      <c r="H12" s="763">
        <v>2</v>
      </c>
      <c r="I12" s="761">
        <v>7.09</v>
      </c>
      <c r="J12" s="771">
        <v>28</v>
      </c>
      <c r="K12" s="764">
        <v>2.25</v>
      </c>
      <c r="L12" s="763">
        <v>3</v>
      </c>
      <c r="M12" s="763">
        <v>28</v>
      </c>
      <c r="N12" s="765">
        <v>9.2100000000000009</v>
      </c>
      <c r="O12" s="763" t="s">
        <v>1830</v>
      </c>
      <c r="P12" s="778" t="s">
        <v>1845</v>
      </c>
      <c r="Q12" s="766">
        <f t="shared" si="0"/>
        <v>1</v>
      </c>
      <c r="R12" s="766">
        <f t="shared" si="0"/>
        <v>4.84</v>
      </c>
      <c r="S12" s="779">
        <f t="shared" si="1"/>
        <v>18.420000000000002</v>
      </c>
      <c r="T12" s="779">
        <f t="shared" si="2"/>
        <v>56</v>
      </c>
      <c r="U12" s="779">
        <f t="shared" si="3"/>
        <v>37.58</v>
      </c>
      <c r="V12" s="780">
        <f t="shared" si="4"/>
        <v>3.0401737242128117</v>
      </c>
      <c r="W12" s="767">
        <v>38</v>
      </c>
    </row>
    <row r="13" spans="1:23" ht="14.4" customHeight="1" x14ac:dyDescent="0.3">
      <c r="A13" s="828" t="s">
        <v>1846</v>
      </c>
      <c r="B13" s="824">
        <v>1</v>
      </c>
      <c r="C13" s="825">
        <v>4.13</v>
      </c>
      <c r="D13" s="776">
        <v>8</v>
      </c>
      <c r="E13" s="823"/>
      <c r="F13" s="817"/>
      <c r="G13" s="773"/>
      <c r="H13" s="816"/>
      <c r="I13" s="817"/>
      <c r="J13" s="773"/>
      <c r="K13" s="818">
        <v>4.13</v>
      </c>
      <c r="L13" s="816">
        <v>5</v>
      </c>
      <c r="M13" s="816">
        <v>42</v>
      </c>
      <c r="N13" s="819">
        <v>13.99</v>
      </c>
      <c r="O13" s="816" t="s">
        <v>1830</v>
      </c>
      <c r="P13" s="820" t="s">
        <v>1847</v>
      </c>
      <c r="Q13" s="821">
        <f t="shared" si="0"/>
        <v>-1</v>
      </c>
      <c r="R13" s="821">
        <f t="shared" si="0"/>
        <v>-4.13</v>
      </c>
      <c r="S13" s="812" t="str">
        <f t="shared" si="1"/>
        <v/>
      </c>
      <c r="T13" s="812" t="str">
        <f t="shared" si="2"/>
        <v/>
      </c>
      <c r="U13" s="812" t="str">
        <f t="shared" si="3"/>
        <v/>
      </c>
      <c r="V13" s="822" t="str">
        <f t="shared" si="4"/>
        <v/>
      </c>
      <c r="W13" s="774"/>
    </row>
    <row r="14" spans="1:23" ht="14.4" customHeight="1" x14ac:dyDescent="0.3">
      <c r="A14" s="828" t="s">
        <v>1848</v>
      </c>
      <c r="B14" s="824">
        <v>1</v>
      </c>
      <c r="C14" s="825">
        <v>6.24</v>
      </c>
      <c r="D14" s="776">
        <v>16</v>
      </c>
      <c r="E14" s="823"/>
      <c r="F14" s="817"/>
      <c r="G14" s="773"/>
      <c r="H14" s="816"/>
      <c r="I14" s="817"/>
      <c r="J14" s="773"/>
      <c r="K14" s="818">
        <v>6.24</v>
      </c>
      <c r="L14" s="816">
        <v>6</v>
      </c>
      <c r="M14" s="816">
        <v>54</v>
      </c>
      <c r="N14" s="819">
        <v>18</v>
      </c>
      <c r="O14" s="816" t="s">
        <v>1830</v>
      </c>
      <c r="P14" s="820" t="s">
        <v>1849</v>
      </c>
      <c r="Q14" s="821">
        <f t="shared" si="0"/>
        <v>-1</v>
      </c>
      <c r="R14" s="821">
        <f t="shared" si="0"/>
        <v>-6.24</v>
      </c>
      <c r="S14" s="812" t="str">
        <f t="shared" si="1"/>
        <v/>
      </c>
      <c r="T14" s="812" t="str">
        <f t="shared" si="2"/>
        <v/>
      </c>
      <c r="U14" s="812" t="str">
        <f t="shared" si="3"/>
        <v/>
      </c>
      <c r="V14" s="822" t="str">
        <f t="shared" si="4"/>
        <v/>
      </c>
      <c r="W14" s="774"/>
    </row>
    <row r="15" spans="1:23" ht="14.4" customHeight="1" x14ac:dyDescent="0.3">
      <c r="A15" s="827" t="s">
        <v>1850</v>
      </c>
      <c r="B15" s="758">
        <v>13</v>
      </c>
      <c r="C15" s="759">
        <v>28.82</v>
      </c>
      <c r="D15" s="760">
        <v>6.5</v>
      </c>
      <c r="E15" s="777">
        <v>3</v>
      </c>
      <c r="F15" s="761">
        <v>6.65</v>
      </c>
      <c r="G15" s="762">
        <v>7</v>
      </c>
      <c r="H15" s="763">
        <v>12</v>
      </c>
      <c r="I15" s="761">
        <v>27.51</v>
      </c>
      <c r="J15" s="762">
        <v>6</v>
      </c>
      <c r="K15" s="764">
        <v>2.2200000000000002</v>
      </c>
      <c r="L15" s="763">
        <v>2</v>
      </c>
      <c r="M15" s="763">
        <v>21</v>
      </c>
      <c r="N15" s="765">
        <v>6.93</v>
      </c>
      <c r="O15" s="763" t="s">
        <v>1830</v>
      </c>
      <c r="P15" s="778" t="s">
        <v>1851</v>
      </c>
      <c r="Q15" s="766">
        <f t="shared" si="0"/>
        <v>-1</v>
      </c>
      <c r="R15" s="766">
        <f t="shared" si="0"/>
        <v>-1.3099999999999987</v>
      </c>
      <c r="S15" s="779">
        <f t="shared" si="1"/>
        <v>83.16</v>
      </c>
      <c r="T15" s="779">
        <f t="shared" si="2"/>
        <v>72</v>
      </c>
      <c r="U15" s="779">
        <f t="shared" si="3"/>
        <v>-11.159999999999997</v>
      </c>
      <c r="V15" s="780">
        <f t="shared" si="4"/>
        <v>0.86580086580086579</v>
      </c>
      <c r="W15" s="767">
        <v>8</v>
      </c>
    </row>
    <row r="16" spans="1:23" ht="14.4" customHeight="1" x14ac:dyDescent="0.3">
      <c r="A16" s="828" t="s">
        <v>1852</v>
      </c>
      <c r="B16" s="824">
        <v>1</v>
      </c>
      <c r="C16" s="825">
        <v>2.2200000000000002</v>
      </c>
      <c r="D16" s="776">
        <v>8</v>
      </c>
      <c r="E16" s="823">
        <v>3</v>
      </c>
      <c r="F16" s="817">
        <v>6.65</v>
      </c>
      <c r="G16" s="773">
        <v>6</v>
      </c>
      <c r="H16" s="816">
        <v>2</v>
      </c>
      <c r="I16" s="817">
        <v>4.43</v>
      </c>
      <c r="J16" s="775">
        <v>8.5</v>
      </c>
      <c r="K16" s="818">
        <v>2.2200000000000002</v>
      </c>
      <c r="L16" s="816">
        <v>2</v>
      </c>
      <c r="M16" s="816">
        <v>21</v>
      </c>
      <c r="N16" s="819">
        <v>6.93</v>
      </c>
      <c r="O16" s="816" t="s">
        <v>1830</v>
      </c>
      <c r="P16" s="820" t="s">
        <v>1853</v>
      </c>
      <c r="Q16" s="821">
        <f t="shared" si="0"/>
        <v>1</v>
      </c>
      <c r="R16" s="821">
        <f t="shared" si="0"/>
        <v>2.2099999999999995</v>
      </c>
      <c r="S16" s="812">
        <f t="shared" si="1"/>
        <v>13.86</v>
      </c>
      <c r="T16" s="812">
        <f t="shared" si="2"/>
        <v>17</v>
      </c>
      <c r="U16" s="812">
        <f t="shared" si="3"/>
        <v>3.1400000000000006</v>
      </c>
      <c r="V16" s="822">
        <f t="shared" si="4"/>
        <v>1.2265512265512266</v>
      </c>
      <c r="W16" s="774">
        <v>3</v>
      </c>
    </row>
    <row r="17" spans="1:23" ht="14.4" customHeight="1" x14ac:dyDescent="0.3">
      <c r="A17" s="828" t="s">
        <v>1854</v>
      </c>
      <c r="B17" s="824">
        <v>4</v>
      </c>
      <c r="C17" s="825">
        <v>15.93</v>
      </c>
      <c r="D17" s="776">
        <v>10.3</v>
      </c>
      <c r="E17" s="823"/>
      <c r="F17" s="817"/>
      <c r="G17" s="773"/>
      <c r="H17" s="816"/>
      <c r="I17" s="817"/>
      <c r="J17" s="773"/>
      <c r="K17" s="818">
        <v>3.98</v>
      </c>
      <c r="L17" s="816">
        <v>3</v>
      </c>
      <c r="M17" s="816">
        <v>29</v>
      </c>
      <c r="N17" s="819">
        <v>9.5299999999999994</v>
      </c>
      <c r="O17" s="816" t="s">
        <v>1830</v>
      </c>
      <c r="P17" s="820" t="s">
        <v>1855</v>
      </c>
      <c r="Q17" s="821">
        <f t="shared" si="0"/>
        <v>-4</v>
      </c>
      <c r="R17" s="821">
        <f t="shared" si="0"/>
        <v>-15.93</v>
      </c>
      <c r="S17" s="812" t="str">
        <f t="shared" si="1"/>
        <v/>
      </c>
      <c r="T17" s="812" t="str">
        <f t="shared" si="2"/>
        <v/>
      </c>
      <c r="U17" s="812" t="str">
        <f t="shared" si="3"/>
        <v/>
      </c>
      <c r="V17" s="822" t="str">
        <f t="shared" si="4"/>
        <v/>
      </c>
      <c r="W17" s="774"/>
    </row>
    <row r="18" spans="1:23" ht="14.4" customHeight="1" x14ac:dyDescent="0.3">
      <c r="A18" s="827" t="s">
        <v>1856</v>
      </c>
      <c r="B18" s="758">
        <v>43</v>
      </c>
      <c r="C18" s="759">
        <v>39.869999999999997</v>
      </c>
      <c r="D18" s="760">
        <v>5.5</v>
      </c>
      <c r="E18" s="777">
        <v>24</v>
      </c>
      <c r="F18" s="761">
        <v>22.26</v>
      </c>
      <c r="G18" s="762">
        <v>5.6</v>
      </c>
      <c r="H18" s="763">
        <v>31</v>
      </c>
      <c r="I18" s="761">
        <v>28.77</v>
      </c>
      <c r="J18" s="762">
        <v>4.8</v>
      </c>
      <c r="K18" s="764">
        <v>0.93</v>
      </c>
      <c r="L18" s="763">
        <v>2</v>
      </c>
      <c r="M18" s="763">
        <v>16</v>
      </c>
      <c r="N18" s="765">
        <v>5.4</v>
      </c>
      <c r="O18" s="763" t="s">
        <v>1830</v>
      </c>
      <c r="P18" s="778" t="s">
        <v>1857</v>
      </c>
      <c r="Q18" s="766">
        <f t="shared" si="0"/>
        <v>-12</v>
      </c>
      <c r="R18" s="766">
        <f t="shared" si="0"/>
        <v>-11.099999999999998</v>
      </c>
      <c r="S18" s="779">
        <f t="shared" si="1"/>
        <v>167.4</v>
      </c>
      <c r="T18" s="779">
        <f t="shared" si="2"/>
        <v>148.79999999999998</v>
      </c>
      <c r="U18" s="779">
        <f t="shared" si="3"/>
        <v>-18.600000000000023</v>
      </c>
      <c r="V18" s="780">
        <f t="shared" si="4"/>
        <v>0.88888888888888873</v>
      </c>
      <c r="W18" s="767">
        <v>22</v>
      </c>
    </row>
    <row r="19" spans="1:23" ht="14.4" customHeight="1" x14ac:dyDescent="0.3">
      <c r="A19" s="828" t="s">
        <v>1858</v>
      </c>
      <c r="B19" s="824"/>
      <c r="C19" s="825"/>
      <c r="D19" s="776"/>
      <c r="E19" s="823">
        <v>2</v>
      </c>
      <c r="F19" s="817">
        <v>2.57</v>
      </c>
      <c r="G19" s="773">
        <v>5.5</v>
      </c>
      <c r="H19" s="816">
        <v>3</v>
      </c>
      <c r="I19" s="817">
        <v>3.86</v>
      </c>
      <c r="J19" s="773">
        <v>5.3</v>
      </c>
      <c r="K19" s="818">
        <v>1.29</v>
      </c>
      <c r="L19" s="816">
        <v>3</v>
      </c>
      <c r="M19" s="816">
        <v>23</v>
      </c>
      <c r="N19" s="819">
        <v>7.65</v>
      </c>
      <c r="O19" s="816" t="s">
        <v>1830</v>
      </c>
      <c r="P19" s="820" t="s">
        <v>1859</v>
      </c>
      <c r="Q19" s="821">
        <f t="shared" si="0"/>
        <v>3</v>
      </c>
      <c r="R19" s="821">
        <f t="shared" si="0"/>
        <v>3.86</v>
      </c>
      <c r="S19" s="812">
        <f t="shared" si="1"/>
        <v>22.950000000000003</v>
      </c>
      <c r="T19" s="812">
        <f t="shared" si="2"/>
        <v>15.899999999999999</v>
      </c>
      <c r="U19" s="812">
        <f t="shared" si="3"/>
        <v>-7.0500000000000043</v>
      </c>
      <c r="V19" s="822">
        <f t="shared" si="4"/>
        <v>0.69281045751633974</v>
      </c>
      <c r="W19" s="774"/>
    </row>
    <row r="20" spans="1:23" ht="14.4" customHeight="1" x14ac:dyDescent="0.3">
      <c r="A20" s="828" t="s">
        <v>1860</v>
      </c>
      <c r="B20" s="824">
        <v>3</v>
      </c>
      <c r="C20" s="825">
        <v>5.21</v>
      </c>
      <c r="D20" s="776">
        <v>11</v>
      </c>
      <c r="E20" s="823">
        <v>1</v>
      </c>
      <c r="F20" s="817">
        <v>1.74</v>
      </c>
      <c r="G20" s="773">
        <v>4</v>
      </c>
      <c r="H20" s="816"/>
      <c r="I20" s="817"/>
      <c r="J20" s="773"/>
      <c r="K20" s="818">
        <v>1.74</v>
      </c>
      <c r="L20" s="816">
        <v>2</v>
      </c>
      <c r="M20" s="816">
        <v>22</v>
      </c>
      <c r="N20" s="819">
        <v>7.27</v>
      </c>
      <c r="O20" s="816" t="s">
        <v>1830</v>
      </c>
      <c r="P20" s="820" t="s">
        <v>1861</v>
      </c>
      <c r="Q20" s="821">
        <f t="shared" si="0"/>
        <v>-3</v>
      </c>
      <c r="R20" s="821">
        <f t="shared" si="0"/>
        <v>-5.21</v>
      </c>
      <c r="S20" s="812" t="str">
        <f t="shared" si="1"/>
        <v/>
      </c>
      <c r="T20" s="812" t="str">
        <f t="shared" si="2"/>
        <v/>
      </c>
      <c r="U20" s="812" t="str">
        <f t="shared" si="3"/>
        <v/>
      </c>
      <c r="V20" s="822" t="str">
        <f t="shared" si="4"/>
        <v/>
      </c>
      <c r="W20" s="774"/>
    </row>
    <row r="21" spans="1:23" ht="14.4" customHeight="1" x14ac:dyDescent="0.3">
      <c r="A21" s="827" t="s">
        <v>1862</v>
      </c>
      <c r="B21" s="779">
        <v>2</v>
      </c>
      <c r="C21" s="781">
        <v>3.27</v>
      </c>
      <c r="D21" s="782">
        <v>8</v>
      </c>
      <c r="E21" s="777">
        <v>2</v>
      </c>
      <c r="F21" s="761">
        <v>3.27</v>
      </c>
      <c r="G21" s="762">
        <v>6.5</v>
      </c>
      <c r="H21" s="768">
        <v>2</v>
      </c>
      <c r="I21" s="769">
        <v>3.27</v>
      </c>
      <c r="J21" s="770">
        <v>5.5</v>
      </c>
      <c r="K21" s="764">
        <v>1.64</v>
      </c>
      <c r="L21" s="763">
        <v>2</v>
      </c>
      <c r="M21" s="763">
        <v>18</v>
      </c>
      <c r="N21" s="765">
        <v>6.15</v>
      </c>
      <c r="O21" s="763" t="s">
        <v>1830</v>
      </c>
      <c r="P21" s="778" t="s">
        <v>1863</v>
      </c>
      <c r="Q21" s="766">
        <f t="shared" si="0"/>
        <v>0</v>
      </c>
      <c r="R21" s="766">
        <f t="shared" si="0"/>
        <v>0</v>
      </c>
      <c r="S21" s="779">
        <f t="shared" si="1"/>
        <v>12.3</v>
      </c>
      <c r="T21" s="779">
        <f t="shared" si="2"/>
        <v>11</v>
      </c>
      <c r="U21" s="779">
        <f t="shared" si="3"/>
        <v>-1.3000000000000007</v>
      </c>
      <c r="V21" s="780">
        <f t="shared" si="4"/>
        <v>0.89430894308943087</v>
      </c>
      <c r="W21" s="767"/>
    </row>
    <row r="22" spans="1:23" ht="14.4" customHeight="1" x14ac:dyDescent="0.3">
      <c r="A22" s="827" t="s">
        <v>1864</v>
      </c>
      <c r="B22" s="779">
        <v>2</v>
      </c>
      <c r="C22" s="781">
        <v>2.6</v>
      </c>
      <c r="D22" s="782">
        <v>9</v>
      </c>
      <c r="E22" s="768">
        <v>2</v>
      </c>
      <c r="F22" s="769">
        <v>2.59</v>
      </c>
      <c r="G22" s="770">
        <v>4.5</v>
      </c>
      <c r="H22" s="763">
        <v>1</v>
      </c>
      <c r="I22" s="761">
        <v>1.3</v>
      </c>
      <c r="J22" s="762">
        <v>5</v>
      </c>
      <c r="K22" s="764">
        <v>1.3</v>
      </c>
      <c r="L22" s="763">
        <v>2</v>
      </c>
      <c r="M22" s="763">
        <v>19</v>
      </c>
      <c r="N22" s="765">
        <v>6.37</v>
      </c>
      <c r="O22" s="763" t="s">
        <v>1830</v>
      </c>
      <c r="P22" s="778" t="s">
        <v>1865</v>
      </c>
      <c r="Q22" s="766">
        <f t="shared" si="0"/>
        <v>-1</v>
      </c>
      <c r="R22" s="766">
        <f t="shared" si="0"/>
        <v>-1.3</v>
      </c>
      <c r="S22" s="779">
        <f t="shared" si="1"/>
        <v>6.37</v>
      </c>
      <c r="T22" s="779">
        <f t="shared" si="2"/>
        <v>5</v>
      </c>
      <c r="U22" s="779">
        <f t="shared" si="3"/>
        <v>-1.37</v>
      </c>
      <c r="V22" s="780">
        <f t="shared" si="4"/>
        <v>0.78492935635792782</v>
      </c>
      <c r="W22" s="767"/>
    </row>
    <row r="23" spans="1:23" ht="14.4" customHeight="1" x14ac:dyDescent="0.3">
      <c r="A23" s="827" t="s">
        <v>1866</v>
      </c>
      <c r="B23" s="779">
        <v>4</v>
      </c>
      <c r="C23" s="781">
        <v>3.1</v>
      </c>
      <c r="D23" s="782">
        <v>4</v>
      </c>
      <c r="E23" s="777">
        <v>3</v>
      </c>
      <c r="F23" s="761">
        <v>4.96</v>
      </c>
      <c r="G23" s="762">
        <v>16.7</v>
      </c>
      <c r="H23" s="768">
        <v>6</v>
      </c>
      <c r="I23" s="769">
        <v>4.63</v>
      </c>
      <c r="J23" s="771">
        <v>4.7</v>
      </c>
      <c r="K23" s="764">
        <v>0.77</v>
      </c>
      <c r="L23" s="763">
        <v>1</v>
      </c>
      <c r="M23" s="763">
        <v>13</v>
      </c>
      <c r="N23" s="765">
        <v>4.32</v>
      </c>
      <c r="O23" s="763" t="s">
        <v>1830</v>
      </c>
      <c r="P23" s="778" t="s">
        <v>1867</v>
      </c>
      <c r="Q23" s="766">
        <f t="shared" si="0"/>
        <v>2</v>
      </c>
      <c r="R23" s="766">
        <f t="shared" si="0"/>
        <v>1.5299999999999998</v>
      </c>
      <c r="S23" s="779">
        <f t="shared" si="1"/>
        <v>25.92</v>
      </c>
      <c r="T23" s="779">
        <f t="shared" si="2"/>
        <v>28.200000000000003</v>
      </c>
      <c r="U23" s="779">
        <f t="shared" si="3"/>
        <v>2.2800000000000011</v>
      </c>
      <c r="V23" s="780">
        <f t="shared" si="4"/>
        <v>1.087962962962963</v>
      </c>
      <c r="W23" s="767">
        <v>5</v>
      </c>
    </row>
    <row r="24" spans="1:23" ht="14.4" customHeight="1" x14ac:dyDescent="0.3">
      <c r="A24" s="828" t="s">
        <v>1868</v>
      </c>
      <c r="B24" s="812">
        <v>1</v>
      </c>
      <c r="C24" s="813">
        <v>1.32</v>
      </c>
      <c r="D24" s="783">
        <v>5</v>
      </c>
      <c r="E24" s="823">
        <v>1</v>
      </c>
      <c r="F24" s="817">
        <v>1.04</v>
      </c>
      <c r="G24" s="773">
        <v>3</v>
      </c>
      <c r="H24" s="814"/>
      <c r="I24" s="815"/>
      <c r="J24" s="772"/>
      <c r="K24" s="818">
        <v>1.04</v>
      </c>
      <c r="L24" s="816">
        <v>2</v>
      </c>
      <c r="M24" s="816">
        <v>18</v>
      </c>
      <c r="N24" s="819">
        <v>5.86</v>
      </c>
      <c r="O24" s="816" t="s">
        <v>1830</v>
      </c>
      <c r="P24" s="820" t="s">
        <v>1869</v>
      </c>
      <c r="Q24" s="821">
        <f t="shared" si="0"/>
        <v>-1</v>
      </c>
      <c r="R24" s="821">
        <f t="shared" si="0"/>
        <v>-1.32</v>
      </c>
      <c r="S24" s="812" t="str">
        <f t="shared" si="1"/>
        <v/>
      </c>
      <c r="T24" s="812" t="str">
        <f t="shared" si="2"/>
        <v/>
      </c>
      <c r="U24" s="812" t="str">
        <f t="shared" si="3"/>
        <v/>
      </c>
      <c r="V24" s="822" t="str">
        <f t="shared" si="4"/>
        <v/>
      </c>
      <c r="W24" s="774"/>
    </row>
    <row r="25" spans="1:23" ht="14.4" customHeight="1" x14ac:dyDescent="0.3">
      <c r="A25" s="827" t="s">
        <v>1870</v>
      </c>
      <c r="B25" s="779">
        <v>2</v>
      </c>
      <c r="C25" s="781">
        <v>1.31</v>
      </c>
      <c r="D25" s="782">
        <v>4</v>
      </c>
      <c r="E25" s="768">
        <v>5</v>
      </c>
      <c r="F25" s="769">
        <v>4.26</v>
      </c>
      <c r="G25" s="770">
        <v>4.2</v>
      </c>
      <c r="H25" s="763">
        <v>2</v>
      </c>
      <c r="I25" s="761">
        <v>1.77</v>
      </c>
      <c r="J25" s="771">
        <v>10</v>
      </c>
      <c r="K25" s="764">
        <v>0.85</v>
      </c>
      <c r="L25" s="763">
        <v>2</v>
      </c>
      <c r="M25" s="763">
        <v>18</v>
      </c>
      <c r="N25" s="765">
        <v>5.97</v>
      </c>
      <c r="O25" s="763" t="s">
        <v>1830</v>
      </c>
      <c r="P25" s="778" t="s">
        <v>1871</v>
      </c>
      <c r="Q25" s="766">
        <f t="shared" si="0"/>
        <v>0</v>
      </c>
      <c r="R25" s="766">
        <f t="shared" si="0"/>
        <v>0.45999999999999996</v>
      </c>
      <c r="S25" s="779">
        <f t="shared" si="1"/>
        <v>11.94</v>
      </c>
      <c r="T25" s="779">
        <f t="shared" si="2"/>
        <v>20</v>
      </c>
      <c r="U25" s="779">
        <f t="shared" si="3"/>
        <v>8.06</v>
      </c>
      <c r="V25" s="780">
        <f t="shared" si="4"/>
        <v>1.6750418760469012</v>
      </c>
      <c r="W25" s="767">
        <v>8</v>
      </c>
    </row>
    <row r="26" spans="1:23" ht="14.4" customHeight="1" x14ac:dyDescent="0.3">
      <c r="A26" s="828" t="s">
        <v>1872</v>
      </c>
      <c r="B26" s="812">
        <v>2</v>
      </c>
      <c r="C26" s="813">
        <v>1.99</v>
      </c>
      <c r="D26" s="783">
        <v>13.5</v>
      </c>
      <c r="E26" s="814"/>
      <c r="F26" s="815"/>
      <c r="G26" s="772"/>
      <c r="H26" s="816"/>
      <c r="I26" s="817"/>
      <c r="J26" s="773"/>
      <c r="K26" s="818">
        <v>0.91</v>
      </c>
      <c r="L26" s="816">
        <v>2</v>
      </c>
      <c r="M26" s="816">
        <v>21</v>
      </c>
      <c r="N26" s="819">
        <v>6.98</v>
      </c>
      <c r="O26" s="816" t="s">
        <v>1830</v>
      </c>
      <c r="P26" s="820" t="s">
        <v>1873</v>
      </c>
      <c r="Q26" s="821">
        <f t="shared" si="0"/>
        <v>-2</v>
      </c>
      <c r="R26" s="821">
        <f t="shared" si="0"/>
        <v>-1.99</v>
      </c>
      <c r="S26" s="812" t="str">
        <f t="shared" si="1"/>
        <v/>
      </c>
      <c r="T26" s="812" t="str">
        <f t="shared" si="2"/>
        <v/>
      </c>
      <c r="U26" s="812" t="str">
        <f t="shared" si="3"/>
        <v/>
      </c>
      <c r="V26" s="822" t="str">
        <f t="shared" si="4"/>
        <v/>
      </c>
      <c r="W26" s="774"/>
    </row>
    <row r="27" spans="1:23" ht="14.4" customHeight="1" x14ac:dyDescent="0.3">
      <c r="A27" s="827" t="s">
        <v>1874</v>
      </c>
      <c r="B27" s="758">
        <v>54</v>
      </c>
      <c r="C27" s="759">
        <v>32.25</v>
      </c>
      <c r="D27" s="760">
        <v>4</v>
      </c>
      <c r="E27" s="777">
        <v>29</v>
      </c>
      <c r="F27" s="761">
        <v>17.27</v>
      </c>
      <c r="G27" s="762">
        <v>3.8</v>
      </c>
      <c r="H27" s="763">
        <v>32</v>
      </c>
      <c r="I27" s="761">
        <v>19.07</v>
      </c>
      <c r="J27" s="771">
        <v>3.9</v>
      </c>
      <c r="K27" s="764">
        <v>0.59</v>
      </c>
      <c r="L27" s="763">
        <v>1</v>
      </c>
      <c r="M27" s="763">
        <v>11</v>
      </c>
      <c r="N27" s="765">
        <v>3.7</v>
      </c>
      <c r="O27" s="763" t="s">
        <v>1830</v>
      </c>
      <c r="P27" s="778" t="s">
        <v>1875</v>
      </c>
      <c r="Q27" s="766">
        <f t="shared" si="0"/>
        <v>-22</v>
      </c>
      <c r="R27" s="766">
        <f t="shared" si="0"/>
        <v>-13.18</v>
      </c>
      <c r="S27" s="779">
        <f t="shared" si="1"/>
        <v>118.4</v>
      </c>
      <c r="T27" s="779">
        <f t="shared" si="2"/>
        <v>124.8</v>
      </c>
      <c r="U27" s="779">
        <f t="shared" si="3"/>
        <v>6.3999999999999915</v>
      </c>
      <c r="V27" s="780">
        <f t="shared" si="4"/>
        <v>1.0540540540540539</v>
      </c>
      <c r="W27" s="767">
        <v>17</v>
      </c>
    </row>
    <row r="28" spans="1:23" ht="14.4" customHeight="1" x14ac:dyDescent="0.3">
      <c r="A28" s="828" t="s">
        <v>1876</v>
      </c>
      <c r="B28" s="824">
        <v>6</v>
      </c>
      <c r="C28" s="825">
        <v>4.34</v>
      </c>
      <c r="D28" s="776">
        <v>4.7</v>
      </c>
      <c r="E28" s="823">
        <v>3</v>
      </c>
      <c r="F28" s="817">
        <v>2.17</v>
      </c>
      <c r="G28" s="773">
        <v>4</v>
      </c>
      <c r="H28" s="816">
        <v>9</v>
      </c>
      <c r="I28" s="817">
        <v>6.51</v>
      </c>
      <c r="J28" s="773">
        <v>3.2</v>
      </c>
      <c r="K28" s="818">
        <v>0.72</v>
      </c>
      <c r="L28" s="816">
        <v>2</v>
      </c>
      <c r="M28" s="816">
        <v>15</v>
      </c>
      <c r="N28" s="819">
        <v>4.88</v>
      </c>
      <c r="O28" s="816" t="s">
        <v>1830</v>
      </c>
      <c r="P28" s="820" t="s">
        <v>1877</v>
      </c>
      <c r="Q28" s="821">
        <f t="shared" si="0"/>
        <v>3</v>
      </c>
      <c r="R28" s="821">
        <f t="shared" si="0"/>
        <v>2.17</v>
      </c>
      <c r="S28" s="812">
        <f t="shared" si="1"/>
        <v>43.92</v>
      </c>
      <c r="T28" s="812">
        <f t="shared" si="2"/>
        <v>28.8</v>
      </c>
      <c r="U28" s="812">
        <f t="shared" si="3"/>
        <v>-15.120000000000001</v>
      </c>
      <c r="V28" s="822">
        <f t="shared" si="4"/>
        <v>0.65573770491803274</v>
      </c>
      <c r="W28" s="774"/>
    </row>
    <row r="29" spans="1:23" ht="14.4" customHeight="1" x14ac:dyDescent="0.3">
      <c r="A29" s="828" t="s">
        <v>1878</v>
      </c>
      <c r="B29" s="824">
        <v>1</v>
      </c>
      <c r="C29" s="825">
        <v>0.93</v>
      </c>
      <c r="D29" s="776">
        <v>4</v>
      </c>
      <c r="E29" s="823">
        <v>1</v>
      </c>
      <c r="F29" s="817">
        <v>0.93</v>
      </c>
      <c r="G29" s="773">
        <v>7</v>
      </c>
      <c r="H29" s="816">
        <v>1</v>
      </c>
      <c r="I29" s="817">
        <v>1.68</v>
      </c>
      <c r="J29" s="773">
        <v>3</v>
      </c>
      <c r="K29" s="818">
        <v>0.93</v>
      </c>
      <c r="L29" s="816">
        <v>2</v>
      </c>
      <c r="M29" s="816">
        <v>14</v>
      </c>
      <c r="N29" s="819">
        <v>4.78</v>
      </c>
      <c r="O29" s="816" t="s">
        <v>1830</v>
      </c>
      <c r="P29" s="820" t="s">
        <v>1879</v>
      </c>
      <c r="Q29" s="821">
        <f t="shared" si="0"/>
        <v>0</v>
      </c>
      <c r="R29" s="821">
        <f t="shared" si="0"/>
        <v>0.74999999999999989</v>
      </c>
      <c r="S29" s="812">
        <f t="shared" si="1"/>
        <v>4.78</v>
      </c>
      <c r="T29" s="812">
        <f t="shared" si="2"/>
        <v>3</v>
      </c>
      <c r="U29" s="812">
        <f t="shared" si="3"/>
        <v>-1.7800000000000002</v>
      </c>
      <c r="V29" s="822">
        <f t="shared" si="4"/>
        <v>0.62761506276150625</v>
      </c>
      <c r="W29" s="774"/>
    </row>
    <row r="30" spans="1:23" ht="14.4" customHeight="1" x14ac:dyDescent="0.3">
      <c r="A30" s="827" t="s">
        <v>1880</v>
      </c>
      <c r="B30" s="779"/>
      <c r="C30" s="781"/>
      <c r="D30" s="782"/>
      <c r="E30" s="777"/>
      <c r="F30" s="761"/>
      <c r="G30" s="762"/>
      <c r="H30" s="768">
        <v>2</v>
      </c>
      <c r="I30" s="769">
        <v>1.02</v>
      </c>
      <c r="J30" s="770">
        <v>3.5</v>
      </c>
      <c r="K30" s="764">
        <v>0.51</v>
      </c>
      <c r="L30" s="763">
        <v>2</v>
      </c>
      <c r="M30" s="763">
        <v>14</v>
      </c>
      <c r="N30" s="765">
        <v>4.82</v>
      </c>
      <c r="O30" s="763" t="s">
        <v>1830</v>
      </c>
      <c r="P30" s="778" t="s">
        <v>1881</v>
      </c>
      <c r="Q30" s="766">
        <f t="shared" si="0"/>
        <v>2</v>
      </c>
      <c r="R30" s="766">
        <f t="shared" si="0"/>
        <v>1.02</v>
      </c>
      <c r="S30" s="779">
        <f t="shared" si="1"/>
        <v>9.64</v>
      </c>
      <c r="T30" s="779">
        <f t="shared" si="2"/>
        <v>7</v>
      </c>
      <c r="U30" s="779">
        <f t="shared" si="3"/>
        <v>-2.6400000000000006</v>
      </c>
      <c r="V30" s="780">
        <f t="shared" si="4"/>
        <v>0.72614107883817425</v>
      </c>
      <c r="W30" s="767"/>
    </row>
    <row r="31" spans="1:23" ht="14.4" customHeight="1" x14ac:dyDescent="0.3">
      <c r="A31" s="828" t="s">
        <v>1882</v>
      </c>
      <c r="B31" s="812"/>
      <c r="C31" s="813"/>
      <c r="D31" s="783"/>
      <c r="E31" s="823">
        <v>1</v>
      </c>
      <c r="F31" s="817">
        <v>0.66</v>
      </c>
      <c r="G31" s="773">
        <v>4</v>
      </c>
      <c r="H31" s="814"/>
      <c r="I31" s="815"/>
      <c r="J31" s="772"/>
      <c r="K31" s="818">
        <v>0.66</v>
      </c>
      <c r="L31" s="816">
        <v>2</v>
      </c>
      <c r="M31" s="816">
        <v>20</v>
      </c>
      <c r="N31" s="819">
        <v>6.77</v>
      </c>
      <c r="O31" s="816" t="s">
        <v>1830</v>
      </c>
      <c r="P31" s="820" t="s">
        <v>1883</v>
      </c>
      <c r="Q31" s="821">
        <f t="shared" si="0"/>
        <v>0</v>
      </c>
      <c r="R31" s="821">
        <f t="shared" si="0"/>
        <v>0</v>
      </c>
      <c r="S31" s="812" t="str">
        <f t="shared" si="1"/>
        <v/>
      </c>
      <c r="T31" s="812" t="str">
        <f t="shared" si="2"/>
        <v/>
      </c>
      <c r="U31" s="812" t="str">
        <f t="shared" si="3"/>
        <v/>
      </c>
      <c r="V31" s="822" t="str">
        <f t="shared" si="4"/>
        <v/>
      </c>
      <c r="W31" s="774"/>
    </row>
    <row r="32" spans="1:23" ht="14.4" customHeight="1" x14ac:dyDescent="0.3">
      <c r="A32" s="827" t="s">
        <v>1884</v>
      </c>
      <c r="B32" s="758">
        <v>2</v>
      </c>
      <c r="C32" s="759">
        <v>6.11</v>
      </c>
      <c r="D32" s="760">
        <v>3.5</v>
      </c>
      <c r="E32" s="777">
        <v>1</v>
      </c>
      <c r="F32" s="761">
        <v>3.05</v>
      </c>
      <c r="G32" s="762">
        <v>3</v>
      </c>
      <c r="H32" s="763"/>
      <c r="I32" s="761"/>
      <c r="J32" s="762"/>
      <c r="K32" s="764">
        <v>3.05</v>
      </c>
      <c r="L32" s="763">
        <v>3</v>
      </c>
      <c r="M32" s="763">
        <v>24</v>
      </c>
      <c r="N32" s="765">
        <v>8.15</v>
      </c>
      <c r="O32" s="763" t="s">
        <v>1830</v>
      </c>
      <c r="P32" s="778" t="s">
        <v>1885</v>
      </c>
      <c r="Q32" s="766">
        <f t="shared" si="0"/>
        <v>-2</v>
      </c>
      <c r="R32" s="766">
        <f t="shared" si="0"/>
        <v>-6.11</v>
      </c>
      <c r="S32" s="779" t="str">
        <f t="shared" si="1"/>
        <v/>
      </c>
      <c r="T32" s="779" t="str">
        <f t="shared" si="2"/>
        <v/>
      </c>
      <c r="U32" s="779" t="str">
        <f t="shared" si="3"/>
        <v/>
      </c>
      <c r="V32" s="780" t="str">
        <f t="shared" si="4"/>
        <v/>
      </c>
      <c r="W32" s="767"/>
    </row>
    <row r="33" spans="1:23" ht="14.4" customHeight="1" x14ac:dyDescent="0.3">
      <c r="A33" s="828" t="s">
        <v>1886</v>
      </c>
      <c r="B33" s="824">
        <v>1</v>
      </c>
      <c r="C33" s="825">
        <v>5.15</v>
      </c>
      <c r="D33" s="776">
        <v>4</v>
      </c>
      <c r="E33" s="823"/>
      <c r="F33" s="817"/>
      <c r="G33" s="773"/>
      <c r="H33" s="816"/>
      <c r="I33" s="817"/>
      <c r="J33" s="773"/>
      <c r="K33" s="818">
        <v>5.15</v>
      </c>
      <c r="L33" s="816">
        <v>4</v>
      </c>
      <c r="M33" s="816">
        <v>39</v>
      </c>
      <c r="N33" s="819">
        <v>13.14</v>
      </c>
      <c r="O33" s="816" t="s">
        <v>1830</v>
      </c>
      <c r="P33" s="820" t="s">
        <v>1887</v>
      </c>
      <c r="Q33" s="821">
        <f t="shared" si="0"/>
        <v>-1</v>
      </c>
      <c r="R33" s="821">
        <f t="shared" si="0"/>
        <v>-5.15</v>
      </c>
      <c r="S33" s="812" t="str">
        <f t="shared" si="1"/>
        <v/>
      </c>
      <c r="T33" s="812" t="str">
        <f t="shared" si="2"/>
        <v/>
      </c>
      <c r="U33" s="812" t="str">
        <f t="shared" si="3"/>
        <v/>
      </c>
      <c r="V33" s="822" t="str">
        <f t="shared" si="4"/>
        <v/>
      </c>
      <c r="W33" s="774"/>
    </row>
    <row r="34" spans="1:23" ht="14.4" customHeight="1" x14ac:dyDescent="0.3">
      <c r="A34" s="827" t="s">
        <v>1888</v>
      </c>
      <c r="B34" s="779"/>
      <c r="C34" s="781"/>
      <c r="D34" s="782"/>
      <c r="E34" s="777"/>
      <c r="F34" s="761"/>
      <c r="G34" s="762"/>
      <c r="H34" s="768">
        <v>1</v>
      </c>
      <c r="I34" s="769">
        <v>0.57999999999999996</v>
      </c>
      <c r="J34" s="770">
        <v>4</v>
      </c>
      <c r="K34" s="764">
        <v>0.57999999999999996</v>
      </c>
      <c r="L34" s="763">
        <v>2</v>
      </c>
      <c r="M34" s="763">
        <v>21</v>
      </c>
      <c r="N34" s="765">
        <v>6.97</v>
      </c>
      <c r="O34" s="763" t="s">
        <v>1830</v>
      </c>
      <c r="P34" s="778" t="s">
        <v>1889</v>
      </c>
      <c r="Q34" s="766">
        <f t="shared" si="0"/>
        <v>1</v>
      </c>
      <c r="R34" s="766">
        <f t="shared" si="0"/>
        <v>0.57999999999999996</v>
      </c>
      <c r="S34" s="779">
        <f t="shared" si="1"/>
        <v>6.97</v>
      </c>
      <c r="T34" s="779">
        <f t="shared" si="2"/>
        <v>4</v>
      </c>
      <c r="U34" s="779">
        <f t="shared" si="3"/>
        <v>-2.9699999999999998</v>
      </c>
      <c r="V34" s="780">
        <f t="shared" si="4"/>
        <v>0.57388809182209466</v>
      </c>
      <c r="W34" s="767"/>
    </row>
    <row r="35" spans="1:23" ht="14.4" customHeight="1" x14ac:dyDescent="0.3">
      <c r="A35" s="827" t="s">
        <v>1890</v>
      </c>
      <c r="B35" s="779"/>
      <c r="C35" s="781"/>
      <c r="D35" s="782"/>
      <c r="E35" s="777"/>
      <c r="F35" s="761"/>
      <c r="G35" s="762"/>
      <c r="H35" s="768">
        <v>1</v>
      </c>
      <c r="I35" s="769">
        <v>0.92</v>
      </c>
      <c r="J35" s="771">
        <v>11</v>
      </c>
      <c r="K35" s="764">
        <v>0.9</v>
      </c>
      <c r="L35" s="763">
        <v>2</v>
      </c>
      <c r="M35" s="763">
        <v>15</v>
      </c>
      <c r="N35" s="765">
        <v>4.9400000000000004</v>
      </c>
      <c r="O35" s="763" t="s">
        <v>1830</v>
      </c>
      <c r="P35" s="778" t="s">
        <v>1891</v>
      </c>
      <c r="Q35" s="766">
        <f t="shared" si="0"/>
        <v>1</v>
      </c>
      <c r="R35" s="766">
        <f t="shared" si="0"/>
        <v>0.92</v>
      </c>
      <c r="S35" s="779">
        <f t="shared" si="1"/>
        <v>4.9400000000000004</v>
      </c>
      <c r="T35" s="779">
        <f t="shared" si="2"/>
        <v>11</v>
      </c>
      <c r="U35" s="779">
        <f t="shared" si="3"/>
        <v>6.06</v>
      </c>
      <c r="V35" s="780">
        <f t="shared" si="4"/>
        <v>2.2267206477732793</v>
      </c>
      <c r="W35" s="767">
        <v>6</v>
      </c>
    </row>
    <row r="36" spans="1:23" ht="14.4" customHeight="1" x14ac:dyDescent="0.3">
      <c r="A36" s="827" t="s">
        <v>1892</v>
      </c>
      <c r="B36" s="758">
        <v>1</v>
      </c>
      <c r="C36" s="759">
        <v>0.76</v>
      </c>
      <c r="D36" s="760">
        <v>11</v>
      </c>
      <c r="E36" s="777"/>
      <c r="F36" s="761"/>
      <c r="G36" s="762"/>
      <c r="H36" s="763"/>
      <c r="I36" s="761"/>
      <c r="J36" s="762"/>
      <c r="K36" s="764">
        <v>0.76</v>
      </c>
      <c r="L36" s="763">
        <v>1</v>
      </c>
      <c r="M36" s="763">
        <v>13</v>
      </c>
      <c r="N36" s="765">
        <v>4.3099999999999996</v>
      </c>
      <c r="O36" s="763" t="s">
        <v>1830</v>
      </c>
      <c r="P36" s="778" t="s">
        <v>1893</v>
      </c>
      <c r="Q36" s="766">
        <f t="shared" si="0"/>
        <v>-1</v>
      </c>
      <c r="R36" s="766">
        <f t="shared" si="0"/>
        <v>-0.76</v>
      </c>
      <c r="S36" s="779" t="str">
        <f t="shared" si="1"/>
        <v/>
      </c>
      <c r="T36" s="779" t="str">
        <f t="shared" si="2"/>
        <v/>
      </c>
      <c r="U36" s="779" t="str">
        <f t="shared" si="3"/>
        <v/>
      </c>
      <c r="V36" s="780" t="str">
        <f t="shared" si="4"/>
        <v/>
      </c>
      <c r="W36" s="767"/>
    </row>
    <row r="37" spans="1:23" ht="14.4" customHeight="1" x14ac:dyDescent="0.3">
      <c r="A37" s="827" t="s">
        <v>1894</v>
      </c>
      <c r="B37" s="758">
        <v>1</v>
      </c>
      <c r="C37" s="759">
        <v>0.5</v>
      </c>
      <c r="D37" s="760">
        <v>3</v>
      </c>
      <c r="E37" s="777"/>
      <c r="F37" s="761"/>
      <c r="G37" s="762"/>
      <c r="H37" s="763"/>
      <c r="I37" s="761"/>
      <c r="J37" s="762"/>
      <c r="K37" s="764">
        <v>0.5</v>
      </c>
      <c r="L37" s="763">
        <v>2</v>
      </c>
      <c r="M37" s="763">
        <v>15</v>
      </c>
      <c r="N37" s="765">
        <v>4.92</v>
      </c>
      <c r="O37" s="763" t="s">
        <v>1830</v>
      </c>
      <c r="P37" s="778" t="s">
        <v>1895</v>
      </c>
      <c r="Q37" s="766">
        <f t="shared" si="0"/>
        <v>-1</v>
      </c>
      <c r="R37" s="766">
        <f t="shared" si="0"/>
        <v>-0.5</v>
      </c>
      <c r="S37" s="779" t="str">
        <f t="shared" si="1"/>
        <v/>
      </c>
      <c r="T37" s="779" t="str">
        <f t="shared" si="2"/>
        <v/>
      </c>
      <c r="U37" s="779" t="str">
        <f t="shared" si="3"/>
        <v/>
      </c>
      <c r="V37" s="780" t="str">
        <f t="shared" si="4"/>
        <v/>
      </c>
      <c r="W37" s="767"/>
    </row>
    <row r="38" spans="1:23" ht="14.4" customHeight="1" x14ac:dyDescent="0.3">
      <c r="A38" s="827" t="s">
        <v>1896</v>
      </c>
      <c r="B38" s="779"/>
      <c r="C38" s="781"/>
      <c r="D38" s="782"/>
      <c r="E38" s="777">
        <v>1</v>
      </c>
      <c r="F38" s="761">
        <v>0.93</v>
      </c>
      <c r="G38" s="762">
        <v>9</v>
      </c>
      <c r="H38" s="768">
        <v>4</v>
      </c>
      <c r="I38" s="769">
        <v>3.91</v>
      </c>
      <c r="J38" s="771">
        <v>5.8</v>
      </c>
      <c r="K38" s="764">
        <v>0.93</v>
      </c>
      <c r="L38" s="763">
        <v>2</v>
      </c>
      <c r="M38" s="763">
        <v>17</v>
      </c>
      <c r="N38" s="765">
        <v>5.64</v>
      </c>
      <c r="O38" s="763" t="s">
        <v>1830</v>
      </c>
      <c r="P38" s="778" t="s">
        <v>1897</v>
      </c>
      <c r="Q38" s="766">
        <f t="shared" si="0"/>
        <v>4</v>
      </c>
      <c r="R38" s="766">
        <f t="shared" si="0"/>
        <v>3.91</v>
      </c>
      <c r="S38" s="779">
        <f t="shared" si="1"/>
        <v>22.56</v>
      </c>
      <c r="T38" s="779">
        <f t="shared" si="2"/>
        <v>23.2</v>
      </c>
      <c r="U38" s="779">
        <f t="shared" si="3"/>
        <v>0.64000000000000057</v>
      </c>
      <c r="V38" s="780">
        <f t="shared" si="4"/>
        <v>1.0283687943262412</v>
      </c>
      <c r="W38" s="767">
        <v>4</v>
      </c>
    </row>
    <row r="39" spans="1:23" ht="14.4" customHeight="1" x14ac:dyDescent="0.3">
      <c r="A39" s="827" t="s">
        <v>1898</v>
      </c>
      <c r="B39" s="758">
        <v>5</v>
      </c>
      <c r="C39" s="759">
        <v>3.2</v>
      </c>
      <c r="D39" s="760">
        <v>5</v>
      </c>
      <c r="E39" s="777">
        <v>1</v>
      </c>
      <c r="F39" s="761">
        <v>0.64</v>
      </c>
      <c r="G39" s="762">
        <v>4</v>
      </c>
      <c r="H39" s="763"/>
      <c r="I39" s="761"/>
      <c r="J39" s="762"/>
      <c r="K39" s="764">
        <v>0.64</v>
      </c>
      <c r="L39" s="763">
        <v>2</v>
      </c>
      <c r="M39" s="763">
        <v>15</v>
      </c>
      <c r="N39" s="765">
        <v>4.87</v>
      </c>
      <c r="O39" s="763" t="s">
        <v>1830</v>
      </c>
      <c r="P39" s="778" t="s">
        <v>1899</v>
      </c>
      <c r="Q39" s="766">
        <f t="shared" si="0"/>
        <v>-5</v>
      </c>
      <c r="R39" s="766">
        <f t="shared" si="0"/>
        <v>-3.2</v>
      </c>
      <c r="S39" s="779" t="str">
        <f t="shared" si="1"/>
        <v/>
      </c>
      <c r="T39" s="779" t="str">
        <f t="shared" si="2"/>
        <v/>
      </c>
      <c r="U39" s="779" t="str">
        <f t="shared" si="3"/>
        <v/>
      </c>
      <c r="V39" s="780" t="str">
        <f t="shared" si="4"/>
        <v/>
      </c>
      <c r="W39" s="767"/>
    </row>
    <row r="40" spans="1:23" ht="14.4" customHeight="1" x14ac:dyDescent="0.3">
      <c r="A40" s="828" t="s">
        <v>1900</v>
      </c>
      <c r="B40" s="824">
        <v>2</v>
      </c>
      <c r="C40" s="825">
        <v>2.17</v>
      </c>
      <c r="D40" s="776">
        <v>3.5</v>
      </c>
      <c r="E40" s="823"/>
      <c r="F40" s="817"/>
      <c r="G40" s="773"/>
      <c r="H40" s="816"/>
      <c r="I40" s="817"/>
      <c r="J40" s="773"/>
      <c r="K40" s="818">
        <v>1.08</v>
      </c>
      <c r="L40" s="816">
        <v>3</v>
      </c>
      <c r="M40" s="816">
        <v>27</v>
      </c>
      <c r="N40" s="819">
        <v>9.1300000000000008</v>
      </c>
      <c r="O40" s="816" t="s">
        <v>1830</v>
      </c>
      <c r="P40" s="820" t="s">
        <v>1901</v>
      </c>
      <c r="Q40" s="821">
        <f t="shared" si="0"/>
        <v>-2</v>
      </c>
      <c r="R40" s="821">
        <f t="shared" si="0"/>
        <v>-2.17</v>
      </c>
      <c r="S40" s="812" t="str">
        <f t="shared" si="1"/>
        <v/>
      </c>
      <c r="T40" s="812" t="str">
        <f t="shared" si="2"/>
        <v/>
      </c>
      <c r="U40" s="812" t="str">
        <f t="shared" si="3"/>
        <v/>
      </c>
      <c r="V40" s="822" t="str">
        <f t="shared" si="4"/>
        <v/>
      </c>
      <c r="W40" s="774"/>
    </row>
    <row r="41" spans="1:23" ht="14.4" customHeight="1" x14ac:dyDescent="0.3">
      <c r="A41" s="827" t="s">
        <v>1902</v>
      </c>
      <c r="B41" s="779">
        <v>1</v>
      </c>
      <c r="C41" s="781">
        <v>0.3</v>
      </c>
      <c r="D41" s="782">
        <v>7</v>
      </c>
      <c r="E41" s="777"/>
      <c r="F41" s="761"/>
      <c r="G41" s="762"/>
      <c r="H41" s="768">
        <v>2</v>
      </c>
      <c r="I41" s="769">
        <v>0.57999999999999996</v>
      </c>
      <c r="J41" s="771">
        <v>5</v>
      </c>
      <c r="K41" s="764">
        <v>0.28999999999999998</v>
      </c>
      <c r="L41" s="763">
        <v>1</v>
      </c>
      <c r="M41" s="763">
        <v>10</v>
      </c>
      <c r="N41" s="765">
        <v>3.3</v>
      </c>
      <c r="O41" s="763" t="s">
        <v>1830</v>
      </c>
      <c r="P41" s="778" t="s">
        <v>1903</v>
      </c>
      <c r="Q41" s="766">
        <f t="shared" si="0"/>
        <v>1</v>
      </c>
      <c r="R41" s="766">
        <f t="shared" si="0"/>
        <v>0.27999999999999997</v>
      </c>
      <c r="S41" s="779">
        <f t="shared" si="1"/>
        <v>6.6</v>
      </c>
      <c r="T41" s="779">
        <f t="shared" si="2"/>
        <v>10</v>
      </c>
      <c r="U41" s="779">
        <f t="shared" si="3"/>
        <v>3.4000000000000004</v>
      </c>
      <c r="V41" s="780">
        <f t="shared" si="4"/>
        <v>1.5151515151515151</v>
      </c>
      <c r="W41" s="767">
        <v>3</v>
      </c>
    </row>
    <row r="42" spans="1:23" ht="14.4" customHeight="1" x14ac:dyDescent="0.3">
      <c r="A42" s="827" t="s">
        <v>1904</v>
      </c>
      <c r="B42" s="779"/>
      <c r="C42" s="781"/>
      <c r="D42" s="782"/>
      <c r="E42" s="768">
        <v>1</v>
      </c>
      <c r="F42" s="769">
        <v>0.57999999999999996</v>
      </c>
      <c r="G42" s="770">
        <v>3</v>
      </c>
      <c r="H42" s="763"/>
      <c r="I42" s="761"/>
      <c r="J42" s="762"/>
      <c r="K42" s="764">
        <v>0.57999999999999996</v>
      </c>
      <c r="L42" s="763">
        <v>2</v>
      </c>
      <c r="M42" s="763">
        <v>19</v>
      </c>
      <c r="N42" s="765">
        <v>6.19</v>
      </c>
      <c r="O42" s="763" t="s">
        <v>1830</v>
      </c>
      <c r="P42" s="778" t="s">
        <v>1905</v>
      </c>
      <c r="Q42" s="766">
        <f t="shared" si="0"/>
        <v>0</v>
      </c>
      <c r="R42" s="766">
        <f t="shared" si="0"/>
        <v>0</v>
      </c>
      <c r="S42" s="779" t="str">
        <f t="shared" si="1"/>
        <v/>
      </c>
      <c r="T42" s="779" t="str">
        <f t="shared" si="2"/>
        <v/>
      </c>
      <c r="U42" s="779" t="str">
        <f t="shared" si="3"/>
        <v/>
      </c>
      <c r="V42" s="780" t="str">
        <f t="shared" si="4"/>
        <v/>
      </c>
      <c r="W42" s="767"/>
    </row>
    <row r="43" spans="1:23" ht="14.4" customHeight="1" x14ac:dyDescent="0.3">
      <c r="A43" s="827" t="s">
        <v>1906</v>
      </c>
      <c r="B43" s="779"/>
      <c r="C43" s="781"/>
      <c r="D43" s="782"/>
      <c r="E43" s="777"/>
      <c r="F43" s="761"/>
      <c r="G43" s="762"/>
      <c r="H43" s="768">
        <v>1</v>
      </c>
      <c r="I43" s="769">
        <v>1.49</v>
      </c>
      <c r="J43" s="770">
        <v>6</v>
      </c>
      <c r="K43" s="764">
        <v>1.49</v>
      </c>
      <c r="L43" s="763">
        <v>3</v>
      </c>
      <c r="M43" s="763">
        <v>24</v>
      </c>
      <c r="N43" s="765">
        <v>8.11</v>
      </c>
      <c r="O43" s="763" t="s">
        <v>1830</v>
      </c>
      <c r="P43" s="778" t="s">
        <v>1907</v>
      </c>
      <c r="Q43" s="766">
        <f t="shared" si="0"/>
        <v>1</v>
      </c>
      <c r="R43" s="766">
        <f t="shared" si="0"/>
        <v>1.49</v>
      </c>
      <c r="S43" s="779">
        <f t="shared" si="1"/>
        <v>8.11</v>
      </c>
      <c r="T43" s="779">
        <f t="shared" si="2"/>
        <v>6</v>
      </c>
      <c r="U43" s="779">
        <f t="shared" si="3"/>
        <v>-2.1099999999999994</v>
      </c>
      <c r="V43" s="780">
        <f t="shared" si="4"/>
        <v>0.73982737361282369</v>
      </c>
      <c r="W43" s="767"/>
    </row>
    <row r="44" spans="1:23" ht="14.4" customHeight="1" x14ac:dyDescent="0.3">
      <c r="A44" s="827" t="s">
        <v>1908</v>
      </c>
      <c r="B44" s="758">
        <v>1</v>
      </c>
      <c r="C44" s="759">
        <v>0.62</v>
      </c>
      <c r="D44" s="760">
        <v>3</v>
      </c>
      <c r="E44" s="777"/>
      <c r="F44" s="761"/>
      <c r="G44" s="762"/>
      <c r="H44" s="763"/>
      <c r="I44" s="761"/>
      <c r="J44" s="762"/>
      <c r="K44" s="764">
        <v>0.62</v>
      </c>
      <c r="L44" s="763">
        <v>2</v>
      </c>
      <c r="M44" s="763">
        <v>18</v>
      </c>
      <c r="N44" s="765">
        <v>6.1</v>
      </c>
      <c r="O44" s="763" t="s">
        <v>1830</v>
      </c>
      <c r="P44" s="778" t="s">
        <v>1909</v>
      </c>
      <c r="Q44" s="766">
        <f t="shared" si="0"/>
        <v>-1</v>
      </c>
      <c r="R44" s="766">
        <f t="shared" si="0"/>
        <v>-0.62</v>
      </c>
      <c r="S44" s="779" t="str">
        <f t="shared" si="1"/>
        <v/>
      </c>
      <c r="T44" s="779" t="str">
        <f t="shared" si="2"/>
        <v/>
      </c>
      <c r="U44" s="779" t="str">
        <f t="shared" si="3"/>
        <v/>
      </c>
      <c r="V44" s="780" t="str">
        <f t="shared" si="4"/>
        <v/>
      </c>
      <c r="W44" s="767"/>
    </row>
    <row r="45" spans="1:23" ht="14.4" customHeight="1" x14ac:dyDescent="0.3">
      <c r="A45" s="827" t="s">
        <v>1910</v>
      </c>
      <c r="B45" s="779">
        <v>2</v>
      </c>
      <c r="C45" s="781">
        <v>0.72</v>
      </c>
      <c r="D45" s="782">
        <v>4</v>
      </c>
      <c r="E45" s="777"/>
      <c r="F45" s="761"/>
      <c r="G45" s="762"/>
      <c r="H45" s="768">
        <v>12</v>
      </c>
      <c r="I45" s="769">
        <v>4.34</v>
      </c>
      <c r="J45" s="771">
        <v>4.0999999999999996</v>
      </c>
      <c r="K45" s="764">
        <v>0.36</v>
      </c>
      <c r="L45" s="763">
        <v>1</v>
      </c>
      <c r="M45" s="763">
        <v>11</v>
      </c>
      <c r="N45" s="765">
        <v>3.82</v>
      </c>
      <c r="O45" s="763" t="s">
        <v>1830</v>
      </c>
      <c r="P45" s="778" t="s">
        <v>1911</v>
      </c>
      <c r="Q45" s="766">
        <f t="shared" si="0"/>
        <v>10</v>
      </c>
      <c r="R45" s="766">
        <f t="shared" si="0"/>
        <v>3.62</v>
      </c>
      <c r="S45" s="779">
        <f t="shared" si="1"/>
        <v>45.839999999999996</v>
      </c>
      <c r="T45" s="779">
        <f t="shared" si="2"/>
        <v>49.199999999999996</v>
      </c>
      <c r="U45" s="779">
        <f t="shared" si="3"/>
        <v>3.3599999999999994</v>
      </c>
      <c r="V45" s="780">
        <f t="shared" si="4"/>
        <v>1.0732984293193717</v>
      </c>
      <c r="W45" s="767">
        <v>11</v>
      </c>
    </row>
    <row r="46" spans="1:23" ht="14.4" customHeight="1" x14ac:dyDescent="0.3">
      <c r="A46" s="828" t="s">
        <v>1912</v>
      </c>
      <c r="B46" s="812"/>
      <c r="C46" s="813"/>
      <c r="D46" s="783"/>
      <c r="E46" s="823">
        <v>2</v>
      </c>
      <c r="F46" s="817">
        <v>1.3</v>
      </c>
      <c r="G46" s="773">
        <v>3.5</v>
      </c>
      <c r="H46" s="814">
        <v>1</v>
      </c>
      <c r="I46" s="815">
        <v>0.65</v>
      </c>
      <c r="J46" s="772">
        <v>5</v>
      </c>
      <c r="K46" s="818">
        <v>0.65</v>
      </c>
      <c r="L46" s="816">
        <v>2</v>
      </c>
      <c r="M46" s="816">
        <v>19</v>
      </c>
      <c r="N46" s="819">
        <v>6.25</v>
      </c>
      <c r="O46" s="816" t="s">
        <v>1830</v>
      </c>
      <c r="P46" s="820" t="s">
        <v>1913</v>
      </c>
      <c r="Q46" s="821">
        <f t="shared" si="0"/>
        <v>1</v>
      </c>
      <c r="R46" s="821">
        <f t="shared" si="0"/>
        <v>0.65</v>
      </c>
      <c r="S46" s="812">
        <f t="shared" si="1"/>
        <v>6.25</v>
      </c>
      <c r="T46" s="812">
        <f t="shared" si="2"/>
        <v>5</v>
      </c>
      <c r="U46" s="812">
        <f t="shared" si="3"/>
        <v>-1.25</v>
      </c>
      <c r="V46" s="822">
        <f t="shared" si="4"/>
        <v>0.8</v>
      </c>
      <c r="W46" s="774"/>
    </row>
    <row r="47" spans="1:23" ht="14.4" customHeight="1" x14ac:dyDescent="0.3">
      <c r="A47" s="827" t="s">
        <v>1914</v>
      </c>
      <c r="B47" s="779"/>
      <c r="C47" s="781"/>
      <c r="D47" s="782"/>
      <c r="E47" s="768">
        <v>1</v>
      </c>
      <c r="F47" s="769">
        <v>5.16</v>
      </c>
      <c r="G47" s="770">
        <v>11</v>
      </c>
      <c r="H47" s="763"/>
      <c r="I47" s="761"/>
      <c r="J47" s="762"/>
      <c r="K47" s="764">
        <v>5.16</v>
      </c>
      <c r="L47" s="763">
        <v>5</v>
      </c>
      <c r="M47" s="763">
        <v>49</v>
      </c>
      <c r="N47" s="765">
        <v>16.28</v>
      </c>
      <c r="O47" s="763" t="s">
        <v>1830</v>
      </c>
      <c r="P47" s="778" t="s">
        <v>1915</v>
      </c>
      <c r="Q47" s="766">
        <f t="shared" si="0"/>
        <v>0</v>
      </c>
      <c r="R47" s="766">
        <f t="shared" si="0"/>
        <v>0</v>
      </c>
      <c r="S47" s="779" t="str">
        <f t="shared" si="1"/>
        <v/>
      </c>
      <c r="T47" s="779" t="str">
        <f t="shared" si="2"/>
        <v/>
      </c>
      <c r="U47" s="779" t="str">
        <f t="shared" si="3"/>
        <v/>
      </c>
      <c r="V47" s="780" t="str">
        <f t="shared" si="4"/>
        <v/>
      </c>
      <c r="W47" s="767"/>
    </row>
    <row r="48" spans="1:23" ht="14.4" customHeight="1" x14ac:dyDescent="0.3">
      <c r="A48" s="827" t="s">
        <v>1916</v>
      </c>
      <c r="B48" s="779"/>
      <c r="C48" s="781"/>
      <c r="D48" s="782"/>
      <c r="E48" s="777">
        <v>1</v>
      </c>
      <c r="F48" s="761">
        <v>1.36</v>
      </c>
      <c r="G48" s="762">
        <v>14</v>
      </c>
      <c r="H48" s="768">
        <v>1</v>
      </c>
      <c r="I48" s="769">
        <v>1.36</v>
      </c>
      <c r="J48" s="770">
        <v>4</v>
      </c>
      <c r="K48" s="764">
        <v>1.36</v>
      </c>
      <c r="L48" s="763">
        <v>2</v>
      </c>
      <c r="M48" s="763">
        <v>19</v>
      </c>
      <c r="N48" s="765">
        <v>6.35</v>
      </c>
      <c r="O48" s="763" t="s">
        <v>1830</v>
      </c>
      <c r="P48" s="778" t="s">
        <v>1917</v>
      </c>
      <c r="Q48" s="766">
        <f t="shared" si="0"/>
        <v>1</v>
      </c>
      <c r="R48" s="766">
        <f t="shared" si="0"/>
        <v>1.36</v>
      </c>
      <c r="S48" s="779">
        <f t="shared" si="1"/>
        <v>6.35</v>
      </c>
      <c r="T48" s="779">
        <f t="shared" si="2"/>
        <v>4</v>
      </c>
      <c r="U48" s="779">
        <f t="shared" si="3"/>
        <v>-2.3499999999999996</v>
      </c>
      <c r="V48" s="780">
        <f t="shared" si="4"/>
        <v>0.62992125984251968</v>
      </c>
      <c r="W48" s="767"/>
    </row>
    <row r="49" spans="1:23" ht="14.4" customHeight="1" x14ac:dyDescent="0.3">
      <c r="A49" s="827" t="s">
        <v>1918</v>
      </c>
      <c r="B49" s="779">
        <v>1</v>
      </c>
      <c r="C49" s="781">
        <v>0.68</v>
      </c>
      <c r="D49" s="782">
        <v>4</v>
      </c>
      <c r="E49" s="777">
        <v>1</v>
      </c>
      <c r="F49" s="761">
        <v>0.68</v>
      </c>
      <c r="G49" s="762">
        <v>5</v>
      </c>
      <c r="H49" s="768">
        <v>3</v>
      </c>
      <c r="I49" s="769">
        <v>2.0299999999999998</v>
      </c>
      <c r="J49" s="770">
        <v>4.3</v>
      </c>
      <c r="K49" s="764">
        <v>0.68</v>
      </c>
      <c r="L49" s="763">
        <v>2</v>
      </c>
      <c r="M49" s="763">
        <v>17</v>
      </c>
      <c r="N49" s="765">
        <v>5.56</v>
      </c>
      <c r="O49" s="763" t="s">
        <v>1830</v>
      </c>
      <c r="P49" s="778" t="s">
        <v>1919</v>
      </c>
      <c r="Q49" s="766">
        <f t="shared" si="0"/>
        <v>2</v>
      </c>
      <c r="R49" s="766">
        <f t="shared" si="0"/>
        <v>1.3499999999999996</v>
      </c>
      <c r="S49" s="779">
        <f t="shared" si="1"/>
        <v>16.68</v>
      </c>
      <c r="T49" s="779">
        <f t="shared" si="2"/>
        <v>12.899999999999999</v>
      </c>
      <c r="U49" s="779">
        <f t="shared" si="3"/>
        <v>-3.7800000000000011</v>
      </c>
      <c r="V49" s="780">
        <f t="shared" si="4"/>
        <v>0.77338129496402874</v>
      </c>
      <c r="W49" s="767"/>
    </row>
    <row r="50" spans="1:23" ht="14.4" customHeight="1" x14ac:dyDescent="0.3">
      <c r="A50" s="828" t="s">
        <v>1920</v>
      </c>
      <c r="B50" s="812">
        <v>1</v>
      </c>
      <c r="C50" s="813">
        <v>1.22</v>
      </c>
      <c r="D50" s="783">
        <v>4</v>
      </c>
      <c r="E50" s="823"/>
      <c r="F50" s="817"/>
      <c r="G50" s="773"/>
      <c r="H50" s="814">
        <v>1</v>
      </c>
      <c r="I50" s="815">
        <v>1.22</v>
      </c>
      <c r="J50" s="772">
        <v>4</v>
      </c>
      <c r="K50" s="818">
        <v>1.22</v>
      </c>
      <c r="L50" s="816">
        <v>3</v>
      </c>
      <c r="M50" s="816">
        <v>31</v>
      </c>
      <c r="N50" s="819">
        <v>10.26</v>
      </c>
      <c r="O50" s="816" t="s">
        <v>1830</v>
      </c>
      <c r="P50" s="820" t="s">
        <v>1921</v>
      </c>
      <c r="Q50" s="821">
        <f t="shared" si="0"/>
        <v>0</v>
      </c>
      <c r="R50" s="821">
        <f t="shared" si="0"/>
        <v>0</v>
      </c>
      <c r="S50" s="812">
        <f t="shared" si="1"/>
        <v>10.26</v>
      </c>
      <c r="T50" s="812">
        <f t="shared" si="2"/>
        <v>4</v>
      </c>
      <c r="U50" s="812">
        <f t="shared" si="3"/>
        <v>-6.26</v>
      </c>
      <c r="V50" s="822">
        <f t="shared" si="4"/>
        <v>0.38986354775828463</v>
      </c>
      <c r="W50" s="774"/>
    </row>
    <row r="51" spans="1:23" ht="14.4" customHeight="1" thickBot="1" x14ac:dyDescent="0.35">
      <c r="A51" s="829" t="s">
        <v>1922</v>
      </c>
      <c r="B51" s="830"/>
      <c r="C51" s="831"/>
      <c r="D51" s="832"/>
      <c r="E51" s="833"/>
      <c r="F51" s="834"/>
      <c r="G51" s="835"/>
      <c r="H51" s="836">
        <v>1</v>
      </c>
      <c r="I51" s="837">
        <v>1.36</v>
      </c>
      <c r="J51" s="838">
        <v>3</v>
      </c>
      <c r="K51" s="839">
        <v>2.17</v>
      </c>
      <c r="L51" s="840">
        <v>5</v>
      </c>
      <c r="M51" s="840">
        <v>44</v>
      </c>
      <c r="N51" s="841">
        <v>14.74</v>
      </c>
      <c r="O51" s="840" t="s">
        <v>1830</v>
      </c>
      <c r="P51" s="842" t="s">
        <v>1923</v>
      </c>
      <c r="Q51" s="843">
        <f t="shared" si="0"/>
        <v>1</v>
      </c>
      <c r="R51" s="843">
        <f t="shared" si="0"/>
        <v>1.36</v>
      </c>
      <c r="S51" s="830">
        <f t="shared" si="1"/>
        <v>14.74</v>
      </c>
      <c r="T51" s="830">
        <f t="shared" si="2"/>
        <v>3</v>
      </c>
      <c r="U51" s="830">
        <f t="shared" si="3"/>
        <v>-11.74</v>
      </c>
      <c r="V51" s="844">
        <f t="shared" si="4"/>
        <v>0.20352781546811397</v>
      </c>
      <c r="W51" s="845"/>
    </row>
  </sheetData>
  <autoFilter ref="A4:W4"/>
  <mergeCells count="12">
    <mergeCell ref="S3:V3"/>
    <mergeCell ref="A1:W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</mergeCells>
  <conditionalFormatting sqref="Q52:Q1048576">
    <cfRule type="cellIs" dxfId="12" priority="9" stopIfTrue="1" operator="lessThan">
      <formula>0</formula>
    </cfRule>
  </conditionalFormatting>
  <conditionalFormatting sqref="U52:U1048576">
    <cfRule type="cellIs" dxfId="11" priority="8" stopIfTrue="1" operator="greaterThan">
      <formula>0</formula>
    </cfRule>
  </conditionalFormatting>
  <conditionalFormatting sqref="V52:V1048576">
    <cfRule type="cellIs" dxfId="10" priority="7" stopIfTrue="1" operator="greaterThan">
      <formula>1</formula>
    </cfRule>
  </conditionalFormatting>
  <conditionalFormatting sqref="V52:V1048576">
    <cfRule type="cellIs" dxfId="9" priority="4" stopIfTrue="1" operator="greaterThan">
      <formula>1</formula>
    </cfRule>
  </conditionalFormatting>
  <conditionalFormatting sqref="U52:U1048576">
    <cfRule type="cellIs" dxfId="8" priority="5" stopIfTrue="1" operator="greaterThan">
      <formula>0</formula>
    </cfRule>
  </conditionalFormatting>
  <conditionalFormatting sqref="Q52:Q1048576">
    <cfRule type="cellIs" dxfId="7" priority="6" stopIfTrue="1" operator="lessThan">
      <formula>0</formula>
    </cfRule>
  </conditionalFormatting>
  <conditionalFormatting sqref="V5:V51">
    <cfRule type="cellIs" dxfId="6" priority="1" stopIfTrue="1" operator="greaterThan">
      <formula>1</formula>
    </cfRule>
  </conditionalFormatting>
  <conditionalFormatting sqref="U5:U51">
    <cfRule type="cellIs" dxfId="5" priority="2" stopIfTrue="1" operator="greaterThan">
      <formula>0</formula>
    </cfRule>
  </conditionalFormatting>
  <conditionalFormatting sqref="Q5:Q51">
    <cfRule type="cellIs" dxfId="4" priority="3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1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260" customWidth="1"/>
    <col min="2" max="2" width="7.77734375" style="225" customWidth="1"/>
    <col min="3" max="3" width="7.21875" style="260" hidden="1" customWidth="1"/>
    <col min="4" max="4" width="7.77734375" style="225" customWidth="1"/>
    <col min="5" max="5" width="7.21875" style="260" hidden="1" customWidth="1"/>
    <col min="6" max="6" width="7.77734375" style="225" customWidth="1"/>
    <col min="7" max="7" width="7.77734375" style="346" customWidth="1"/>
    <col min="8" max="8" width="7.77734375" style="225" customWidth="1"/>
    <col min="9" max="9" width="7.21875" style="260" hidden="1" customWidth="1"/>
    <col min="10" max="10" width="7.77734375" style="225" customWidth="1"/>
    <col min="11" max="11" width="7.21875" style="260" hidden="1" customWidth="1"/>
    <col min="12" max="12" width="7.77734375" style="225" customWidth="1"/>
    <col min="13" max="13" width="7.77734375" style="346" customWidth="1"/>
    <col min="14" max="16384" width="8.88671875" style="260"/>
  </cols>
  <sheetData>
    <row r="1" spans="1:13" ht="18.600000000000001" customHeight="1" thickBot="1" x14ac:dyDescent="0.4">
      <c r="A1" s="471" t="s">
        <v>162</v>
      </c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2"/>
    </row>
    <row r="2" spans="1:13" ht="14.4" customHeight="1" thickBot="1" x14ac:dyDescent="0.35">
      <c r="A2" s="389" t="s">
        <v>299</v>
      </c>
      <c r="B2" s="362"/>
      <c r="C2" s="230"/>
      <c r="D2" s="362"/>
      <c r="E2" s="230"/>
      <c r="F2" s="362"/>
      <c r="G2" s="363"/>
      <c r="H2" s="362"/>
      <c r="I2" s="230"/>
      <c r="J2" s="362"/>
      <c r="K2" s="230"/>
      <c r="L2" s="362"/>
      <c r="M2" s="363"/>
    </row>
    <row r="3" spans="1:13" ht="14.4" customHeight="1" thickBot="1" x14ac:dyDescent="0.35">
      <c r="A3" s="356" t="s">
        <v>163</v>
      </c>
      <c r="B3" s="357">
        <f>SUBTOTAL(9,B6:B1048576)</f>
        <v>150155</v>
      </c>
      <c r="C3" s="358">
        <f t="shared" ref="C3:L3" si="0">SUBTOTAL(9,C6:C1048576)</f>
        <v>6</v>
      </c>
      <c r="D3" s="358">
        <f t="shared" si="0"/>
        <v>103138</v>
      </c>
      <c r="E3" s="358">
        <f t="shared" si="0"/>
        <v>7.108039427861427</v>
      </c>
      <c r="F3" s="358">
        <f t="shared" si="0"/>
        <v>125202</v>
      </c>
      <c r="G3" s="361">
        <f>IF(B3&lt;&gt;0,F3/B3,"")</f>
        <v>0.83381838766607841</v>
      </c>
      <c r="H3" s="357">
        <f t="shared" si="0"/>
        <v>5181.51</v>
      </c>
      <c r="I3" s="358">
        <f t="shared" si="0"/>
        <v>1</v>
      </c>
      <c r="J3" s="358">
        <f t="shared" si="0"/>
        <v>1287.21</v>
      </c>
      <c r="K3" s="358">
        <f t="shared" si="0"/>
        <v>0.2484237220424162</v>
      </c>
      <c r="L3" s="358">
        <f t="shared" si="0"/>
        <v>2059</v>
      </c>
      <c r="M3" s="359">
        <f>IF(H3&lt;&gt;0,L3/H3,"")</f>
        <v>0.39737451051913436</v>
      </c>
    </row>
    <row r="4" spans="1:13" ht="14.4" customHeight="1" x14ac:dyDescent="0.3">
      <c r="A4" s="584" t="s">
        <v>121</v>
      </c>
      <c r="B4" s="535" t="s">
        <v>127</v>
      </c>
      <c r="C4" s="536"/>
      <c r="D4" s="536"/>
      <c r="E4" s="536"/>
      <c r="F4" s="536"/>
      <c r="G4" s="537"/>
      <c r="H4" s="535" t="s">
        <v>128</v>
      </c>
      <c r="I4" s="536"/>
      <c r="J4" s="536"/>
      <c r="K4" s="536"/>
      <c r="L4" s="536"/>
      <c r="M4" s="537"/>
    </row>
    <row r="5" spans="1:13" s="344" customFormat="1" ht="14.4" customHeight="1" thickBot="1" x14ac:dyDescent="0.35">
      <c r="A5" s="846"/>
      <c r="B5" s="847">
        <v>2012</v>
      </c>
      <c r="C5" s="848"/>
      <c r="D5" s="848">
        <v>2013</v>
      </c>
      <c r="E5" s="848"/>
      <c r="F5" s="848">
        <v>2014</v>
      </c>
      <c r="G5" s="734" t="s">
        <v>5</v>
      </c>
      <c r="H5" s="847">
        <v>2012</v>
      </c>
      <c r="I5" s="848"/>
      <c r="J5" s="848">
        <v>2013</v>
      </c>
      <c r="K5" s="848"/>
      <c r="L5" s="848">
        <v>2014</v>
      </c>
      <c r="M5" s="734" t="s">
        <v>5</v>
      </c>
    </row>
    <row r="6" spans="1:13" ht="14.4" customHeight="1" x14ac:dyDescent="0.3">
      <c r="A6" s="722" t="s">
        <v>1925</v>
      </c>
      <c r="B6" s="735">
        <v>7175</v>
      </c>
      <c r="C6" s="703">
        <v>1</v>
      </c>
      <c r="D6" s="735">
        <v>5149</v>
      </c>
      <c r="E6" s="703">
        <v>0.71763066202090597</v>
      </c>
      <c r="F6" s="735">
        <v>6772</v>
      </c>
      <c r="G6" s="708">
        <v>0.9438327526132404</v>
      </c>
      <c r="H6" s="735"/>
      <c r="I6" s="703"/>
      <c r="J6" s="735"/>
      <c r="K6" s="703"/>
      <c r="L6" s="735"/>
      <c r="M6" s="241"/>
    </row>
    <row r="7" spans="1:13" ht="14.4" customHeight="1" x14ac:dyDescent="0.3">
      <c r="A7" s="723" t="s">
        <v>1926</v>
      </c>
      <c r="B7" s="736">
        <v>14391</v>
      </c>
      <c r="C7" s="677">
        <v>1</v>
      </c>
      <c r="D7" s="736">
        <v>7129</v>
      </c>
      <c r="E7" s="677">
        <v>0.49537905635466611</v>
      </c>
      <c r="F7" s="736">
        <v>10234</v>
      </c>
      <c r="G7" s="688">
        <v>0.71113890626085752</v>
      </c>
      <c r="H7" s="736"/>
      <c r="I7" s="677"/>
      <c r="J7" s="736"/>
      <c r="K7" s="677"/>
      <c r="L7" s="736"/>
      <c r="M7" s="242"/>
    </row>
    <row r="8" spans="1:13" ht="14.4" customHeight="1" x14ac:dyDescent="0.3">
      <c r="A8" s="723" t="s">
        <v>1927</v>
      </c>
      <c r="B8" s="736">
        <v>69182</v>
      </c>
      <c r="C8" s="677">
        <v>1</v>
      </c>
      <c r="D8" s="736">
        <v>30073</v>
      </c>
      <c r="E8" s="677">
        <v>0.43469399554797489</v>
      </c>
      <c r="F8" s="736">
        <v>20180</v>
      </c>
      <c r="G8" s="688">
        <v>0.29169437136827497</v>
      </c>
      <c r="H8" s="736">
        <v>5181.51</v>
      </c>
      <c r="I8" s="677">
        <v>1</v>
      </c>
      <c r="J8" s="736">
        <v>1287.21</v>
      </c>
      <c r="K8" s="677">
        <v>0.2484237220424162</v>
      </c>
      <c r="L8" s="736">
        <v>2059</v>
      </c>
      <c r="M8" s="242">
        <v>0.39737451051913436</v>
      </c>
    </row>
    <row r="9" spans="1:13" ht="14.4" customHeight="1" x14ac:dyDescent="0.3">
      <c r="A9" s="723" t="s">
        <v>1928</v>
      </c>
      <c r="B9" s="736">
        <v>1656</v>
      </c>
      <c r="C9" s="677">
        <v>1</v>
      </c>
      <c r="D9" s="736">
        <v>6442</v>
      </c>
      <c r="E9" s="677">
        <v>3.8900966183574881</v>
      </c>
      <c r="F9" s="736">
        <v>10311</v>
      </c>
      <c r="G9" s="688">
        <v>6.2264492753623184</v>
      </c>
      <c r="H9" s="736"/>
      <c r="I9" s="677"/>
      <c r="J9" s="736"/>
      <c r="K9" s="677"/>
      <c r="L9" s="736"/>
      <c r="M9" s="242"/>
    </row>
    <row r="10" spans="1:13" ht="14.4" customHeight="1" x14ac:dyDescent="0.3">
      <c r="A10" s="723" t="s">
        <v>1929</v>
      </c>
      <c r="B10" s="736">
        <v>48181</v>
      </c>
      <c r="C10" s="677">
        <v>1</v>
      </c>
      <c r="D10" s="736">
        <v>49063</v>
      </c>
      <c r="E10" s="677">
        <v>1.0183059712334739</v>
      </c>
      <c r="F10" s="736">
        <v>63273</v>
      </c>
      <c r="G10" s="688">
        <v>1.3132355077727735</v>
      </c>
      <c r="H10" s="736"/>
      <c r="I10" s="677"/>
      <c r="J10" s="736"/>
      <c r="K10" s="677"/>
      <c r="L10" s="736"/>
      <c r="M10" s="242"/>
    </row>
    <row r="11" spans="1:13" ht="14.4" customHeight="1" thickBot="1" x14ac:dyDescent="0.35">
      <c r="A11" s="738" t="s">
        <v>1930</v>
      </c>
      <c r="B11" s="737">
        <v>9570</v>
      </c>
      <c r="C11" s="679">
        <v>1</v>
      </c>
      <c r="D11" s="737">
        <v>5282</v>
      </c>
      <c r="E11" s="679">
        <v>0.55193312434691744</v>
      </c>
      <c r="F11" s="737">
        <v>14432</v>
      </c>
      <c r="G11" s="689">
        <v>1.5080459770114942</v>
      </c>
      <c r="H11" s="737"/>
      <c r="I11" s="679"/>
      <c r="J11" s="737"/>
      <c r="K11" s="679"/>
      <c r="L11" s="737"/>
      <c r="M11" s="690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116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260" bestFit="1" customWidth="1"/>
    <col min="2" max="2" width="8.6640625" style="260" bestFit="1" customWidth="1"/>
    <col min="3" max="3" width="2.109375" style="260" bestFit="1" customWidth="1"/>
    <col min="4" max="4" width="8" style="260" bestFit="1" customWidth="1"/>
    <col min="5" max="5" width="52.88671875" style="260" bestFit="1" customWidth="1"/>
    <col min="6" max="7" width="11.109375" style="343" customWidth="1"/>
    <col min="8" max="9" width="9.33203125" style="343" hidden="1" customWidth="1"/>
    <col min="10" max="11" width="11.109375" style="343" customWidth="1"/>
    <col min="12" max="13" width="9.33203125" style="343" hidden="1" customWidth="1"/>
    <col min="14" max="15" width="11.109375" style="343" customWidth="1"/>
    <col min="16" max="16" width="11.109375" style="346" customWidth="1"/>
    <col min="17" max="17" width="11.109375" style="343" customWidth="1"/>
    <col min="18" max="16384" width="8.88671875" style="260"/>
  </cols>
  <sheetData>
    <row r="1" spans="1:17" ht="18.600000000000001" customHeight="1" thickBot="1" x14ac:dyDescent="0.4">
      <c r="A1" s="471" t="s">
        <v>2161</v>
      </c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2"/>
      <c r="N1" s="462"/>
      <c r="O1" s="462"/>
      <c r="P1" s="462"/>
      <c r="Q1" s="462"/>
    </row>
    <row r="2" spans="1:17" ht="14.4" customHeight="1" thickBot="1" x14ac:dyDescent="0.35">
      <c r="A2" s="389" t="s">
        <v>299</v>
      </c>
      <c r="B2" s="230"/>
      <c r="C2" s="230"/>
      <c r="D2" s="230"/>
      <c r="E2" s="230"/>
      <c r="F2" s="366"/>
      <c r="G2" s="366"/>
      <c r="H2" s="366"/>
      <c r="I2" s="366"/>
      <c r="J2" s="366"/>
      <c r="K2" s="366"/>
      <c r="L2" s="366"/>
      <c r="M2" s="366"/>
      <c r="N2" s="366"/>
      <c r="O2" s="366"/>
      <c r="P2" s="363"/>
      <c r="Q2" s="366"/>
    </row>
    <row r="3" spans="1:17" ht="14.4" customHeight="1" thickBot="1" x14ac:dyDescent="0.35">
      <c r="E3" s="112" t="s">
        <v>163</v>
      </c>
      <c r="F3" s="217">
        <f t="shared" ref="F3:O3" si="0">SUBTOTAL(9,F6:F1048576)</f>
        <v>768.48</v>
      </c>
      <c r="G3" s="221">
        <f t="shared" si="0"/>
        <v>155336.51</v>
      </c>
      <c r="H3" s="222"/>
      <c r="I3" s="222"/>
      <c r="J3" s="217">
        <f t="shared" si="0"/>
        <v>617.12</v>
      </c>
      <c r="K3" s="221">
        <f t="shared" si="0"/>
        <v>104425.20999999999</v>
      </c>
      <c r="L3" s="222"/>
      <c r="M3" s="222"/>
      <c r="N3" s="217">
        <f t="shared" si="0"/>
        <v>761.24</v>
      </c>
      <c r="O3" s="221">
        <f t="shared" si="0"/>
        <v>127261</v>
      </c>
      <c r="P3" s="181">
        <f>IF(G3=0,"",O3/G3)</f>
        <v>0.81926006963848996</v>
      </c>
      <c r="Q3" s="219">
        <f>IF(N3=0,"",O3/N3)</f>
        <v>167.17592349324786</v>
      </c>
    </row>
    <row r="4" spans="1:17" ht="14.4" customHeight="1" x14ac:dyDescent="0.3">
      <c r="A4" s="540" t="s">
        <v>77</v>
      </c>
      <c r="B4" s="539" t="s">
        <v>122</v>
      </c>
      <c r="C4" s="540" t="s">
        <v>123</v>
      </c>
      <c r="D4" s="541" t="s">
        <v>93</v>
      </c>
      <c r="E4" s="542" t="s">
        <v>14</v>
      </c>
      <c r="F4" s="546">
        <v>2012</v>
      </c>
      <c r="G4" s="547"/>
      <c r="H4" s="220"/>
      <c r="I4" s="220"/>
      <c r="J4" s="546">
        <v>2013</v>
      </c>
      <c r="K4" s="547"/>
      <c r="L4" s="220"/>
      <c r="M4" s="220"/>
      <c r="N4" s="546">
        <v>2014</v>
      </c>
      <c r="O4" s="547"/>
      <c r="P4" s="548" t="s">
        <v>5</v>
      </c>
      <c r="Q4" s="538" t="s">
        <v>125</v>
      </c>
    </row>
    <row r="5" spans="1:17" ht="14.4" customHeight="1" thickBot="1" x14ac:dyDescent="0.35">
      <c r="A5" s="742"/>
      <c r="B5" s="741"/>
      <c r="C5" s="742"/>
      <c r="D5" s="743"/>
      <c r="E5" s="744"/>
      <c r="F5" s="754" t="s">
        <v>94</v>
      </c>
      <c r="G5" s="755" t="s">
        <v>17</v>
      </c>
      <c r="H5" s="756"/>
      <c r="I5" s="756"/>
      <c r="J5" s="754" t="s">
        <v>94</v>
      </c>
      <c r="K5" s="755" t="s">
        <v>17</v>
      </c>
      <c r="L5" s="756"/>
      <c r="M5" s="756"/>
      <c r="N5" s="754" t="s">
        <v>94</v>
      </c>
      <c r="O5" s="755" t="s">
        <v>17</v>
      </c>
      <c r="P5" s="757"/>
      <c r="Q5" s="749"/>
    </row>
    <row r="6" spans="1:17" ht="14.4" customHeight="1" x14ac:dyDescent="0.3">
      <c r="A6" s="702" t="s">
        <v>1931</v>
      </c>
      <c r="B6" s="703" t="s">
        <v>1932</v>
      </c>
      <c r="C6" s="703" t="s">
        <v>1452</v>
      </c>
      <c r="D6" s="703" t="s">
        <v>1933</v>
      </c>
      <c r="E6" s="703" t="s">
        <v>1934</v>
      </c>
      <c r="F6" s="235"/>
      <c r="G6" s="235"/>
      <c r="H6" s="235"/>
      <c r="I6" s="235"/>
      <c r="J6" s="235">
        <v>1</v>
      </c>
      <c r="K6" s="235">
        <v>350</v>
      </c>
      <c r="L6" s="235"/>
      <c r="M6" s="235">
        <v>350</v>
      </c>
      <c r="N6" s="235"/>
      <c r="O6" s="235"/>
      <c r="P6" s="708"/>
      <c r="Q6" s="718"/>
    </row>
    <row r="7" spans="1:17" ht="14.4" customHeight="1" x14ac:dyDescent="0.3">
      <c r="A7" s="686" t="s">
        <v>1931</v>
      </c>
      <c r="B7" s="677" t="s">
        <v>1932</v>
      </c>
      <c r="C7" s="677" t="s">
        <v>1452</v>
      </c>
      <c r="D7" s="677" t="s">
        <v>1935</v>
      </c>
      <c r="E7" s="677" t="s">
        <v>1936</v>
      </c>
      <c r="F7" s="238">
        <v>41</v>
      </c>
      <c r="G7" s="238">
        <v>2624</v>
      </c>
      <c r="H7" s="238">
        <v>1</v>
      </c>
      <c r="I7" s="238">
        <v>64</v>
      </c>
      <c r="J7" s="238">
        <v>25</v>
      </c>
      <c r="K7" s="238">
        <v>1625</v>
      </c>
      <c r="L7" s="238">
        <v>0.61928353658536583</v>
      </c>
      <c r="M7" s="238">
        <v>65</v>
      </c>
      <c r="N7" s="238">
        <v>34</v>
      </c>
      <c r="O7" s="238">
        <v>2210</v>
      </c>
      <c r="P7" s="688">
        <v>0.84222560975609762</v>
      </c>
      <c r="Q7" s="719">
        <v>65</v>
      </c>
    </row>
    <row r="8" spans="1:17" ht="14.4" customHeight="1" x14ac:dyDescent="0.3">
      <c r="A8" s="686" t="s">
        <v>1931</v>
      </c>
      <c r="B8" s="677" t="s">
        <v>1932</v>
      </c>
      <c r="C8" s="677" t="s">
        <v>1452</v>
      </c>
      <c r="D8" s="677" t="s">
        <v>1937</v>
      </c>
      <c r="E8" s="677" t="s">
        <v>1938</v>
      </c>
      <c r="F8" s="238"/>
      <c r="G8" s="238"/>
      <c r="H8" s="238"/>
      <c r="I8" s="238"/>
      <c r="J8" s="238"/>
      <c r="K8" s="238"/>
      <c r="L8" s="238"/>
      <c r="M8" s="238"/>
      <c r="N8" s="238">
        <v>1</v>
      </c>
      <c r="O8" s="238">
        <v>590</v>
      </c>
      <c r="P8" s="688"/>
      <c r="Q8" s="719">
        <v>590</v>
      </c>
    </row>
    <row r="9" spans="1:17" ht="14.4" customHeight="1" x14ac:dyDescent="0.3">
      <c r="A9" s="686" t="s">
        <v>1931</v>
      </c>
      <c r="B9" s="677" t="s">
        <v>1932</v>
      </c>
      <c r="C9" s="677" t="s">
        <v>1452</v>
      </c>
      <c r="D9" s="677" t="s">
        <v>1939</v>
      </c>
      <c r="E9" s="677" t="s">
        <v>1940</v>
      </c>
      <c r="F9" s="238">
        <v>2</v>
      </c>
      <c r="G9" s="238">
        <v>46</v>
      </c>
      <c r="H9" s="238">
        <v>1</v>
      </c>
      <c r="I9" s="238">
        <v>23</v>
      </c>
      <c r="J9" s="238"/>
      <c r="K9" s="238"/>
      <c r="L9" s="238"/>
      <c r="M9" s="238"/>
      <c r="N9" s="238"/>
      <c r="O9" s="238"/>
      <c r="P9" s="688"/>
      <c r="Q9" s="719"/>
    </row>
    <row r="10" spans="1:17" ht="14.4" customHeight="1" x14ac:dyDescent="0.3">
      <c r="A10" s="686" t="s">
        <v>1931</v>
      </c>
      <c r="B10" s="677" t="s">
        <v>1932</v>
      </c>
      <c r="C10" s="677" t="s">
        <v>1452</v>
      </c>
      <c r="D10" s="677" t="s">
        <v>1941</v>
      </c>
      <c r="E10" s="677" t="s">
        <v>1942</v>
      </c>
      <c r="F10" s="238"/>
      <c r="G10" s="238"/>
      <c r="H10" s="238"/>
      <c r="I10" s="238"/>
      <c r="J10" s="238"/>
      <c r="K10" s="238"/>
      <c r="L10" s="238"/>
      <c r="M10" s="238"/>
      <c r="N10" s="238">
        <v>1</v>
      </c>
      <c r="O10" s="238">
        <v>54</v>
      </c>
      <c r="P10" s="688"/>
      <c r="Q10" s="719">
        <v>54</v>
      </c>
    </row>
    <row r="11" spans="1:17" ht="14.4" customHeight="1" x14ac:dyDescent="0.3">
      <c r="A11" s="686" t="s">
        <v>1931</v>
      </c>
      <c r="B11" s="677" t="s">
        <v>1932</v>
      </c>
      <c r="C11" s="677" t="s">
        <v>1452</v>
      </c>
      <c r="D11" s="677" t="s">
        <v>1943</v>
      </c>
      <c r="E11" s="677" t="s">
        <v>1944</v>
      </c>
      <c r="F11" s="238">
        <v>39</v>
      </c>
      <c r="G11" s="238">
        <v>3003</v>
      </c>
      <c r="H11" s="238">
        <v>1</v>
      </c>
      <c r="I11" s="238">
        <v>77</v>
      </c>
      <c r="J11" s="238">
        <v>24</v>
      </c>
      <c r="K11" s="238">
        <v>1848</v>
      </c>
      <c r="L11" s="238">
        <v>0.61538461538461542</v>
      </c>
      <c r="M11" s="238">
        <v>77</v>
      </c>
      <c r="N11" s="238">
        <v>34</v>
      </c>
      <c r="O11" s="238">
        <v>2618</v>
      </c>
      <c r="P11" s="688">
        <v>0.87179487179487181</v>
      </c>
      <c r="Q11" s="719">
        <v>77</v>
      </c>
    </row>
    <row r="12" spans="1:17" ht="14.4" customHeight="1" x14ac:dyDescent="0.3">
      <c r="A12" s="686" t="s">
        <v>1931</v>
      </c>
      <c r="B12" s="677" t="s">
        <v>1932</v>
      </c>
      <c r="C12" s="677" t="s">
        <v>1452</v>
      </c>
      <c r="D12" s="677" t="s">
        <v>1945</v>
      </c>
      <c r="E12" s="677" t="s">
        <v>1946</v>
      </c>
      <c r="F12" s="238">
        <v>8</v>
      </c>
      <c r="G12" s="238">
        <v>176</v>
      </c>
      <c r="H12" s="238">
        <v>1</v>
      </c>
      <c r="I12" s="238">
        <v>22</v>
      </c>
      <c r="J12" s="238">
        <v>3</v>
      </c>
      <c r="K12" s="238">
        <v>66</v>
      </c>
      <c r="L12" s="238">
        <v>0.375</v>
      </c>
      <c r="M12" s="238">
        <v>22</v>
      </c>
      <c r="N12" s="238">
        <v>2</v>
      </c>
      <c r="O12" s="238">
        <v>44</v>
      </c>
      <c r="P12" s="688">
        <v>0.25</v>
      </c>
      <c r="Q12" s="719">
        <v>22</v>
      </c>
    </row>
    <row r="13" spans="1:17" ht="14.4" customHeight="1" x14ac:dyDescent="0.3">
      <c r="A13" s="686" t="s">
        <v>1931</v>
      </c>
      <c r="B13" s="677" t="s">
        <v>1932</v>
      </c>
      <c r="C13" s="677" t="s">
        <v>1452</v>
      </c>
      <c r="D13" s="677" t="s">
        <v>1947</v>
      </c>
      <c r="E13" s="677" t="s">
        <v>1948</v>
      </c>
      <c r="F13" s="238">
        <v>6</v>
      </c>
      <c r="G13" s="238">
        <v>138</v>
      </c>
      <c r="H13" s="238">
        <v>1</v>
      </c>
      <c r="I13" s="238">
        <v>23</v>
      </c>
      <c r="J13" s="238">
        <v>3</v>
      </c>
      <c r="K13" s="238">
        <v>72</v>
      </c>
      <c r="L13" s="238">
        <v>0.52173913043478259</v>
      </c>
      <c r="M13" s="238">
        <v>24</v>
      </c>
      <c r="N13" s="238">
        <v>2</v>
      </c>
      <c r="O13" s="238">
        <v>48</v>
      </c>
      <c r="P13" s="688">
        <v>0.34782608695652173</v>
      </c>
      <c r="Q13" s="719">
        <v>24</v>
      </c>
    </row>
    <row r="14" spans="1:17" ht="14.4" customHeight="1" x14ac:dyDescent="0.3">
      <c r="A14" s="686" t="s">
        <v>1931</v>
      </c>
      <c r="B14" s="677" t="s">
        <v>1932</v>
      </c>
      <c r="C14" s="677" t="s">
        <v>1452</v>
      </c>
      <c r="D14" s="677" t="s">
        <v>1949</v>
      </c>
      <c r="E14" s="677" t="s">
        <v>1950</v>
      </c>
      <c r="F14" s="238">
        <v>3</v>
      </c>
      <c r="G14" s="238">
        <v>540</v>
      </c>
      <c r="H14" s="238">
        <v>1</v>
      </c>
      <c r="I14" s="238">
        <v>180</v>
      </c>
      <c r="J14" s="238">
        <v>3</v>
      </c>
      <c r="K14" s="238">
        <v>540</v>
      </c>
      <c r="L14" s="238">
        <v>1</v>
      </c>
      <c r="M14" s="238">
        <v>180</v>
      </c>
      <c r="N14" s="238"/>
      <c r="O14" s="238"/>
      <c r="P14" s="688"/>
      <c r="Q14" s="719"/>
    </row>
    <row r="15" spans="1:17" ht="14.4" customHeight="1" x14ac:dyDescent="0.3">
      <c r="A15" s="686" t="s">
        <v>1931</v>
      </c>
      <c r="B15" s="677" t="s">
        <v>1932</v>
      </c>
      <c r="C15" s="677" t="s">
        <v>1452</v>
      </c>
      <c r="D15" s="677" t="s">
        <v>1951</v>
      </c>
      <c r="E15" s="677" t="s">
        <v>1952</v>
      </c>
      <c r="F15" s="238">
        <v>3</v>
      </c>
      <c r="G15" s="238">
        <v>648</v>
      </c>
      <c r="H15" s="238">
        <v>1</v>
      </c>
      <c r="I15" s="238">
        <v>216</v>
      </c>
      <c r="J15" s="238">
        <v>3</v>
      </c>
      <c r="K15" s="238">
        <v>648</v>
      </c>
      <c r="L15" s="238">
        <v>1</v>
      </c>
      <c r="M15" s="238">
        <v>216</v>
      </c>
      <c r="N15" s="238">
        <v>1</v>
      </c>
      <c r="O15" s="238">
        <v>216</v>
      </c>
      <c r="P15" s="688">
        <v>0.33333333333333331</v>
      </c>
      <c r="Q15" s="719">
        <v>216</v>
      </c>
    </row>
    <row r="16" spans="1:17" ht="14.4" customHeight="1" x14ac:dyDescent="0.3">
      <c r="A16" s="686" t="s">
        <v>1931</v>
      </c>
      <c r="B16" s="677" t="s">
        <v>1932</v>
      </c>
      <c r="C16" s="677" t="s">
        <v>1452</v>
      </c>
      <c r="D16" s="677" t="s">
        <v>1953</v>
      </c>
      <c r="E16" s="677" t="s">
        <v>1954</v>
      </c>
      <c r="F16" s="238"/>
      <c r="G16" s="238"/>
      <c r="H16" s="238"/>
      <c r="I16" s="238"/>
      <c r="J16" s="238"/>
      <c r="K16" s="238"/>
      <c r="L16" s="238"/>
      <c r="M16" s="238"/>
      <c r="N16" s="238">
        <v>1</v>
      </c>
      <c r="O16" s="238">
        <v>406</v>
      </c>
      <c r="P16" s="688"/>
      <c r="Q16" s="719">
        <v>406</v>
      </c>
    </row>
    <row r="17" spans="1:17" ht="14.4" customHeight="1" x14ac:dyDescent="0.3">
      <c r="A17" s="686" t="s">
        <v>1931</v>
      </c>
      <c r="B17" s="677" t="s">
        <v>1932</v>
      </c>
      <c r="C17" s="677" t="s">
        <v>1452</v>
      </c>
      <c r="D17" s="677" t="s">
        <v>1955</v>
      </c>
      <c r="E17" s="677" t="s">
        <v>1956</v>
      </c>
      <c r="F17" s="238"/>
      <c r="G17" s="238"/>
      <c r="H17" s="238"/>
      <c r="I17" s="238"/>
      <c r="J17" s="238"/>
      <c r="K17" s="238"/>
      <c r="L17" s="238"/>
      <c r="M17" s="238"/>
      <c r="N17" s="238">
        <v>1</v>
      </c>
      <c r="O17" s="238">
        <v>586</v>
      </c>
      <c r="P17" s="688"/>
      <c r="Q17" s="719">
        <v>586</v>
      </c>
    </row>
    <row r="18" spans="1:17" ht="14.4" customHeight="1" x14ac:dyDescent="0.3">
      <c r="A18" s="686" t="s">
        <v>1957</v>
      </c>
      <c r="B18" s="677" t="s">
        <v>1958</v>
      </c>
      <c r="C18" s="677" t="s">
        <v>1452</v>
      </c>
      <c r="D18" s="677" t="s">
        <v>1959</v>
      </c>
      <c r="E18" s="677" t="s">
        <v>1960</v>
      </c>
      <c r="F18" s="238">
        <v>18</v>
      </c>
      <c r="G18" s="238">
        <v>486</v>
      </c>
      <c r="H18" s="238">
        <v>1</v>
      </c>
      <c r="I18" s="238">
        <v>27</v>
      </c>
      <c r="J18" s="238">
        <v>14</v>
      </c>
      <c r="K18" s="238">
        <v>378</v>
      </c>
      <c r="L18" s="238">
        <v>0.77777777777777779</v>
      </c>
      <c r="M18" s="238">
        <v>27</v>
      </c>
      <c r="N18" s="238">
        <v>13</v>
      </c>
      <c r="O18" s="238">
        <v>351</v>
      </c>
      <c r="P18" s="688">
        <v>0.72222222222222221</v>
      </c>
      <c r="Q18" s="719">
        <v>27</v>
      </c>
    </row>
    <row r="19" spans="1:17" ht="14.4" customHeight="1" x14ac:dyDescent="0.3">
      <c r="A19" s="686" t="s">
        <v>1957</v>
      </c>
      <c r="B19" s="677" t="s">
        <v>1958</v>
      </c>
      <c r="C19" s="677" t="s">
        <v>1452</v>
      </c>
      <c r="D19" s="677" t="s">
        <v>1961</v>
      </c>
      <c r="E19" s="677" t="s">
        <v>1962</v>
      </c>
      <c r="F19" s="238">
        <v>4</v>
      </c>
      <c r="G19" s="238">
        <v>216</v>
      </c>
      <c r="H19" s="238">
        <v>1</v>
      </c>
      <c r="I19" s="238">
        <v>54</v>
      </c>
      <c r="J19" s="238">
        <v>4</v>
      </c>
      <c r="K19" s="238">
        <v>216</v>
      </c>
      <c r="L19" s="238">
        <v>1</v>
      </c>
      <c r="M19" s="238">
        <v>54</v>
      </c>
      <c r="N19" s="238">
        <v>1</v>
      </c>
      <c r="O19" s="238">
        <v>54</v>
      </c>
      <c r="P19" s="688">
        <v>0.25</v>
      </c>
      <c r="Q19" s="719">
        <v>54</v>
      </c>
    </row>
    <row r="20" spans="1:17" ht="14.4" customHeight="1" x14ac:dyDescent="0.3">
      <c r="A20" s="686" t="s">
        <v>1957</v>
      </c>
      <c r="B20" s="677" t="s">
        <v>1958</v>
      </c>
      <c r="C20" s="677" t="s">
        <v>1452</v>
      </c>
      <c r="D20" s="677" t="s">
        <v>1963</v>
      </c>
      <c r="E20" s="677" t="s">
        <v>1964</v>
      </c>
      <c r="F20" s="238">
        <v>16</v>
      </c>
      <c r="G20" s="238">
        <v>384</v>
      </c>
      <c r="H20" s="238">
        <v>1</v>
      </c>
      <c r="I20" s="238">
        <v>24</v>
      </c>
      <c r="J20" s="238">
        <v>13</v>
      </c>
      <c r="K20" s="238">
        <v>312</v>
      </c>
      <c r="L20" s="238">
        <v>0.8125</v>
      </c>
      <c r="M20" s="238">
        <v>24</v>
      </c>
      <c r="N20" s="238">
        <v>14</v>
      </c>
      <c r="O20" s="238">
        <v>336</v>
      </c>
      <c r="P20" s="688">
        <v>0.875</v>
      </c>
      <c r="Q20" s="719">
        <v>24</v>
      </c>
    </row>
    <row r="21" spans="1:17" ht="14.4" customHeight="1" x14ac:dyDescent="0.3">
      <c r="A21" s="686" t="s">
        <v>1957</v>
      </c>
      <c r="B21" s="677" t="s">
        <v>1958</v>
      </c>
      <c r="C21" s="677" t="s">
        <v>1452</v>
      </c>
      <c r="D21" s="677" t="s">
        <v>1965</v>
      </c>
      <c r="E21" s="677" t="s">
        <v>1966</v>
      </c>
      <c r="F21" s="238">
        <v>19</v>
      </c>
      <c r="G21" s="238">
        <v>513</v>
      </c>
      <c r="H21" s="238">
        <v>1</v>
      </c>
      <c r="I21" s="238">
        <v>27</v>
      </c>
      <c r="J21" s="238">
        <v>13</v>
      </c>
      <c r="K21" s="238">
        <v>351</v>
      </c>
      <c r="L21" s="238">
        <v>0.68421052631578949</v>
      </c>
      <c r="M21" s="238">
        <v>27</v>
      </c>
      <c r="N21" s="238">
        <v>14</v>
      </c>
      <c r="O21" s="238">
        <v>378</v>
      </c>
      <c r="P21" s="688">
        <v>0.73684210526315785</v>
      </c>
      <c r="Q21" s="719">
        <v>27</v>
      </c>
    </row>
    <row r="22" spans="1:17" ht="14.4" customHeight="1" x14ac:dyDescent="0.3">
      <c r="A22" s="686" t="s">
        <v>1957</v>
      </c>
      <c r="B22" s="677" t="s">
        <v>1958</v>
      </c>
      <c r="C22" s="677" t="s">
        <v>1452</v>
      </c>
      <c r="D22" s="677" t="s">
        <v>1967</v>
      </c>
      <c r="E22" s="677" t="s">
        <v>1968</v>
      </c>
      <c r="F22" s="238">
        <v>11</v>
      </c>
      <c r="G22" s="238">
        <v>616</v>
      </c>
      <c r="H22" s="238">
        <v>1</v>
      </c>
      <c r="I22" s="238">
        <v>56</v>
      </c>
      <c r="J22" s="238">
        <v>2</v>
      </c>
      <c r="K22" s="238">
        <v>112</v>
      </c>
      <c r="L22" s="238">
        <v>0.18181818181818182</v>
      </c>
      <c r="M22" s="238">
        <v>56</v>
      </c>
      <c r="N22" s="238"/>
      <c r="O22" s="238"/>
      <c r="P22" s="688"/>
      <c r="Q22" s="719"/>
    </row>
    <row r="23" spans="1:17" ht="14.4" customHeight="1" x14ac:dyDescent="0.3">
      <c r="A23" s="686" t="s">
        <v>1957</v>
      </c>
      <c r="B23" s="677" t="s">
        <v>1958</v>
      </c>
      <c r="C23" s="677" t="s">
        <v>1452</v>
      </c>
      <c r="D23" s="677" t="s">
        <v>1969</v>
      </c>
      <c r="E23" s="677" t="s">
        <v>1970</v>
      </c>
      <c r="F23" s="238">
        <v>11</v>
      </c>
      <c r="G23" s="238">
        <v>297</v>
      </c>
      <c r="H23" s="238">
        <v>1</v>
      </c>
      <c r="I23" s="238">
        <v>27</v>
      </c>
      <c r="J23" s="238">
        <v>11</v>
      </c>
      <c r="K23" s="238">
        <v>297</v>
      </c>
      <c r="L23" s="238">
        <v>1</v>
      </c>
      <c r="M23" s="238">
        <v>27</v>
      </c>
      <c r="N23" s="238">
        <v>13</v>
      </c>
      <c r="O23" s="238">
        <v>351</v>
      </c>
      <c r="P23" s="688">
        <v>1.1818181818181819</v>
      </c>
      <c r="Q23" s="719">
        <v>27</v>
      </c>
    </row>
    <row r="24" spans="1:17" ht="14.4" customHeight="1" x14ac:dyDescent="0.3">
      <c r="A24" s="686" t="s">
        <v>1957</v>
      </c>
      <c r="B24" s="677" t="s">
        <v>1958</v>
      </c>
      <c r="C24" s="677" t="s">
        <v>1452</v>
      </c>
      <c r="D24" s="677" t="s">
        <v>1971</v>
      </c>
      <c r="E24" s="677" t="s">
        <v>1972</v>
      </c>
      <c r="F24" s="238">
        <v>20</v>
      </c>
      <c r="G24" s="238">
        <v>440</v>
      </c>
      <c r="H24" s="238">
        <v>1</v>
      </c>
      <c r="I24" s="238">
        <v>22</v>
      </c>
      <c r="J24" s="238">
        <v>15</v>
      </c>
      <c r="K24" s="238">
        <v>330</v>
      </c>
      <c r="L24" s="238">
        <v>0.75</v>
      </c>
      <c r="M24" s="238">
        <v>22</v>
      </c>
      <c r="N24" s="238">
        <v>14</v>
      </c>
      <c r="O24" s="238">
        <v>308</v>
      </c>
      <c r="P24" s="688">
        <v>0.7</v>
      </c>
      <c r="Q24" s="719">
        <v>22</v>
      </c>
    </row>
    <row r="25" spans="1:17" ht="14.4" customHeight="1" x14ac:dyDescent="0.3">
      <c r="A25" s="686" t="s">
        <v>1957</v>
      </c>
      <c r="B25" s="677" t="s">
        <v>1958</v>
      </c>
      <c r="C25" s="677" t="s">
        <v>1452</v>
      </c>
      <c r="D25" s="677" t="s">
        <v>1973</v>
      </c>
      <c r="E25" s="677" t="s">
        <v>1974</v>
      </c>
      <c r="F25" s="238">
        <v>7</v>
      </c>
      <c r="G25" s="238">
        <v>427</v>
      </c>
      <c r="H25" s="238">
        <v>1</v>
      </c>
      <c r="I25" s="238">
        <v>61</v>
      </c>
      <c r="J25" s="238">
        <v>2</v>
      </c>
      <c r="K25" s="238">
        <v>122</v>
      </c>
      <c r="L25" s="238">
        <v>0.2857142857142857</v>
      </c>
      <c r="M25" s="238">
        <v>61</v>
      </c>
      <c r="N25" s="238"/>
      <c r="O25" s="238"/>
      <c r="P25" s="688"/>
      <c r="Q25" s="719"/>
    </row>
    <row r="26" spans="1:17" ht="14.4" customHeight="1" x14ac:dyDescent="0.3">
      <c r="A26" s="686" t="s">
        <v>1957</v>
      </c>
      <c r="B26" s="677" t="s">
        <v>1958</v>
      </c>
      <c r="C26" s="677" t="s">
        <v>1452</v>
      </c>
      <c r="D26" s="677" t="s">
        <v>1975</v>
      </c>
      <c r="E26" s="677" t="s">
        <v>1976</v>
      </c>
      <c r="F26" s="238">
        <v>3</v>
      </c>
      <c r="G26" s="238">
        <v>2961</v>
      </c>
      <c r="H26" s="238">
        <v>1</v>
      </c>
      <c r="I26" s="238">
        <v>987</v>
      </c>
      <c r="J26" s="238"/>
      <c r="K26" s="238"/>
      <c r="L26" s="238"/>
      <c r="M26" s="238"/>
      <c r="N26" s="238">
        <v>1</v>
      </c>
      <c r="O26" s="238">
        <v>987</v>
      </c>
      <c r="P26" s="688">
        <v>0.33333333333333331</v>
      </c>
      <c r="Q26" s="719">
        <v>987</v>
      </c>
    </row>
    <row r="27" spans="1:17" ht="14.4" customHeight="1" x14ac:dyDescent="0.3">
      <c r="A27" s="686" t="s">
        <v>1957</v>
      </c>
      <c r="B27" s="677" t="s">
        <v>1958</v>
      </c>
      <c r="C27" s="677" t="s">
        <v>1452</v>
      </c>
      <c r="D27" s="677" t="s">
        <v>1977</v>
      </c>
      <c r="E27" s="677" t="s">
        <v>1978</v>
      </c>
      <c r="F27" s="238">
        <v>1</v>
      </c>
      <c r="G27" s="238">
        <v>17</v>
      </c>
      <c r="H27" s="238">
        <v>1</v>
      </c>
      <c r="I27" s="238">
        <v>17</v>
      </c>
      <c r="J27" s="238">
        <v>1</v>
      </c>
      <c r="K27" s="238">
        <v>17</v>
      </c>
      <c r="L27" s="238">
        <v>1</v>
      </c>
      <c r="M27" s="238">
        <v>17</v>
      </c>
      <c r="N27" s="238">
        <v>5</v>
      </c>
      <c r="O27" s="238">
        <v>85</v>
      </c>
      <c r="P27" s="688">
        <v>5</v>
      </c>
      <c r="Q27" s="719">
        <v>17</v>
      </c>
    </row>
    <row r="28" spans="1:17" ht="14.4" customHeight="1" x14ac:dyDescent="0.3">
      <c r="A28" s="686" t="s">
        <v>1957</v>
      </c>
      <c r="B28" s="677" t="s">
        <v>1958</v>
      </c>
      <c r="C28" s="677" t="s">
        <v>1452</v>
      </c>
      <c r="D28" s="677" t="s">
        <v>1979</v>
      </c>
      <c r="E28" s="677" t="s">
        <v>1980</v>
      </c>
      <c r="F28" s="238">
        <v>1</v>
      </c>
      <c r="G28" s="238">
        <v>461</v>
      </c>
      <c r="H28" s="238">
        <v>1</v>
      </c>
      <c r="I28" s="238">
        <v>461</v>
      </c>
      <c r="J28" s="238">
        <v>1</v>
      </c>
      <c r="K28" s="238">
        <v>461</v>
      </c>
      <c r="L28" s="238">
        <v>1</v>
      </c>
      <c r="M28" s="238">
        <v>461</v>
      </c>
      <c r="N28" s="238"/>
      <c r="O28" s="238"/>
      <c r="P28" s="688"/>
      <c r="Q28" s="719"/>
    </row>
    <row r="29" spans="1:17" ht="14.4" customHeight="1" x14ac:dyDescent="0.3">
      <c r="A29" s="686" t="s">
        <v>1957</v>
      </c>
      <c r="B29" s="677" t="s">
        <v>1958</v>
      </c>
      <c r="C29" s="677" t="s">
        <v>1452</v>
      </c>
      <c r="D29" s="677" t="s">
        <v>1981</v>
      </c>
      <c r="E29" s="677" t="s">
        <v>1982</v>
      </c>
      <c r="F29" s="238"/>
      <c r="G29" s="238"/>
      <c r="H29" s="238"/>
      <c r="I29" s="238"/>
      <c r="J29" s="238"/>
      <c r="K29" s="238"/>
      <c r="L29" s="238"/>
      <c r="M29" s="238"/>
      <c r="N29" s="238">
        <v>1</v>
      </c>
      <c r="O29" s="238">
        <v>851</v>
      </c>
      <c r="P29" s="688"/>
      <c r="Q29" s="719">
        <v>851</v>
      </c>
    </row>
    <row r="30" spans="1:17" ht="14.4" customHeight="1" x14ac:dyDescent="0.3">
      <c r="A30" s="686" t="s">
        <v>1957</v>
      </c>
      <c r="B30" s="677" t="s">
        <v>1958</v>
      </c>
      <c r="C30" s="677" t="s">
        <v>1452</v>
      </c>
      <c r="D30" s="677" t="s">
        <v>1983</v>
      </c>
      <c r="E30" s="677" t="s">
        <v>1984</v>
      </c>
      <c r="F30" s="238"/>
      <c r="G30" s="238"/>
      <c r="H30" s="238"/>
      <c r="I30" s="238"/>
      <c r="J30" s="238">
        <v>1</v>
      </c>
      <c r="K30" s="238">
        <v>560</v>
      </c>
      <c r="L30" s="238"/>
      <c r="M30" s="238">
        <v>560</v>
      </c>
      <c r="N30" s="238"/>
      <c r="O30" s="238"/>
      <c r="P30" s="688"/>
      <c r="Q30" s="719"/>
    </row>
    <row r="31" spans="1:17" ht="14.4" customHeight="1" x14ac:dyDescent="0.3">
      <c r="A31" s="686" t="s">
        <v>1957</v>
      </c>
      <c r="B31" s="677" t="s">
        <v>1958</v>
      </c>
      <c r="C31" s="677" t="s">
        <v>1452</v>
      </c>
      <c r="D31" s="677" t="s">
        <v>1985</v>
      </c>
      <c r="E31" s="677" t="s">
        <v>1986</v>
      </c>
      <c r="F31" s="238">
        <v>27</v>
      </c>
      <c r="G31" s="238">
        <v>783</v>
      </c>
      <c r="H31" s="238">
        <v>1</v>
      </c>
      <c r="I31" s="238">
        <v>29</v>
      </c>
      <c r="J31" s="238">
        <v>18</v>
      </c>
      <c r="K31" s="238">
        <v>522</v>
      </c>
      <c r="L31" s="238">
        <v>0.66666666666666663</v>
      </c>
      <c r="M31" s="238">
        <v>29</v>
      </c>
      <c r="N31" s="238">
        <v>14</v>
      </c>
      <c r="O31" s="238">
        <v>406</v>
      </c>
      <c r="P31" s="688">
        <v>0.51851851851851849</v>
      </c>
      <c r="Q31" s="719">
        <v>29</v>
      </c>
    </row>
    <row r="32" spans="1:17" ht="14.4" customHeight="1" x14ac:dyDescent="0.3">
      <c r="A32" s="686" t="s">
        <v>1957</v>
      </c>
      <c r="B32" s="677" t="s">
        <v>1958</v>
      </c>
      <c r="C32" s="677" t="s">
        <v>1452</v>
      </c>
      <c r="D32" s="677" t="s">
        <v>1987</v>
      </c>
      <c r="E32" s="677" t="s">
        <v>1988</v>
      </c>
      <c r="F32" s="238">
        <v>4</v>
      </c>
      <c r="G32" s="238">
        <v>48</v>
      </c>
      <c r="H32" s="238">
        <v>1</v>
      </c>
      <c r="I32" s="238">
        <v>12</v>
      </c>
      <c r="J32" s="238">
        <v>3</v>
      </c>
      <c r="K32" s="238">
        <v>36</v>
      </c>
      <c r="L32" s="238">
        <v>0.75</v>
      </c>
      <c r="M32" s="238">
        <v>12</v>
      </c>
      <c r="N32" s="238">
        <v>1</v>
      </c>
      <c r="O32" s="238">
        <v>12</v>
      </c>
      <c r="P32" s="688">
        <v>0.25</v>
      </c>
      <c r="Q32" s="719">
        <v>12</v>
      </c>
    </row>
    <row r="33" spans="1:17" ht="14.4" customHeight="1" x14ac:dyDescent="0.3">
      <c r="A33" s="686" t="s">
        <v>1957</v>
      </c>
      <c r="B33" s="677" t="s">
        <v>1958</v>
      </c>
      <c r="C33" s="677" t="s">
        <v>1452</v>
      </c>
      <c r="D33" s="677" t="s">
        <v>1989</v>
      </c>
      <c r="E33" s="677" t="s">
        <v>1990</v>
      </c>
      <c r="F33" s="238">
        <v>7</v>
      </c>
      <c r="G33" s="238">
        <v>497</v>
      </c>
      <c r="H33" s="238">
        <v>1</v>
      </c>
      <c r="I33" s="238">
        <v>71</v>
      </c>
      <c r="J33" s="238">
        <v>2</v>
      </c>
      <c r="K33" s="238">
        <v>142</v>
      </c>
      <c r="L33" s="238">
        <v>0.2857142857142857</v>
      </c>
      <c r="M33" s="238">
        <v>71</v>
      </c>
      <c r="N33" s="238"/>
      <c r="O33" s="238"/>
      <c r="P33" s="688"/>
      <c r="Q33" s="719"/>
    </row>
    <row r="34" spans="1:17" ht="14.4" customHeight="1" x14ac:dyDescent="0.3">
      <c r="A34" s="686" t="s">
        <v>1957</v>
      </c>
      <c r="B34" s="677" t="s">
        <v>1958</v>
      </c>
      <c r="C34" s="677" t="s">
        <v>1452</v>
      </c>
      <c r="D34" s="677" t="s">
        <v>1991</v>
      </c>
      <c r="E34" s="677" t="s">
        <v>1992</v>
      </c>
      <c r="F34" s="238"/>
      <c r="G34" s="238"/>
      <c r="H34" s="238"/>
      <c r="I34" s="238"/>
      <c r="J34" s="238"/>
      <c r="K34" s="238"/>
      <c r="L34" s="238"/>
      <c r="M34" s="238"/>
      <c r="N34" s="238">
        <v>1</v>
      </c>
      <c r="O34" s="238">
        <v>1245</v>
      </c>
      <c r="P34" s="688"/>
      <c r="Q34" s="719">
        <v>1245</v>
      </c>
    </row>
    <row r="35" spans="1:17" ht="14.4" customHeight="1" x14ac:dyDescent="0.3">
      <c r="A35" s="686" t="s">
        <v>1957</v>
      </c>
      <c r="B35" s="677" t="s">
        <v>1958</v>
      </c>
      <c r="C35" s="677" t="s">
        <v>1452</v>
      </c>
      <c r="D35" s="677" t="s">
        <v>1993</v>
      </c>
      <c r="E35" s="677" t="s">
        <v>1994</v>
      </c>
      <c r="F35" s="238">
        <v>2</v>
      </c>
      <c r="G35" s="238">
        <v>294</v>
      </c>
      <c r="H35" s="238">
        <v>1</v>
      </c>
      <c r="I35" s="238">
        <v>147</v>
      </c>
      <c r="J35" s="238">
        <v>9</v>
      </c>
      <c r="K35" s="238">
        <v>1323</v>
      </c>
      <c r="L35" s="238">
        <v>4.5</v>
      </c>
      <c r="M35" s="238">
        <v>147</v>
      </c>
      <c r="N35" s="238">
        <v>8</v>
      </c>
      <c r="O35" s="238">
        <v>1176</v>
      </c>
      <c r="P35" s="688">
        <v>4</v>
      </c>
      <c r="Q35" s="719">
        <v>147</v>
      </c>
    </row>
    <row r="36" spans="1:17" ht="14.4" customHeight="1" x14ac:dyDescent="0.3">
      <c r="A36" s="686" t="s">
        <v>1957</v>
      </c>
      <c r="B36" s="677" t="s">
        <v>1958</v>
      </c>
      <c r="C36" s="677" t="s">
        <v>1452</v>
      </c>
      <c r="D36" s="677" t="s">
        <v>1995</v>
      </c>
      <c r="E36" s="677" t="s">
        <v>1996</v>
      </c>
      <c r="F36" s="238">
        <v>28</v>
      </c>
      <c r="G36" s="238">
        <v>812</v>
      </c>
      <c r="H36" s="238">
        <v>1</v>
      </c>
      <c r="I36" s="238">
        <v>29</v>
      </c>
      <c r="J36" s="238">
        <v>18</v>
      </c>
      <c r="K36" s="238">
        <v>522</v>
      </c>
      <c r="L36" s="238">
        <v>0.6428571428571429</v>
      </c>
      <c r="M36" s="238">
        <v>29</v>
      </c>
      <c r="N36" s="238">
        <v>17</v>
      </c>
      <c r="O36" s="238">
        <v>493</v>
      </c>
      <c r="P36" s="688">
        <v>0.6071428571428571</v>
      </c>
      <c r="Q36" s="719">
        <v>29</v>
      </c>
    </row>
    <row r="37" spans="1:17" ht="14.4" customHeight="1" x14ac:dyDescent="0.3">
      <c r="A37" s="686" t="s">
        <v>1957</v>
      </c>
      <c r="B37" s="677" t="s">
        <v>1958</v>
      </c>
      <c r="C37" s="677" t="s">
        <v>1452</v>
      </c>
      <c r="D37" s="677" t="s">
        <v>1997</v>
      </c>
      <c r="E37" s="677" t="s">
        <v>1998</v>
      </c>
      <c r="F37" s="238">
        <v>15</v>
      </c>
      <c r="G37" s="238">
        <v>465</v>
      </c>
      <c r="H37" s="238">
        <v>1</v>
      </c>
      <c r="I37" s="238">
        <v>31</v>
      </c>
      <c r="J37" s="238">
        <v>8</v>
      </c>
      <c r="K37" s="238">
        <v>248</v>
      </c>
      <c r="L37" s="238">
        <v>0.53333333333333333</v>
      </c>
      <c r="M37" s="238">
        <v>31</v>
      </c>
      <c r="N37" s="238">
        <v>13</v>
      </c>
      <c r="O37" s="238">
        <v>403</v>
      </c>
      <c r="P37" s="688">
        <v>0.8666666666666667</v>
      </c>
      <c r="Q37" s="719">
        <v>31</v>
      </c>
    </row>
    <row r="38" spans="1:17" ht="14.4" customHeight="1" x14ac:dyDescent="0.3">
      <c r="A38" s="686" t="s">
        <v>1957</v>
      </c>
      <c r="B38" s="677" t="s">
        <v>1958</v>
      </c>
      <c r="C38" s="677" t="s">
        <v>1452</v>
      </c>
      <c r="D38" s="677" t="s">
        <v>1999</v>
      </c>
      <c r="E38" s="677" t="s">
        <v>2000</v>
      </c>
      <c r="F38" s="238">
        <v>18</v>
      </c>
      <c r="G38" s="238">
        <v>486</v>
      </c>
      <c r="H38" s="238">
        <v>1</v>
      </c>
      <c r="I38" s="238">
        <v>27</v>
      </c>
      <c r="J38" s="238">
        <v>14</v>
      </c>
      <c r="K38" s="238">
        <v>378</v>
      </c>
      <c r="L38" s="238">
        <v>0.77777777777777779</v>
      </c>
      <c r="M38" s="238">
        <v>27</v>
      </c>
      <c r="N38" s="238">
        <v>13</v>
      </c>
      <c r="O38" s="238">
        <v>351</v>
      </c>
      <c r="P38" s="688">
        <v>0.72222222222222221</v>
      </c>
      <c r="Q38" s="719">
        <v>27</v>
      </c>
    </row>
    <row r="39" spans="1:17" ht="14.4" customHeight="1" x14ac:dyDescent="0.3">
      <c r="A39" s="686" t="s">
        <v>1957</v>
      </c>
      <c r="B39" s="677" t="s">
        <v>1958</v>
      </c>
      <c r="C39" s="677" t="s">
        <v>1452</v>
      </c>
      <c r="D39" s="677" t="s">
        <v>2001</v>
      </c>
      <c r="E39" s="677" t="s">
        <v>2002</v>
      </c>
      <c r="F39" s="238">
        <v>19</v>
      </c>
      <c r="G39" s="238">
        <v>475</v>
      </c>
      <c r="H39" s="238">
        <v>1</v>
      </c>
      <c r="I39" s="238">
        <v>25</v>
      </c>
      <c r="J39" s="238">
        <v>13</v>
      </c>
      <c r="K39" s="238">
        <v>325</v>
      </c>
      <c r="L39" s="238">
        <v>0.68421052631578949</v>
      </c>
      <c r="M39" s="238">
        <v>25</v>
      </c>
      <c r="N39" s="238">
        <v>13</v>
      </c>
      <c r="O39" s="238">
        <v>325</v>
      </c>
      <c r="P39" s="688">
        <v>0.68421052631578949</v>
      </c>
      <c r="Q39" s="719">
        <v>25</v>
      </c>
    </row>
    <row r="40" spans="1:17" ht="14.4" customHeight="1" x14ac:dyDescent="0.3">
      <c r="A40" s="686" t="s">
        <v>1957</v>
      </c>
      <c r="B40" s="677" t="s">
        <v>1958</v>
      </c>
      <c r="C40" s="677" t="s">
        <v>1452</v>
      </c>
      <c r="D40" s="677" t="s">
        <v>2003</v>
      </c>
      <c r="E40" s="677" t="s">
        <v>2004</v>
      </c>
      <c r="F40" s="238">
        <v>1</v>
      </c>
      <c r="G40" s="238">
        <v>26</v>
      </c>
      <c r="H40" s="238">
        <v>1</v>
      </c>
      <c r="I40" s="238">
        <v>26</v>
      </c>
      <c r="J40" s="238"/>
      <c r="K40" s="238"/>
      <c r="L40" s="238"/>
      <c r="M40" s="238"/>
      <c r="N40" s="238"/>
      <c r="O40" s="238"/>
      <c r="P40" s="688"/>
      <c r="Q40" s="719"/>
    </row>
    <row r="41" spans="1:17" ht="14.4" customHeight="1" x14ac:dyDescent="0.3">
      <c r="A41" s="686" t="s">
        <v>1957</v>
      </c>
      <c r="B41" s="677" t="s">
        <v>1958</v>
      </c>
      <c r="C41" s="677" t="s">
        <v>1452</v>
      </c>
      <c r="D41" s="677" t="s">
        <v>2005</v>
      </c>
      <c r="E41" s="677" t="s">
        <v>2006</v>
      </c>
      <c r="F41" s="238"/>
      <c r="G41" s="238"/>
      <c r="H41" s="238"/>
      <c r="I41" s="238"/>
      <c r="J41" s="238"/>
      <c r="K41" s="238"/>
      <c r="L41" s="238"/>
      <c r="M41" s="238"/>
      <c r="N41" s="238">
        <v>1</v>
      </c>
      <c r="O41" s="238">
        <v>84</v>
      </c>
      <c r="P41" s="688"/>
      <c r="Q41" s="719">
        <v>84</v>
      </c>
    </row>
    <row r="42" spans="1:17" ht="14.4" customHeight="1" x14ac:dyDescent="0.3">
      <c r="A42" s="686" t="s">
        <v>1957</v>
      </c>
      <c r="B42" s="677" t="s">
        <v>1958</v>
      </c>
      <c r="C42" s="677" t="s">
        <v>1452</v>
      </c>
      <c r="D42" s="677" t="s">
        <v>2007</v>
      </c>
      <c r="E42" s="677" t="s">
        <v>2008</v>
      </c>
      <c r="F42" s="238"/>
      <c r="G42" s="238"/>
      <c r="H42" s="238"/>
      <c r="I42" s="238"/>
      <c r="J42" s="238">
        <v>1</v>
      </c>
      <c r="K42" s="238">
        <v>15</v>
      </c>
      <c r="L42" s="238"/>
      <c r="M42" s="238">
        <v>15</v>
      </c>
      <c r="N42" s="238">
        <v>5</v>
      </c>
      <c r="O42" s="238">
        <v>75</v>
      </c>
      <c r="P42" s="688"/>
      <c r="Q42" s="719">
        <v>15</v>
      </c>
    </row>
    <row r="43" spans="1:17" ht="14.4" customHeight="1" x14ac:dyDescent="0.3">
      <c r="A43" s="686" t="s">
        <v>1957</v>
      </c>
      <c r="B43" s="677" t="s">
        <v>1958</v>
      </c>
      <c r="C43" s="677" t="s">
        <v>1452</v>
      </c>
      <c r="D43" s="677" t="s">
        <v>2009</v>
      </c>
      <c r="E43" s="677" t="s">
        <v>2010</v>
      </c>
      <c r="F43" s="238">
        <v>1</v>
      </c>
      <c r="G43" s="238">
        <v>23</v>
      </c>
      <c r="H43" s="238">
        <v>1</v>
      </c>
      <c r="I43" s="238">
        <v>23</v>
      </c>
      <c r="J43" s="238"/>
      <c r="K43" s="238"/>
      <c r="L43" s="238"/>
      <c r="M43" s="238"/>
      <c r="N43" s="238"/>
      <c r="O43" s="238"/>
      <c r="P43" s="688"/>
      <c r="Q43" s="719"/>
    </row>
    <row r="44" spans="1:17" ht="14.4" customHeight="1" x14ac:dyDescent="0.3">
      <c r="A44" s="686" t="s">
        <v>1957</v>
      </c>
      <c r="B44" s="677" t="s">
        <v>1958</v>
      </c>
      <c r="C44" s="677" t="s">
        <v>1452</v>
      </c>
      <c r="D44" s="677" t="s">
        <v>2011</v>
      </c>
      <c r="E44" s="677" t="s">
        <v>2012</v>
      </c>
      <c r="F44" s="238"/>
      <c r="G44" s="238"/>
      <c r="H44" s="238"/>
      <c r="I44" s="238"/>
      <c r="J44" s="238">
        <v>1</v>
      </c>
      <c r="K44" s="238">
        <v>37</v>
      </c>
      <c r="L44" s="238"/>
      <c r="M44" s="238">
        <v>37</v>
      </c>
      <c r="N44" s="238"/>
      <c r="O44" s="238"/>
      <c r="P44" s="688"/>
      <c r="Q44" s="719"/>
    </row>
    <row r="45" spans="1:17" ht="14.4" customHeight="1" x14ac:dyDescent="0.3">
      <c r="A45" s="686" t="s">
        <v>1957</v>
      </c>
      <c r="B45" s="677" t="s">
        <v>1958</v>
      </c>
      <c r="C45" s="677" t="s">
        <v>1452</v>
      </c>
      <c r="D45" s="677" t="s">
        <v>2013</v>
      </c>
      <c r="E45" s="677" t="s">
        <v>2014</v>
      </c>
      <c r="F45" s="238">
        <v>17</v>
      </c>
      <c r="G45" s="238">
        <v>391</v>
      </c>
      <c r="H45" s="238">
        <v>1</v>
      </c>
      <c r="I45" s="238">
        <v>23</v>
      </c>
      <c r="J45" s="238">
        <v>14</v>
      </c>
      <c r="K45" s="238">
        <v>322</v>
      </c>
      <c r="L45" s="238">
        <v>0.82352941176470584</v>
      </c>
      <c r="M45" s="238">
        <v>23</v>
      </c>
      <c r="N45" s="238">
        <v>11</v>
      </c>
      <c r="O45" s="238">
        <v>253</v>
      </c>
      <c r="P45" s="688">
        <v>0.6470588235294118</v>
      </c>
      <c r="Q45" s="719">
        <v>23</v>
      </c>
    </row>
    <row r="46" spans="1:17" ht="14.4" customHeight="1" x14ac:dyDescent="0.3">
      <c r="A46" s="686" t="s">
        <v>1957</v>
      </c>
      <c r="B46" s="677" t="s">
        <v>1958</v>
      </c>
      <c r="C46" s="677" t="s">
        <v>1452</v>
      </c>
      <c r="D46" s="677" t="s">
        <v>2015</v>
      </c>
      <c r="E46" s="677" t="s">
        <v>2016</v>
      </c>
      <c r="F46" s="238">
        <v>1</v>
      </c>
      <c r="G46" s="238">
        <v>29</v>
      </c>
      <c r="H46" s="238">
        <v>1</v>
      </c>
      <c r="I46" s="238">
        <v>29</v>
      </c>
      <c r="J46" s="238"/>
      <c r="K46" s="238"/>
      <c r="L46" s="238"/>
      <c r="M46" s="238"/>
      <c r="N46" s="238">
        <v>1</v>
      </c>
      <c r="O46" s="238">
        <v>29</v>
      </c>
      <c r="P46" s="688">
        <v>1</v>
      </c>
      <c r="Q46" s="719">
        <v>29</v>
      </c>
    </row>
    <row r="47" spans="1:17" ht="14.4" customHeight="1" x14ac:dyDescent="0.3">
      <c r="A47" s="686" t="s">
        <v>1957</v>
      </c>
      <c r="B47" s="677" t="s">
        <v>1958</v>
      </c>
      <c r="C47" s="677" t="s">
        <v>1452</v>
      </c>
      <c r="D47" s="677" t="s">
        <v>2017</v>
      </c>
      <c r="E47" s="677" t="s">
        <v>2018</v>
      </c>
      <c r="F47" s="238">
        <v>1</v>
      </c>
      <c r="G47" s="238">
        <v>19</v>
      </c>
      <c r="H47" s="238">
        <v>1</v>
      </c>
      <c r="I47" s="238">
        <v>19</v>
      </c>
      <c r="J47" s="238">
        <v>1</v>
      </c>
      <c r="K47" s="238">
        <v>19</v>
      </c>
      <c r="L47" s="238">
        <v>1</v>
      </c>
      <c r="M47" s="238">
        <v>19</v>
      </c>
      <c r="N47" s="238">
        <v>5</v>
      </c>
      <c r="O47" s="238">
        <v>95</v>
      </c>
      <c r="P47" s="688">
        <v>5</v>
      </c>
      <c r="Q47" s="719">
        <v>19</v>
      </c>
    </row>
    <row r="48" spans="1:17" ht="14.4" customHeight="1" x14ac:dyDescent="0.3">
      <c r="A48" s="686" t="s">
        <v>1957</v>
      </c>
      <c r="B48" s="677" t="s">
        <v>1958</v>
      </c>
      <c r="C48" s="677" t="s">
        <v>1452</v>
      </c>
      <c r="D48" s="677" t="s">
        <v>2019</v>
      </c>
      <c r="E48" s="677" t="s">
        <v>2020</v>
      </c>
      <c r="F48" s="238">
        <v>2</v>
      </c>
      <c r="G48" s="238">
        <v>40</v>
      </c>
      <c r="H48" s="238">
        <v>1</v>
      </c>
      <c r="I48" s="238">
        <v>20</v>
      </c>
      <c r="J48" s="238"/>
      <c r="K48" s="238"/>
      <c r="L48" s="238"/>
      <c r="M48" s="238"/>
      <c r="N48" s="238">
        <v>1</v>
      </c>
      <c r="O48" s="238">
        <v>20</v>
      </c>
      <c r="P48" s="688">
        <v>0.5</v>
      </c>
      <c r="Q48" s="719">
        <v>20</v>
      </c>
    </row>
    <row r="49" spans="1:17" ht="14.4" customHeight="1" x14ac:dyDescent="0.3">
      <c r="A49" s="686" t="s">
        <v>1957</v>
      </c>
      <c r="B49" s="677" t="s">
        <v>1958</v>
      </c>
      <c r="C49" s="677" t="s">
        <v>1452</v>
      </c>
      <c r="D49" s="677" t="s">
        <v>2021</v>
      </c>
      <c r="E49" s="677" t="s">
        <v>2022</v>
      </c>
      <c r="F49" s="238"/>
      <c r="G49" s="238"/>
      <c r="H49" s="238"/>
      <c r="I49" s="238"/>
      <c r="J49" s="238">
        <v>1</v>
      </c>
      <c r="K49" s="238">
        <v>84</v>
      </c>
      <c r="L49" s="238"/>
      <c r="M49" s="238">
        <v>84</v>
      </c>
      <c r="N49" s="238"/>
      <c r="O49" s="238"/>
      <c r="P49" s="688"/>
      <c r="Q49" s="719"/>
    </row>
    <row r="50" spans="1:17" ht="14.4" customHeight="1" x14ac:dyDescent="0.3">
      <c r="A50" s="686" t="s">
        <v>1957</v>
      </c>
      <c r="B50" s="677" t="s">
        <v>1958</v>
      </c>
      <c r="C50" s="677" t="s">
        <v>1452</v>
      </c>
      <c r="D50" s="677" t="s">
        <v>2023</v>
      </c>
      <c r="E50" s="677" t="s">
        <v>2024</v>
      </c>
      <c r="F50" s="238">
        <v>1</v>
      </c>
      <c r="G50" s="238">
        <v>22</v>
      </c>
      <c r="H50" s="238">
        <v>1</v>
      </c>
      <c r="I50" s="238">
        <v>22</v>
      </c>
      <c r="J50" s="238"/>
      <c r="K50" s="238"/>
      <c r="L50" s="238"/>
      <c r="M50" s="238"/>
      <c r="N50" s="238"/>
      <c r="O50" s="238"/>
      <c r="P50" s="688"/>
      <c r="Q50" s="719"/>
    </row>
    <row r="51" spans="1:17" ht="14.4" customHeight="1" x14ac:dyDescent="0.3">
      <c r="A51" s="686" t="s">
        <v>1957</v>
      </c>
      <c r="B51" s="677" t="s">
        <v>1958</v>
      </c>
      <c r="C51" s="677" t="s">
        <v>1452</v>
      </c>
      <c r="D51" s="677" t="s">
        <v>2025</v>
      </c>
      <c r="E51" s="677" t="s">
        <v>2026</v>
      </c>
      <c r="F51" s="238">
        <v>1</v>
      </c>
      <c r="G51" s="238">
        <v>562</v>
      </c>
      <c r="H51" s="238">
        <v>1</v>
      </c>
      <c r="I51" s="238">
        <v>562</v>
      </c>
      <c r="J51" s="238"/>
      <c r="K51" s="238"/>
      <c r="L51" s="238"/>
      <c r="M51" s="238"/>
      <c r="N51" s="238">
        <v>1</v>
      </c>
      <c r="O51" s="238">
        <v>564</v>
      </c>
      <c r="P51" s="688">
        <v>1.0035587188612101</v>
      </c>
      <c r="Q51" s="719">
        <v>564</v>
      </c>
    </row>
    <row r="52" spans="1:17" ht="14.4" customHeight="1" x14ac:dyDescent="0.3">
      <c r="A52" s="686" t="s">
        <v>1957</v>
      </c>
      <c r="B52" s="677" t="s">
        <v>1958</v>
      </c>
      <c r="C52" s="677" t="s">
        <v>1452</v>
      </c>
      <c r="D52" s="677" t="s">
        <v>2027</v>
      </c>
      <c r="E52" s="677" t="s">
        <v>2028</v>
      </c>
      <c r="F52" s="238">
        <v>1</v>
      </c>
      <c r="G52" s="238">
        <v>1000</v>
      </c>
      <c r="H52" s="238">
        <v>1</v>
      </c>
      <c r="I52" s="238">
        <v>1000</v>
      </c>
      <c r="J52" s="238"/>
      <c r="K52" s="238"/>
      <c r="L52" s="238"/>
      <c r="M52" s="238"/>
      <c r="N52" s="238">
        <v>1</v>
      </c>
      <c r="O52" s="238">
        <v>1002</v>
      </c>
      <c r="P52" s="688">
        <v>1.002</v>
      </c>
      <c r="Q52" s="719">
        <v>1002</v>
      </c>
    </row>
    <row r="53" spans="1:17" ht="14.4" customHeight="1" x14ac:dyDescent="0.3">
      <c r="A53" s="686" t="s">
        <v>1957</v>
      </c>
      <c r="B53" s="677" t="s">
        <v>1958</v>
      </c>
      <c r="C53" s="677" t="s">
        <v>1452</v>
      </c>
      <c r="D53" s="677" t="s">
        <v>2029</v>
      </c>
      <c r="E53" s="677" t="s">
        <v>2030</v>
      </c>
      <c r="F53" s="238">
        <v>1</v>
      </c>
      <c r="G53" s="238">
        <v>365</v>
      </c>
      <c r="H53" s="238">
        <v>1</v>
      </c>
      <c r="I53" s="238">
        <v>365</v>
      </c>
      <c r="J53" s="238"/>
      <c r="K53" s="238"/>
      <c r="L53" s="238"/>
      <c r="M53" s="238"/>
      <c r="N53" s="238"/>
      <c r="O53" s="238"/>
      <c r="P53" s="688"/>
      <c r="Q53" s="719"/>
    </row>
    <row r="54" spans="1:17" ht="14.4" customHeight="1" x14ac:dyDescent="0.3">
      <c r="A54" s="686" t="s">
        <v>1957</v>
      </c>
      <c r="B54" s="677" t="s">
        <v>2031</v>
      </c>
      <c r="C54" s="677" t="s">
        <v>1452</v>
      </c>
      <c r="D54" s="677" t="s">
        <v>1991</v>
      </c>
      <c r="E54" s="677" t="s">
        <v>1992</v>
      </c>
      <c r="F54" s="238">
        <v>1</v>
      </c>
      <c r="G54" s="238">
        <v>1236</v>
      </c>
      <c r="H54" s="238">
        <v>1</v>
      </c>
      <c r="I54" s="238">
        <v>1236</v>
      </c>
      <c r="J54" s="238"/>
      <c r="K54" s="238"/>
      <c r="L54" s="238"/>
      <c r="M54" s="238"/>
      <c r="N54" s="238"/>
      <c r="O54" s="238"/>
      <c r="P54" s="688"/>
      <c r="Q54" s="719"/>
    </row>
    <row r="55" spans="1:17" ht="14.4" customHeight="1" x14ac:dyDescent="0.3">
      <c r="A55" s="686" t="s">
        <v>2032</v>
      </c>
      <c r="B55" s="677" t="s">
        <v>2033</v>
      </c>
      <c r="C55" s="677" t="s">
        <v>1543</v>
      </c>
      <c r="D55" s="677" t="s">
        <v>2034</v>
      </c>
      <c r="E55" s="677" t="s">
        <v>2035</v>
      </c>
      <c r="F55" s="238">
        <v>1.2</v>
      </c>
      <c r="G55" s="238">
        <v>1859.79</v>
      </c>
      <c r="H55" s="238">
        <v>1</v>
      </c>
      <c r="I55" s="238">
        <v>1549.825</v>
      </c>
      <c r="J55" s="238"/>
      <c r="K55" s="238"/>
      <c r="L55" s="238"/>
      <c r="M55" s="238"/>
      <c r="N55" s="238"/>
      <c r="O55" s="238"/>
      <c r="P55" s="688"/>
      <c r="Q55" s="719"/>
    </row>
    <row r="56" spans="1:17" ht="14.4" customHeight="1" x14ac:dyDescent="0.3">
      <c r="A56" s="686" t="s">
        <v>2032</v>
      </c>
      <c r="B56" s="677" t="s">
        <v>2033</v>
      </c>
      <c r="C56" s="677" t="s">
        <v>1543</v>
      </c>
      <c r="D56" s="677" t="s">
        <v>2036</v>
      </c>
      <c r="E56" s="677" t="s">
        <v>2037</v>
      </c>
      <c r="F56" s="238">
        <v>0.14000000000000001</v>
      </c>
      <c r="G56" s="238">
        <v>1805.99</v>
      </c>
      <c r="H56" s="238">
        <v>1</v>
      </c>
      <c r="I56" s="238">
        <v>12899.928571428571</v>
      </c>
      <c r="J56" s="238">
        <v>0.04</v>
      </c>
      <c r="K56" s="238">
        <v>413.49</v>
      </c>
      <c r="L56" s="238">
        <v>0.2289547561171435</v>
      </c>
      <c r="M56" s="238">
        <v>10337.25</v>
      </c>
      <c r="N56" s="238">
        <v>0.06</v>
      </c>
      <c r="O56" s="238">
        <v>620.24</v>
      </c>
      <c r="P56" s="688">
        <v>0.34343490274032523</v>
      </c>
      <c r="Q56" s="719">
        <v>10337.333333333334</v>
      </c>
    </row>
    <row r="57" spans="1:17" ht="14.4" customHeight="1" x14ac:dyDescent="0.3">
      <c r="A57" s="686" t="s">
        <v>2032</v>
      </c>
      <c r="B57" s="677" t="s">
        <v>2033</v>
      </c>
      <c r="C57" s="677" t="s">
        <v>1543</v>
      </c>
      <c r="D57" s="677" t="s">
        <v>2038</v>
      </c>
      <c r="E57" s="677" t="s">
        <v>2039</v>
      </c>
      <c r="F57" s="238">
        <v>0.14000000000000001</v>
      </c>
      <c r="G57" s="238">
        <v>1515.73</v>
      </c>
      <c r="H57" s="238">
        <v>1</v>
      </c>
      <c r="I57" s="238">
        <v>10826.642857142857</v>
      </c>
      <c r="J57" s="238">
        <v>0.08</v>
      </c>
      <c r="K57" s="238">
        <v>873.72</v>
      </c>
      <c r="L57" s="238">
        <v>0.57643511707230177</v>
      </c>
      <c r="M57" s="238">
        <v>10921.5</v>
      </c>
      <c r="N57" s="238">
        <v>0.13</v>
      </c>
      <c r="O57" s="238">
        <v>1419.8</v>
      </c>
      <c r="P57" s="688">
        <v>0.9367103639830312</v>
      </c>
      <c r="Q57" s="719">
        <v>10921.538461538461</v>
      </c>
    </row>
    <row r="58" spans="1:17" ht="14.4" customHeight="1" x14ac:dyDescent="0.3">
      <c r="A58" s="686" t="s">
        <v>2032</v>
      </c>
      <c r="B58" s="677" t="s">
        <v>2033</v>
      </c>
      <c r="C58" s="677" t="s">
        <v>1543</v>
      </c>
      <c r="D58" s="677" t="s">
        <v>2040</v>
      </c>
      <c r="E58" s="677" t="s">
        <v>2041</v>
      </c>
      <c r="F58" s="238"/>
      <c r="G58" s="238"/>
      <c r="H58" s="238"/>
      <c r="I58" s="238"/>
      <c r="J58" s="238"/>
      <c r="K58" s="238"/>
      <c r="L58" s="238"/>
      <c r="M58" s="238"/>
      <c r="N58" s="238">
        <v>0.05</v>
      </c>
      <c r="O58" s="238">
        <v>18.96</v>
      </c>
      <c r="P58" s="688"/>
      <c r="Q58" s="719">
        <v>379.2</v>
      </c>
    </row>
    <row r="59" spans="1:17" ht="14.4" customHeight="1" x14ac:dyDescent="0.3">
      <c r="A59" s="686" t="s">
        <v>2032</v>
      </c>
      <c r="B59" s="677" t="s">
        <v>2033</v>
      </c>
      <c r="C59" s="677" t="s">
        <v>1452</v>
      </c>
      <c r="D59" s="677" t="s">
        <v>2042</v>
      </c>
      <c r="E59" s="677" t="s">
        <v>2043</v>
      </c>
      <c r="F59" s="238">
        <v>24</v>
      </c>
      <c r="G59" s="238">
        <v>4896</v>
      </c>
      <c r="H59" s="238">
        <v>1</v>
      </c>
      <c r="I59" s="238">
        <v>204</v>
      </c>
      <c r="J59" s="238">
        <v>7</v>
      </c>
      <c r="K59" s="238">
        <v>1435</v>
      </c>
      <c r="L59" s="238">
        <v>0.29309640522875818</v>
      </c>
      <c r="M59" s="238">
        <v>205</v>
      </c>
      <c r="N59" s="238">
        <v>8</v>
      </c>
      <c r="O59" s="238">
        <v>1640</v>
      </c>
      <c r="P59" s="688">
        <v>0.33496732026143788</v>
      </c>
      <c r="Q59" s="719">
        <v>205</v>
      </c>
    </row>
    <row r="60" spans="1:17" ht="14.4" customHeight="1" x14ac:dyDescent="0.3">
      <c r="A60" s="686" t="s">
        <v>2032</v>
      </c>
      <c r="B60" s="677" t="s">
        <v>2033</v>
      </c>
      <c r="C60" s="677" t="s">
        <v>1452</v>
      </c>
      <c r="D60" s="677" t="s">
        <v>2044</v>
      </c>
      <c r="E60" s="677" t="s">
        <v>2045</v>
      </c>
      <c r="F60" s="238">
        <v>2</v>
      </c>
      <c r="G60" s="238">
        <v>298</v>
      </c>
      <c r="H60" s="238">
        <v>1</v>
      </c>
      <c r="I60" s="238">
        <v>149</v>
      </c>
      <c r="J60" s="238"/>
      <c r="K60" s="238"/>
      <c r="L60" s="238"/>
      <c r="M60" s="238"/>
      <c r="N60" s="238">
        <v>1</v>
      </c>
      <c r="O60" s="238">
        <v>150</v>
      </c>
      <c r="P60" s="688">
        <v>0.50335570469798663</v>
      </c>
      <c r="Q60" s="719">
        <v>150</v>
      </c>
    </row>
    <row r="61" spans="1:17" ht="14.4" customHeight="1" x14ac:dyDescent="0.3">
      <c r="A61" s="686" t="s">
        <v>2032</v>
      </c>
      <c r="B61" s="677" t="s">
        <v>2033</v>
      </c>
      <c r="C61" s="677" t="s">
        <v>1452</v>
      </c>
      <c r="D61" s="677" t="s">
        <v>2046</v>
      </c>
      <c r="E61" s="677" t="s">
        <v>2047</v>
      </c>
      <c r="F61" s="238"/>
      <c r="G61" s="238"/>
      <c r="H61" s="238"/>
      <c r="I61" s="238"/>
      <c r="J61" s="238"/>
      <c r="K61" s="238"/>
      <c r="L61" s="238"/>
      <c r="M61" s="238"/>
      <c r="N61" s="238">
        <v>1</v>
      </c>
      <c r="O61" s="238">
        <v>182</v>
      </c>
      <c r="P61" s="688"/>
      <c r="Q61" s="719">
        <v>182</v>
      </c>
    </row>
    <row r="62" spans="1:17" ht="14.4" customHeight="1" x14ac:dyDescent="0.3">
      <c r="A62" s="686" t="s">
        <v>2032</v>
      </c>
      <c r="B62" s="677" t="s">
        <v>2033</v>
      </c>
      <c r="C62" s="677" t="s">
        <v>1452</v>
      </c>
      <c r="D62" s="677" t="s">
        <v>2048</v>
      </c>
      <c r="E62" s="677" t="s">
        <v>2049</v>
      </c>
      <c r="F62" s="238"/>
      <c r="G62" s="238"/>
      <c r="H62" s="238"/>
      <c r="I62" s="238"/>
      <c r="J62" s="238"/>
      <c r="K62" s="238"/>
      <c r="L62" s="238"/>
      <c r="M62" s="238"/>
      <c r="N62" s="238">
        <v>5</v>
      </c>
      <c r="O62" s="238">
        <v>620</v>
      </c>
      <c r="P62" s="688"/>
      <c r="Q62" s="719">
        <v>124</v>
      </c>
    </row>
    <row r="63" spans="1:17" ht="14.4" customHeight="1" x14ac:dyDescent="0.3">
      <c r="A63" s="686" t="s">
        <v>2032</v>
      </c>
      <c r="B63" s="677" t="s">
        <v>2033</v>
      </c>
      <c r="C63" s="677" t="s">
        <v>1452</v>
      </c>
      <c r="D63" s="677" t="s">
        <v>2050</v>
      </c>
      <c r="E63" s="677" t="s">
        <v>2051</v>
      </c>
      <c r="F63" s="238">
        <v>3</v>
      </c>
      <c r="G63" s="238">
        <v>648</v>
      </c>
      <c r="H63" s="238">
        <v>1</v>
      </c>
      <c r="I63" s="238">
        <v>216</v>
      </c>
      <c r="J63" s="238">
        <v>2</v>
      </c>
      <c r="K63" s="238">
        <v>434</v>
      </c>
      <c r="L63" s="238">
        <v>0.66975308641975306</v>
      </c>
      <c r="M63" s="238">
        <v>217</v>
      </c>
      <c r="N63" s="238"/>
      <c r="O63" s="238"/>
      <c r="P63" s="688"/>
      <c r="Q63" s="719"/>
    </row>
    <row r="64" spans="1:17" ht="14.4" customHeight="1" x14ac:dyDescent="0.3">
      <c r="A64" s="686" t="s">
        <v>2032</v>
      </c>
      <c r="B64" s="677" t="s">
        <v>2033</v>
      </c>
      <c r="C64" s="677" t="s">
        <v>1452</v>
      </c>
      <c r="D64" s="677" t="s">
        <v>2052</v>
      </c>
      <c r="E64" s="677" t="s">
        <v>2053</v>
      </c>
      <c r="F64" s="238"/>
      <c r="G64" s="238"/>
      <c r="H64" s="238"/>
      <c r="I64" s="238"/>
      <c r="J64" s="238"/>
      <c r="K64" s="238"/>
      <c r="L64" s="238"/>
      <c r="M64" s="238"/>
      <c r="N64" s="238">
        <v>1</v>
      </c>
      <c r="O64" s="238">
        <v>217</v>
      </c>
      <c r="P64" s="688"/>
      <c r="Q64" s="719">
        <v>217</v>
      </c>
    </row>
    <row r="65" spans="1:17" ht="14.4" customHeight="1" x14ac:dyDescent="0.3">
      <c r="A65" s="686" t="s">
        <v>2032</v>
      </c>
      <c r="B65" s="677" t="s">
        <v>2033</v>
      </c>
      <c r="C65" s="677" t="s">
        <v>1452</v>
      </c>
      <c r="D65" s="677" t="s">
        <v>2054</v>
      </c>
      <c r="E65" s="677" t="s">
        <v>2055</v>
      </c>
      <c r="F65" s="238">
        <v>1</v>
      </c>
      <c r="G65" s="238">
        <v>325</v>
      </c>
      <c r="H65" s="238">
        <v>1</v>
      </c>
      <c r="I65" s="238">
        <v>325</v>
      </c>
      <c r="J65" s="238"/>
      <c r="K65" s="238"/>
      <c r="L65" s="238"/>
      <c r="M65" s="238"/>
      <c r="N65" s="238"/>
      <c r="O65" s="238"/>
      <c r="P65" s="688"/>
      <c r="Q65" s="719"/>
    </row>
    <row r="66" spans="1:17" ht="14.4" customHeight="1" x14ac:dyDescent="0.3">
      <c r="A66" s="686" t="s">
        <v>2032</v>
      </c>
      <c r="B66" s="677" t="s">
        <v>2033</v>
      </c>
      <c r="C66" s="677" t="s">
        <v>1452</v>
      </c>
      <c r="D66" s="677" t="s">
        <v>2056</v>
      </c>
      <c r="E66" s="677" t="s">
        <v>2057</v>
      </c>
      <c r="F66" s="238">
        <v>2</v>
      </c>
      <c r="G66" s="238">
        <v>8244</v>
      </c>
      <c r="H66" s="238">
        <v>1</v>
      </c>
      <c r="I66" s="238">
        <v>4122</v>
      </c>
      <c r="J66" s="238">
        <v>1</v>
      </c>
      <c r="K66" s="238">
        <v>4127</v>
      </c>
      <c r="L66" s="238">
        <v>0.50060650169820475</v>
      </c>
      <c r="M66" s="238">
        <v>4127</v>
      </c>
      <c r="N66" s="238"/>
      <c r="O66" s="238"/>
      <c r="P66" s="688"/>
      <c r="Q66" s="719"/>
    </row>
    <row r="67" spans="1:17" ht="14.4" customHeight="1" x14ac:dyDescent="0.3">
      <c r="A67" s="686" t="s">
        <v>2032</v>
      </c>
      <c r="B67" s="677" t="s">
        <v>2033</v>
      </c>
      <c r="C67" s="677" t="s">
        <v>1452</v>
      </c>
      <c r="D67" s="677" t="s">
        <v>2058</v>
      </c>
      <c r="E67" s="677" t="s">
        <v>2059</v>
      </c>
      <c r="F67" s="238">
        <v>3</v>
      </c>
      <c r="G67" s="238">
        <v>15435</v>
      </c>
      <c r="H67" s="238">
        <v>1</v>
      </c>
      <c r="I67" s="238">
        <v>5145</v>
      </c>
      <c r="J67" s="238">
        <v>1</v>
      </c>
      <c r="K67" s="238">
        <v>5150</v>
      </c>
      <c r="L67" s="238">
        <v>0.33365727243278265</v>
      </c>
      <c r="M67" s="238">
        <v>5150</v>
      </c>
      <c r="N67" s="238"/>
      <c r="O67" s="238"/>
      <c r="P67" s="688"/>
      <c r="Q67" s="719"/>
    </row>
    <row r="68" spans="1:17" ht="14.4" customHeight="1" x14ac:dyDescent="0.3">
      <c r="A68" s="686" t="s">
        <v>2032</v>
      </c>
      <c r="B68" s="677" t="s">
        <v>2033</v>
      </c>
      <c r="C68" s="677" t="s">
        <v>1452</v>
      </c>
      <c r="D68" s="677" t="s">
        <v>2060</v>
      </c>
      <c r="E68" s="677" t="s">
        <v>2061</v>
      </c>
      <c r="F68" s="238">
        <v>16</v>
      </c>
      <c r="G68" s="238">
        <v>2752</v>
      </c>
      <c r="H68" s="238">
        <v>1</v>
      </c>
      <c r="I68" s="238">
        <v>172</v>
      </c>
      <c r="J68" s="238">
        <v>7</v>
      </c>
      <c r="K68" s="238">
        <v>1211</v>
      </c>
      <c r="L68" s="238">
        <v>0.44004360465116277</v>
      </c>
      <c r="M68" s="238">
        <v>173</v>
      </c>
      <c r="N68" s="238">
        <v>6</v>
      </c>
      <c r="O68" s="238">
        <v>1038</v>
      </c>
      <c r="P68" s="688">
        <v>0.37718023255813954</v>
      </c>
      <c r="Q68" s="719">
        <v>173</v>
      </c>
    </row>
    <row r="69" spans="1:17" ht="14.4" customHeight="1" x14ac:dyDescent="0.3">
      <c r="A69" s="686" t="s">
        <v>2032</v>
      </c>
      <c r="B69" s="677" t="s">
        <v>2033</v>
      </c>
      <c r="C69" s="677" t="s">
        <v>1452</v>
      </c>
      <c r="D69" s="677" t="s">
        <v>2062</v>
      </c>
      <c r="E69" s="677" t="s">
        <v>2063</v>
      </c>
      <c r="F69" s="238">
        <v>13</v>
      </c>
      <c r="G69" s="238">
        <v>25922</v>
      </c>
      <c r="H69" s="238">
        <v>1</v>
      </c>
      <c r="I69" s="238">
        <v>1994</v>
      </c>
      <c r="J69" s="238">
        <v>4</v>
      </c>
      <c r="K69" s="238">
        <v>7984</v>
      </c>
      <c r="L69" s="238">
        <v>0.30800092585448652</v>
      </c>
      <c r="M69" s="238">
        <v>1996</v>
      </c>
      <c r="N69" s="238">
        <v>4</v>
      </c>
      <c r="O69" s="238">
        <v>7984</v>
      </c>
      <c r="P69" s="688">
        <v>0.30800092585448652</v>
      </c>
      <c r="Q69" s="719">
        <v>1996</v>
      </c>
    </row>
    <row r="70" spans="1:17" ht="14.4" customHeight="1" x14ac:dyDescent="0.3">
      <c r="A70" s="686" t="s">
        <v>2032</v>
      </c>
      <c r="B70" s="677" t="s">
        <v>2033</v>
      </c>
      <c r="C70" s="677" t="s">
        <v>1452</v>
      </c>
      <c r="D70" s="677" t="s">
        <v>2064</v>
      </c>
      <c r="E70" s="677" t="s">
        <v>2065</v>
      </c>
      <c r="F70" s="238"/>
      <c r="G70" s="238"/>
      <c r="H70" s="238"/>
      <c r="I70" s="238"/>
      <c r="J70" s="238">
        <v>1</v>
      </c>
      <c r="K70" s="238">
        <v>5180</v>
      </c>
      <c r="L70" s="238"/>
      <c r="M70" s="238">
        <v>5180</v>
      </c>
      <c r="N70" s="238"/>
      <c r="O70" s="238"/>
      <c r="P70" s="688"/>
      <c r="Q70" s="719"/>
    </row>
    <row r="71" spans="1:17" ht="14.4" customHeight="1" x14ac:dyDescent="0.3">
      <c r="A71" s="686" t="s">
        <v>2032</v>
      </c>
      <c r="B71" s="677" t="s">
        <v>2033</v>
      </c>
      <c r="C71" s="677" t="s">
        <v>1452</v>
      </c>
      <c r="D71" s="677" t="s">
        <v>2066</v>
      </c>
      <c r="E71" s="677" t="s">
        <v>2067</v>
      </c>
      <c r="F71" s="238"/>
      <c r="G71" s="238"/>
      <c r="H71" s="238"/>
      <c r="I71" s="238"/>
      <c r="J71" s="238"/>
      <c r="K71" s="238"/>
      <c r="L71" s="238"/>
      <c r="M71" s="238"/>
      <c r="N71" s="238">
        <v>1</v>
      </c>
      <c r="O71" s="238">
        <v>415</v>
      </c>
      <c r="P71" s="688"/>
      <c r="Q71" s="719">
        <v>415</v>
      </c>
    </row>
    <row r="72" spans="1:17" ht="14.4" customHeight="1" x14ac:dyDescent="0.3">
      <c r="A72" s="686" t="s">
        <v>2032</v>
      </c>
      <c r="B72" s="677" t="s">
        <v>2033</v>
      </c>
      <c r="C72" s="677" t="s">
        <v>1452</v>
      </c>
      <c r="D72" s="677" t="s">
        <v>2068</v>
      </c>
      <c r="E72" s="677" t="s">
        <v>2069</v>
      </c>
      <c r="F72" s="238">
        <v>14</v>
      </c>
      <c r="G72" s="238">
        <v>2198</v>
      </c>
      <c r="H72" s="238">
        <v>1</v>
      </c>
      <c r="I72" s="238">
        <v>157</v>
      </c>
      <c r="J72" s="238">
        <v>2</v>
      </c>
      <c r="K72" s="238">
        <v>316</v>
      </c>
      <c r="L72" s="238">
        <v>0.14376706096451319</v>
      </c>
      <c r="M72" s="238">
        <v>158</v>
      </c>
      <c r="N72" s="238">
        <v>10</v>
      </c>
      <c r="O72" s="238">
        <v>1580</v>
      </c>
      <c r="P72" s="688">
        <v>0.71883530482256597</v>
      </c>
      <c r="Q72" s="719">
        <v>158</v>
      </c>
    </row>
    <row r="73" spans="1:17" ht="14.4" customHeight="1" x14ac:dyDescent="0.3">
      <c r="A73" s="686" t="s">
        <v>2032</v>
      </c>
      <c r="B73" s="677" t="s">
        <v>2033</v>
      </c>
      <c r="C73" s="677" t="s">
        <v>1452</v>
      </c>
      <c r="D73" s="677" t="s">
        <v>2070</v>
      </c>
      <c r="E73" s="677" t="s">
        <v>2071</v>
      </c>
      <c r="F73" s="238">
        <v>4</v>
      </c>
      <c r="G73" s="238">
        <v>8464</v>
      </c>
      <c r="H73" s="238">
        <v>1</v>
      </c>
      <c r="I73" s="238">
        <v>2116</v>
      </c>
      <c r="J73" s="238">
        <v>2</v>
      </c>
      <c r="K73" s="238">
        <v>4236</v>
      </c>
      <c r="L73" s="238">
        <v>0.50047258979206044</v>
      </c>
      <c r="M73" s="238">
        <v>2118</v>
      </c>
      <c r="N73" s="238">
        <v>3</v>
      </c>
      <c r="O73" s="238">
        <v>6354</v>
      </c>
      <c r="P73" s="688">
        <v>0.75070888468809072</v>
      </c>
      <c r="Q73" s="719">
        <v>2118</v>
      </c>
    </row>
    <row r="74" spans="1:17" ht="14.4" customHeight="1" x14ac:dyDescent="0.3">
      <c r="A74" s="686" t="s">
        <v>2072</v>
      </c>
      <c r="B74" s="677" t="s">
        <v>2073</v>
      </c>
      <c r="C74" s="677" t="s">
        <v>1452</v>
      </c>
      <c r="D74" s="677" t="s">
        <v>2074</v>
      </c>
      <c r="E74" s="677" t="s">
        <v>2075</v>
      </c>
      <c r="F74" s="238"/>
      <c r="G74" s="238"/>
      <c r="H74" s="238"/>
      <c r="I74" s="238"/>
      <c r="J74" s="238">
        <v>6</v>
      </c>
      <c r="K74" s="238">
        <v>1218</v>
      </c>
      <c r="L74" s="238"/>
      <c r="M74" s="238">
        <v>203</v>
      </c>
      <c r="N74" s="238">
        <v>2</v>
      </c>
      <c r="O74" s="238">
        <v>406</v>
      </c>
      <c r="P74" s="688"/>
      <c r="Q74" s="719">
        <v>203</v>
      </c>
    </row>
    <row r="75" spans="1:17" ht="14.4" customHeight="1" x14ac:dyDescent="0.3">
      <c r="A75" s="686" t="s">
        <v>2072</v>
      </c>
      <c r="B75" s="677" t="s">
        <v>2073</v>
      </c>
      <c r="C75" s="677" t="s">
        <v>1452</v>
      </c>
      <c r="D75" s="677" t="s">
        <v>2076</v>
      </c>
      <c r="E75" s="677" t="s">
        <v>2077</v>
      </c>
      <c r="F75" s="238"/>
      <c r="G75" s="238"/>
      <c r="H75" s="238"/>
      <c r="I75" s="238"/>
      <c r="J75" s="238"/>
      <c r="K75" s="238"/>
      <c r="L75" s="238"/>
      <c r="M75" s="238"/>
      <c r="N75" s="238">
        <v>12</v>
      </c>
      <c r="O75" s="238">
        <v>3504</v>
      </c>
      <c r="P75" s="688"/>
      <c r="Q75" s="719">
        <v>292</v>
      </c>
    </row>
    <row r="76" spans="1:17" ht="14.4" customHeight="1" x14ac:dyDescent="0.3">
      <c r="A76" s="686" t="s">
        <v>2072</v>
      </c>
      <c r="B76" s="677" t="s">
        <v>2073</v>
      </c>
      <c r="C76" s="677" t="s">
        <v>1452</v>
      </c>
      <c r="D76" s="677" t="s">
        <v>2078</v>
      </c>
      <c r="E76" s="677" t="s">
        <v>2079</v>
      </c>
      <c r="F76" s="238">
        <v>2</v>
      </c>
      <c r="G76" s="238">
        <v>266</v>
      </c>
      <c r="H76" s="238">
        <v>1</v>
      </c>
      <c r="I76" s="238">
        <v>133</v>
      </c>
      <c r="J76" s="238">
        <v>5</v>
      </c>
      <c r="K76" s="238">
        <v>670</v>
      </c>
      <c r="L76" s="238">
        <v>2.518796992481203</v>
      </c>
      <c r="M76" s="238">
        <v>134</v>
      </c>
      <c r="N76" s="238">
        <v>7</v>
      </c>
      <c r="O76" s="238">
        <v>938</v>
      </c>
      <c r="P76" s="688">
        <v>3.5263157894736841</v>
      </c>
      <c r="Q76" s="719">
        <v>134</v>
      </c>
    </row>
    <row r="77" spans="1:17" ht="14.4" customHeight="1" x14ac:dyDescent="0.3">
      <c r="A77" s="686" t="s">
        <v>2072</v>
      </c>
      <c r="B77" s="677" t="s">
        <v>2073</v>
      </c>
      <c r="C77" s="677" t="s">
        <v>1452</v>
      </c>
      <c r="D77" s="677" t="s">
        <v>2080</v>
      </c>
      <c r="E77" s="677" t="s">
        <v>2081</v>
      </c>
      <c r="F77" s="238"/>
      <c r="G77" s="238"/>
      <c r="H77" s="238"/>
      <c r="I77" s="238"/>
      <c r="J77" s="238"/>
      <c r="K77" s="238"/>
      <c r="L77" s="238"/>
      <c r="M77" s="238"/>
      <c r="N77" s="238">
        <v>1</v>
      </c>
      <c r="O77" s="238">
        <v>159</v>
      </c>
      <c r="P77" s="688"/>
      <c r="Q77" s="719">
        <v>159</v>
      </c>
    </row>
    <row r="78" spans="1:17" ht="14.4" customHeight="1" x14ac:dyDescent="0.3">
      <c r="A78" s="686" t="s">
        <v>2072</v>
      </c>
      <c r="B78" s="677" t="s">
        <v>2073</v>
      </c>
      <c r="C78" s="677" t="s">
        <v>1452</v>
      </c>
      <c r="D78" s="677" t="s">
        <v>2082</v>
      </c>
      <c r="E78" s="677" t="s">
        <v>2083</v>
      </c>
      <c r="F78" s="238"/>
      <c r="G78" s="238"/>
      <c r="H78" s="238"/>
      <c r="I78" s="238"/>
      <c r="J78" s="238">
        <v>4</v>
      </c>
      <c r="K78" s="238">
        <v>1048</v>
      </c>
      <c r="L78" s="238"/>
      <c r="M78" s="238">
        <v>262</v>
      </c>
      <c r="N78" s="238">
        <v>1</v>
      </c>
      <c r="O78" s="238">
        <v>262</v>
      </c>
      <c r="P78" s="688"/>
      <c r="Q78" s="719">
        <v>262</v>
      </c>
    </row>
    <row r="79" spans="1:17" ht="14.4" customHeight="1" x14ac:dyDescent="0.3">
      <c r="A79" s="686" t="s">
        <v>2072</v>
      </c>
      <c r="B79" s="677" t="s">
        <v>2073</v>
      </c>
      <c r="C79" s="677" t="s">
        <v>1452</v>
      </c>
      <c r="D79" s="677" t="s">
        <v>2084</v>
      </c>
      <c r="E79" s="677" t="s">
        <v>2085</v>
      </c>
      <c r="F79" s="238"/>
      <c r="G79" s="238"/>
      <c r="H79" s="238"/>
      <c r="I79" s="238"/>
      <c r="J79" s="238">
        <v>4</v>
      </c>
      <c r="K79" s="238">
        <v>564</v>
      </c>
      <c r="L79" s="238"/>
      <c r="M79" s="238">
        <v>141</v>
      </c>
      <c r="N79" s="238"/>
      <c r="O79" s="238"/>
      <c r="P79" s="688"/>
      <c r="Q79" s="719"/>
    </row>
    <row r="80" spans="1:17" ht="14.4" customHeight="1" x14ac:dyDescent="0.3">
      <c r="A80" s="686" t="s">
        <v>2072</v>
      </c>
      <c r="B80" s="677" t="s">
        <v>2073</v>
      </c>
      <c r="C80" s="677" t="s">
        <v>1452</v>
      </c>
      <c r="D80" s="677" t="s">
        <v>2086</v>
      </c>
      <c r="E80" s="677" t="s">
        <v>2085</v>
      </c>
      <c r="F80" s="238">
        <v>2</v>
      </c>
      <c r="G80" s="238">
        <v>156</v>
      </c>
      <c r="H80" s="238">
        <v>1</v>
      </c>
      <c r="I80" s="238">
        <v>78</v>
      </c>
      <c r="J80" s="238">
        <v>5</v>
      </c>
      <c r="K80" s="238">
        <v>390</v>
      </c>
      <c r="L80" s="238">
        <v>2.5</v>
      </c>
      <c r="M80" s="238">
        <v>78</v>
      </c>
      <c r="N80" s="238">
        <v>7</v>
      </c>
      <c r="O80" s="238">
        <v>546</v>
      </c>
      <c r="P80" s="688">
        <v>3.5</v>
      </c>
      <c r="Q80" s="719">
        <v>78</v>
      </c>
    </row>
    <row r="81" spans="1:17" ht="14.4" customHeight="1" x14ac:dyDescent="0.3">
      <c r="A81" s="686" t="s">
        <v>2072</v>
      </c>
      <c r="B81" s="677" t="s">
        <v>2073</v>
      </c>
      <c r="C81" s="677" t="s">
        <v>1452</v>
      </c>
      <c r="D81" s="677" t="s">
        <v>2087</v>
      </c>
      <c r="E81" s="677" t="s">
        <v>2088</v>
      </c>
      <c r="F81" s="238"/>
      <c r="G81" s="238"/>
      <c r="H81" s="238"/>
      <c r="I81" s="238"/>
      <c r="J81" s="238">
        <v>4</v>
      </c>
      <c r="K81" s="238">
        <v>1212</v>
      </c>
      <c r="L81" s="238"/>
      <c r="M81" s="238">
        <v>303</v>
      </c>
      <c r="N81" s="238"/>
      <c r="O81" s="238"/>
      <c r="P81" s="688"/>
      <c r="Q81" s="719"/>
    </row>
    <row r="82" spans="1:17" ht="14.4" customHeight="1" x14ac:dyDescent="0.3">
      <c r="A82" s="686" t="s">
        <v>2072</v>
      </c>
      <c r="B82" s="677" t="s">
        <v>2073</v>
      </c>
      <c r="C82" s="677" t="s">
        <v>1452</v>
      </c>
      <c r="D82" s="677" t="s">
        <v>2089</v>
      </c>
      <c r="E82" s="677" t="s">
        <v>2090</v>
      </c>
      <c r="F82" s="238">
        <v>6</v>
      </c>
      <c r="G82" s="238">
        <v>954</v>
      </c>
      <c r="H82" s="238">
        <v>1</v>
      </c>
      <c r="I82" s="238">
        <v>159</v>
      </c>
      <c r="J82" s="238">
        <v>4</v>
      </c>
      <c r="K82" s="238">
        <v>640</v>
      </c>
      <c r="L82" s="238">
        <v>0.67085953878406712</v>
      </c>
      <c r="M82" s="238">
        <v>160</v>
      </c>
      <c r="N82" s="238">
        <v>6</v>
      </c>
      <c r="O82" s="238">
        <v>960</v>
      </c>
      <c r="P82" s="688">
        <v>1.0062893081761006</v>
      </c>
      <c r="Q82" s="719">
        <v>160</v>
      </c>
    </row>
    <row r="83" spans="1:17" ht="14.4" customHeight="1" x14ac:dyDescent="0.3">
      <c r="A83" s="686" t="s">
        <v>2072</v>
      </c>
      <c r="B83" s="677" t="s">
        <v>2073</v>
      </c>
      <c r="C83" s="677" t="s">
        <v>1452</v>
      </c>
      <c r="D83" s="677" t="s">
        <v>2091</v>
      </c>
      <c r="E83" s="677" t="s">
        <v>2075</v>
      </c>
      <c r="F83" s="238">
        <v>4</v>
      </c>
      <c r="G83" s="238">
        <v>280</v>
      </c>
      <c r="H83" s="238">
        <v>1</v>
      </c>
      <c r="I83" s="238">
        <v>70</v>
      </c>
      <c r="J83" s="238">
        <v>10</v>
      </c>
      <c r="K83" s="238">
        <v>700</v>
      </c>
      <c r="L83" s="238">
        <v>2.5</v>
      </c>
      <c r="M83" s="238">
        <v>70</v>
      </c>
      <c r="N83" s="238">
        <v>15</v>
      </c>
      <c r="O83" s="238">
        <v>1050</v>
      </c>
      <c r="P83" s="688">
        <v>3.75</v>
      </c>
      <c r="Q83" s="719">
        <v>70</v>
      </c>
    </row>
    <row r="84" spans="1:17" ht="14.4" customHeight="1" x14ac:dyDescent="0.3">
      <c r="A84" s="686" t="s">
        <v>2072</v>
      </c>
      <c r="B84" s="677" t="s">
        <v>2073</v>
      </c>
      <c r="C84" s="677" t="s">
        <v>1452</v>
      </c>
      <c r="D84" s="677" t="s">
        <v>2092</v>
      </c>
      <c r="E84" s="677" t="s">
        <v>2093</v>
      </c>
      <c r="F84" s="238"/>
      <c r="G84" s="238"/>
      <c r="H84" s="238"/>
      <c r="I84" s="238"/>
      <c r="J84" s="238"/>
      <c r="K84" s="238"/>
      <c r="L84" s="238"/>
      <c r="M84" s="238"/>
      <c r="N84" s="238">
        <v>2</v>
      </c>
      <c r="O84" s="238">
        <v>2378</v>
      </c>
      <c r="P84" s="688"/>
      <c r="Q84" s="719">
        <v>1189</v>
      </c>
    </row>
    <row r="85" spans="1:17" ht="14.4" customHeight="1" x14ac:dyDescent="0.3">
      <c r="A85" s="686" t="s">
        <v>2072</v>
      </c>
      <c r="B85" s="677" t="s">
        <v>2073</v>
      </c>
      <c r="C85" s="677" t="s">
        <v>1452</v>
      </c>
      <c r="D85" s="677" t="s">
        <v>2094</v>
      </c>
      <c r="E85" s="677" t="s">
        <v>2095</v>
      </c>
      <c r="F85" s="238"/>
      <c r="G85" s="238"/>
      <c r="H85" s="238"/>
      <c r="I85" s="238"/>
      <c r="J85" s="238"/>
      <c r="K85" s="238"/>
      <c r="L85" s="238"/>
      <c r="M85" s="238"/>
      <c r="N85" s="238">
        <v>1</v>
      </c>
      <c r="O85" s="238">
        <v>108</v>
      </c>
      <c r="P85" s="688"/>
      <c r="Q85" s="719">
        <v>108</v>
      </c>
    </row>
    <row r="86" spans="1:17" ht="14.4" customHeight="1" x14ac:dyDescent="0.3">
      <c r="A86" s="686" t="s">
        <v>2096</v>
      </c>
      <c r="B86" s="677" t="s">
        <v>2097</v>
      </c>
      <c r="C86" s="677" t="s">
        <v>1452</v>
      </c>
      <c r="D86" s="677" t="s">
        <v>2098</v>
      </c>
      <c r="E86" s="677" t="s">
        <v>2099</v>
      </c>
      <c r="F86" s="238">
        <v>94</v>
      </c>
      <c r="G86" s="238">
        <v>4982</v>
      </c>
      <c r="H86" s="238">
        <v>1</v>
      </c>
      <c r="I86" s="238">
        <v>53</v>
      </c>
      <c r="J86" s="238">
        <v>58</v>
      </c>
      <c r="K86" s="238">
        <v>3074</v>
      </c>
      <c r="L86" s="238">
        <v>0.61702127659574468</v>
      </c>
      <c r="M86" s="238">
        <v>53</v>
      </c>
      <c r="N86" s="238">
        <v>94</v>
      </c>
      <c r="O86" s="238">
        <v>4982</v>
      </c>
      <c r="P86" s="688">
        <v>1</v>
      </c>
      <c r="Q86" s="719">
        <v>53</v>
      </c>
    </row>
    <row r="87" spans="1:17" ht="14.4" customHeight="1" x14ac:dyDescent="0.3">
      <c r="A87" s="686" t="s">
        <v>2096</v>
      </c>
      <c r="B87" s="677" t="s">
        <v>2097</v>
      </c>
      <c r="C87" s="677" t="s">
        <v>1452</v>
      </c>
      <c r="D87" s="677" t="s">
        <v>2100</v>
      </c>
      <c r="E87" s="677" t="s">
        <v>2101</v>
      </c>
      <c r="F87" s="238">
        <v>8</v>
      </c>
      <c r="G87" s="238">
        <v>960</v>
      </c>
      <c r="H87" s="238">
        <v>1</v>
      </c>
      <c r="I87" s="238">
        <v>120</v>
      </c>
      <c r="J87" s="238">
        <v>11</v>
      </c>
      <c r="K87" s="238">
        <v>1331</v>
      </c>
      <c r="L87" s="238">
        <v>1.3864583333333333</v>
      </c>
      <c r="M87" s="238">
        <v>121</v>
      </c>
      <c r="N87" s="238">
        <v>14</v>
      </c>
      <c r="O87" s="238">
        <v>1694</v>
      </c>
      <c r="P87" s="688">
        <v>1.7645833333333334</v>
      </c>
      <c r="Q87" s="719">
        <v>121</v>
      </c>
    </row>
    <row r="88" spans="1:17" ht="14.4" customHeight="1" x14ac:dyDescent="0.3">
      <c r="A88" s="686" t="s">
        <v>2096</v>
      </c>
      <c r="B88" s="677" t="s">
        <v>2097</v>
      </c>
      <c r="C88" s="677" t="s">
        <v>1452</v>
      </c>
      <c r="D88" s="677" t="s">
        <v>2102</v>
      </c>
      <c r="E88" s="677" t="s">
        <v>2103</v>
      </c>
      <c r="F88" s="238">
        <v>9</v>
      </c>
      <c r="G88" s="238">
        <v>1503</v>
      </c>
      <c r="H88" s="238">
        <v>1</v>
      </c>
      <c r="I88" s="238">
        <v>167</v>
      </c>
      <c r="J88" s="238">
        <v>10</v>
      </c>
      <c r="K88" s="238">
        <v>1680</v>
      </c>
      <c r="L88" s="238">
        <v>1.1177644710578842</v>
      </c>
      <c r="M88" s="238">
        <v>168</v>
      </c>
      <c r="N88" s="238">
        <v>13</v>
      </c>
      <c r="O88" s="238">
        <v>2184</v>
      </c>
      <c r="P88" s="688">
        <v>1.4530938123752495</v>
      </c>
      <c r="Q88" s="719">
        <v>168</v>
      </c>
    </row>
    <row r="89" spans="1:17" ht="14.4" customHeight="1" x14ac:dyDescent="0.3">
      <c r="A89" s="686" t="s">
        <v>2096</v>
      </c>
      <c r="B89" s="677" t="s">
        <v>2097</v>
      </c>
      <c r="C89" s="677" t="s">
        <v>1452</v>
      </c>
      <c r="D89" s="677" t="s">
        <v>2104</v>
      </c>
      <c r="E89" s="677" t="s">
        <v>2105</v>
      </c>
      <c r="F89" s="238"/>
      <c r="G89" s="238"/>
      <c r="H89" s="238"/>
      <c r="I89" s="238"/>
      <c r="J89" s="238">
        <v>3</v>
      </c>
      <c r="K89" s="238">
        <v>948</v>
      </c>
      <c r="L89" s="238"/>
      <c r="M89" s="238">
        <v>316</v>
      </c>
      <c r="N89" s="238">
        <v>6</v>
      </c>
      <c r="O89" s="238">
        <v>1896</v>
      </c>
      <c r="P89" s="688"/>
      <c r="Q89" s="719">
        <v>316</v>
      </c>
    </row>
    <row r="90" spans="1:17" ht="14.4" customHeight="1" x14ac:dyDescent="0.3">
      <c r="A90" s="686" t="s">
        <v>2096</v>
      </c>
      <c r="B90" s="677" t="s">
        <v>2097</v>
      </c>
      <c r="C90" s="677" t="s">
        <v>1452</v>
      </c>
      <c r="D90" s="677" t="s">
        <v>2106</v>
      </c>
      <c r="E90" s="677" t="s">
        <v>2107</v>
      </c>
      <c r="F90" s="238"/>
      <c r="G90" s="238"/>
      <c r="H90" s="238"/>
      <c r="I90" s="238"/>
      <c r="J90" s="238">
        <v>1</v>
      </c>
      <c r="K90" s="238">
        <v>435</v>
      </c>
      <c r="L90" s="238"/>
      <c r="M90" s="238">
        <v>435</v>
      </c>
      <c r="N90" s="238">
        <v>1</v>
      </c>
      <c r="O90" s="238">
        <v>435</v>
      </c>
      <c r="P90" s="688"/>
      <c r="Q90" s="719">
        <v>435</v>
      </c>
    </row>
    <row r="91" spans="1:17" ht="14.4" customHeight="1" x14ac:dyDescent="0.3">
      <c r="A91" s="686" t="s">
        <v>2096</v>
      </c>
      <c r="B91" s="677" t="s">
        <v>2097</v>
      </c>
      <c r="C91" s="677" t="s">
        <v>1452</v>
      </c>
      <c r="D91" s="677" t="s">
        <v>2108</v>
      </c>
      <c r="E91" s="677" t="s">
        <v>2109</v>
      </c>
      <c r="F91" s="238">
        <v>3</v>
      </c>
      <c r="G91" s="238">
        <v>1011</v>
      </c>
      <c r="H91" s="238">
        <v>1</v>
      </c>
      <c r="I91" s="238">
        <v>337</v>
      </c>
      <c r="J91" s="238">
        <v>15</v>
      </c>
      <c r="K91" s="238">
        <v>5070</v>
      </c>
      <c r="L91" s="238">
        <v>5.0148367952522257</v>
      </c>
      <c r="M91" s="238">
        <v>338</v>
      </c>
      <c r="N91" s="238">
        <v>14</v>
      </c>
      <c r="O91" s="238">
        <v>4732</v>
      </c>
      <c r="P91" s="688">
        <v>4.6805143422354103</v>
      </c>
      <c r="Q91" s="719">
        <v>338</v>
      </c>
    </row>
    <row r="92" spans="1:17" ht="14.4" customHeight="1" x14ac:dyDescent="0.3">
      <c r="A92" s="686" t="s">
        <v>2096</v>
      </c>
      <c r="B92" s="677" t="s">
        <v>2097</v>
      </c>
      <c r="C92" s="677" t="s">
        <v>1452</v>
      </c>
      <c r="D92" s="677" t="s">
        <v>2110</v>
      </c>
      <c r="E92" s="677" t="s">
        <v>2111</v>
      </c>
      <c r="F92" s="238"/>
      <c r="G92" s="238"/>
      <c r="H92" s="238"/>
      <c r="I92" s="238"/>
      <c r="J92" s="238"/>
      <c r="K92" s="238"/>
      <c r="L92" s="238"/>
      <c r="M92" s="238"/>
      <c r="N92" s="238">
        <v>1</v>
      </c>
      <c r="O92" s="238">
        <v>664</v>
      </c>
      <c r="P92" s="688"/>
      <c r="Q92" s="719">
        <v>664</v>
      </c>
    </row>
    <row r="93" spans="1:17" ht="14.4" customHeight="1" x14ac:dyDescent="0.3">
      <c r="A93" s="686" t="s">
        <v>2096</v>
      </c>
      <c r="B93" s="677" t="s">
        <v>2097</v>
      </c>
      <c r="C93" s="677" t="s">
        <v>1452</v>
      </c>
      <c r="D93" s="677" t="s">
        <v>2112</v>
      </c>
      <c r="E93" s="677" t="s">
        <v>2113</v>
      </c>
      <c r="F93" s="238">
        <v>42</v>
      </c>
      <c r="G93" s="238">
        <v>11760</v>
      </c>
      <c r="H93" s="238">
        <v>1</v>
      </c>
      <c r="I93" s="238">
        <v>280</v>
      </c>
      <c r="J93" s="238">
        <v>23</v>
      </c>
      <c r="K93" s="238">
        <v>6463</v>
      </c>
      <c r="L93" s="238">
        <v>0.54957482993197282</v>
      </c>
      <c r="M93" s="238">
        <v>281</v>
      </c>
      <c r="N93" s="238">
        <v>35</v>
      </c>
      <c r="O93" s="238">
        <v>9835</v>
      </c>
      <c r="P93" s="688">
        <v>0.83630952380952384</v>
      </c>
      <c r="Q93" s="719">
        <v>281</v>
      </c>
    </row>
    <row r="94" spans="1:17" ht="14.4" customHeight="1" x14ac:dyDescent="0.3">
      <c r="A94" s="686" t="s">
        <v>2096</v>
      </c>
      <c r="B94" s="677" t="s">
        <v>2097</v>
      </c>
      <c r="C94" s="677" t="s">
        <v>1452</v>
      </c>
      <c r="D94" s="677" t="s">
        <v>2114</v>
      </c>
      <c r="E94" s="677" t="s">
        <v>2115</v>
      </c>
      <c r="F94" s="238">
        <v>10</v>
      </c>
      <c r="G94" s="238">
        <v>4530</v>
      </c>
      <c r="H94" s="238">
        <v>1</v>
      </c>
      <c r="I94" s="238">
        <v>453</v>
      </c>
      <c r="J94" s="238">
        <v>6</v>
      </c>
      <c r="K94" s="238">
        <v>2736</v>
      </c>
      <c r="L94" s="238">
        <v>0.60397350993377485</v>
      </c>
      <c r="M94" s="238">
        <v>456</v>
      </c>
      <c r="N94" s="238">
        <v>12</v>
      </c>
      <c r="O94" s="238">
        <v>5472</v>
      </c>
      <c r="P94" s="688">
        <v>1.2079470198675497</v>
      </c>
      <c r="Q94" s="719">
        <v>456</v>
      </c>
    </row>
    <row r="95" spans="1:17" ht="14.4" customHeight="1" x14ac:dyDescent="0.3">
      <c r="A95" s="686" t="s">
        <v>2096</v>
      </c>
      <c r="B95" s="677" t="s">
        <v>2097</v>
      </c>
      <c r="C95" s="677" t="s">
        <v>1452</v>
      </c>
      <c r="D95" s="677" t="s">
        <v>2116</v>
      </c>
      <c r="E95" s="677" t="s">
        <v>2117</v>
      </c>
      <c r="F95" s="238">
        <v>45</v>
      </c>
      <c r="G95" s="238">
        <v>15525</v>
      </c>
      <c r="H95" s="238">
        <v>1</v>
      </c>
      <c r="I95" s="238">
        <v>345</v>
      </c>
      <c r="J95" s="238">
        <v>33</v>
      </c>
      <c r="K95" s="238">
        <v>11484</v>
      </c>
      <c r="L95" s="238">
        <v>0.73971014492753628</v>
      </c>
      <c r="M95" s="238">
        <v>348</v>
      </c>
      <c r="N95" s="238">
        <v>46</v>
      </c>
      <c r="O95" s="238">
        <v>16008</v>
      </c>
      <c r="P95" s="688">
        <v>1.0311111111111111</v>
      </c>
      <c r="Q95" s="719">
        <v>348</v>
      </c>
    </row>
    <row r="96" spans="1:17" ht="14.4" customHeight="1" x14ac:dyDescent="0.3">
      <c r="A96" s="686" t="s">
        <v>2096</v>
      </c>
      <c r="B96" s="677" t="s">
        <v>2097</v>
      </c>
      <c r="C96" s="677" t="s">
        <v>1452</v>
      </c>
      <c r="D96" s="677" t="s">
        <v>2118</v>
      </c>
      <c r="E96" s="677" t="s">
        <v>2119</v>
      </c>
      <c r="F96" s="238"/>
      <c r="G96" s="238"/>
      <c r="H96" s="238"/>
      <c r="I96" s="238"/>
      <c r="J96" s="238"/>
      <c r="K96" s="238"/>
      <c r="L96" s="238"/>
      <c r="M96" s="238"/>
      <c r="N96" s="238">
        <v>1</v>
      </c>
      <c r="O96" s="238">
        <v>103</v>
      </c>
      <c r="P96" s="688"/>
      <c r="Q96" s="719">
        <v>103</v>
      </c>
    </row>
    <row r="97" spans="1:17" ht="14.4" customHeight="1" x14ac:dyDescent="0.3">
      <c r="A97" s="686" t="s">
        <v>2096</v>
      </c>
      <c r="B97" s="677" t="s">
        <v>2097</v>
      </c>
      <c r="C97" s="677" t="s">
        <v>1452</v>
      </c>
      <c r="D97" s="677" t="s">
        <v>2120</v>
      </c>
      <c r="E97" s="677" t="s">
        <v>2121</v>
      </c>
      <c r="F97" s="238"/>
      <c r="G97" s="238"/>
      <c r="H97" s="238"/>
      <c r="I97" s="238"/>
      <c r="J97" s="238">
        <v>5</v>
      </c>
      <c r="K97" s="238">
        <v>575</v>
      </c>
      <c r="L97" s="238"/>
      <c r="M97" s="238">
        <v>115</v>
      </c>
      <c r="N97" s="238">
        <v>1</v>
      </c>
      <c r="O97" s="238">
        <v>115</v>
      </c>
      <c r="P97" s="688"/>
      <c r="Q97" s="719">
        <v>115</v>
      </c>
    </row>
    <row r="98" spans="1:17" ht="14.4" customHeight="1" x14ac:dyDescent="0.3">
      <c r="A98" s="686" t="s">
        <v>2096</v>
      </c>
      <c r="B98" s="677" t="s">
        <v>2097</v>
      </c>
      <c r="C98" s="677" t="s">
        <v>1452</v>
      </c>
      <c r="D98" s="677" t="s">
        <v>2122</v>
      </c>
      <c r="E98" s="677" t="s">
        <v>2123</v>
      </c>
      <c r="F98" s="238"/>
      <c r="G98" s="238"/>
      <c r="H98" s="238"/>
      <c r="I98" s="238"/>
      <c r="J98" s="238"/>
      <c r="K98" s="238"/>
      <c r="L98" s="238"/>
      <c r="M98" s="238"/>
      <c r="N98" s="238">
        <v>1</v>
      </c>
      <c r="O98" s="238">
        <v>457</v>
      </c>
      <c r="P98" s="688"/>
      <c r="Q98" s="719">
        <v>457</v>
      </c>
    </row>
    <row r="99" spans="1:17" ht="14.4" customHeight="1" x14ac:dyDescent="0.3">
      <c r="A99" s="686" t="s">
        <v>2096</v>
      </c>
      <c r="B99" s="677" t="s">
        <v>2097</v>
      </c>
      <c r="C99" s="677" t="s">
        <v>1452</v>
      </c>
      <c r="D99" s="677" t="s">
        <v>2124</v>
      </c>
      <c r="E99" s="677" t="s">
        <v>2125</v>
      </c>
      <c r="F99" s="238"/>
      <c r="G99" s="238"/>
      <c r="H99" s="238"/>
      <c r="I99" s="238"/>
      <c r="J99" s="238">
        <v>1</v>
      </c>
      <c r="K99" s="238">
        <v>429</v>
      </c>
      <c r="L99" s="238"/>
      <c r="M99" s="238">
        <v>429</v>
      </c>
      <c r="N99" s="238">
        <v>2</v>
      </c>
      <c r="O99" s="238">
        <v>858</v>
      </c>
      <c r="P99" s="688"/>
      <c r="Q99" s="719">
        <v>429</v>
      </c>
    </row>
    <row r="100" spans="1:17" ht="14.4" customHeight="1" x14ac:dyDescent="0.3">
      <c r="A100" s="686" t="s">
        <v>2096</v>
      </c>
      <c r="B100" s="677" t="s">
        <v>2097</v>
      </c>
      <c r="C100" s="677" t="s">
        <v>1452</v>
      </c>
      <c r="D100" s="677" t="s">
        <v>2126</v>
      </c>
      <c r="E100" s="677" t="s">
        <v>2127</v>
      </c>
      <c r="F100" s="238">
        <v>10</v>
      </c>
      <c r="G100" s="238">
        <v>530</v>
      </c>
      <c r="H100" s="238">
        <v>1</v>
      </c>
      <c r="I100" s="238">
        <v>53</v>
      </c>
      <c r="J100" s="238">
        <v>8</v>
      </c>
      <c r="K100" s="238">
        <v>424</v>
      </c>
      <c r="L100" s="238">
        <v>0.8</v>
      </c>
      <c r="M100" s="238">
        <v>53</v>
      </c>
      <c r="N100" s="238">
        <v>18</v>
      </c>
      <c r="O100" s="238">
        <v>954</v>
      </c>
      <c r="P100" s="688">
        <v>1.8</v>
      </c>
      <c r="Q100" s="719">
        <v>53</v>
      </c>
    </row>
    <row r="101" spans="1:17" ht="14.4" customHeight="1" x14ac:dyDescent="0.3">
      <c r="A101" s="686" t="s">
        <v>2096</v>
      </c>
      <c r="B101" s="677" t="s">
        <v>2097</v>
      </c>
      <c r="C101" s="677" t="s">
        <v>1452</v>
      </c>
      <c r="D101" s="677" t="s">
        <v>2128</v>
      </c>
      <c r="E101" s="677" t="s">
        <v>2129</v>
      </c>
      <c r="F101" s="238">
        <v>45</v>
      </c>
      <c r="G101" s="238">
        <v>7380</v>
      </c>
      <c r="H101" s="238">
        <v>1</v>
      </c>
      <c r="I101" s="238">
        <v>164</v>
      </c>
      <c r="J101" s="238">
        <v>82</v>
      </c>
      <c r="K101" s="238">
        <v>13530</v>
      </c>
      <c r="L101" s="238">
        <v>1.8333333333333333</v>
      </c>
      <c r="M101" s="238">
        <v>165</v>
      </c>
      <c r="N101" s="238">
        <v>65</v>
      </c>
      <c r="O101" s="238">
        <v>10725</v>
      </c>
      <c r="P101" s="688">
        <v>1.4532520325203253</v>
      </c>
      <c r="Q101" s="719">
        <v>165</v>
      </c>
    </row>
    <row r="102" spans="1:17" ht="14.4" customHeight="1" x14ac:dyDescent="0.3">
      <c r="A102" s="686" t="s">
        <v>2096</v>
      </c>
      <c r="B102" s="677" t="s">
        <v>2097</v>
      </c>
      <c r="C102" s="677" t="s">
        <v>1452</v>
      </c>
      <c r="D102" s="677" t="s">
        <v>2130</v>
      </c>
      <c r="E102" s="677" t="s">
        <v>2131</v>
      </c>
      <c r="F102" s="238"/>
      <c r="G102" s="238"/>
      <c r="H102" s="238"/>
      <c r="I102" s="238"/>
      <c r="J102" s="238"/>
      <c r="K102" s="238"/>
      <c r="L102" s="238"/>
      <c r="M102" s="238"/>
      <c r="N102" s="238">
        <v>1</v>
      </c>
      <c r="O102" s="238">
        <v>79</v>
      </c>
      <c r="P102" s="688"/>
      <c r="Q102" s="719">
        <v>79</v>
      </c>
    </row>
    <row r="103" spans="1:17" ht="14.4" customHeight="1" x14ac:dyDescent="0.3">
      <c r="A103" s="686" t="s">
        <v>2096</v>
      </c>
      <c r="B103" s="677" t="s">
        <v>2097</v>
      </c>
      <c r="C103" s="677" t="s">
        <v>1452</v>
      </c>
      <c r="D103" s="677" t="s">
        <v>2132</v>
      </c>
      <c r="E103" s="677" t="s">
        <v>2133</v>
      </c>
      <c r="F103" s="238"/>
      <c r="G103" s="238"/>
      <c r="H103" s="238"/>
      <c r="I103" s="238"/>
      <c r="J103" s="238">
        <v>3</v>
      </c>
      <c r="K103" s="238">
        <v>480</v>
      </c>
      <c r="L103" s="238"/>
      <c r="M103" s="238">
        <v>160</v>
      </c>
      <c r="N103" s="238">
        <v>13</v>
      </c>
      <c r="O103" s="238">
        <v>2080</v>
      </c>
      <c r="P103" s="688"/>
      <c r="Q103" s="719">
        <v>160</v>
      </c>
    </row>
    <row r="104" spans="1:17" ht="14.4" customHeight="1" x14ac:dyDescent="0.3">
      <c r="A104" s="686" t="s">
        <v>2096</v>
      </c>
      <c r="B104" s="677" t="s">
        <v>2097</v>
      </c>
      <c r="C104" s="677" t="s">
        <v>1452</v>
      </c>
      <c r="D104" s="677" t="s">
        <v>2134</v>
      </c>
      <c r="E104" s="677" t="s">
        <v>2135</v>
      </c>
      <c r="F104" s="238"/>
      <c r="G104" s="238"/>
      <c r="H104" s="238"/>
      <c r="I104" s="238"/>
      <c r="J104" s="238">
        <v>1</v>
      </c>
      <c r="K104" s="238">
        <v>404</v>
      </c>
      <c r="L104" s="238"/>
      <c r="M104" s="238">
        <v>404</v>
      </c>
      <c r="N104" s="238"/>
      <c r="O104" s="238"/>
      <c r="P104" s="688"/>
      <c r="Q104" s="719"/>
    </row>
    <row r="105" spans="1:17" ht="14.4" customHeight="1" x14ac:dyDescent="0.3">
      <c r="A105" s="686" t="s">
        <v>2136</v>
      </c>
      <c r="B105" s="677" t="s">
        <v>546</v>
      </c>
      <c r="C105" s="677" t="s">
        <v>1452</v>
      </c>
      <c r="D105" s="677" t="s">
        <v>2137</v>
      </c>
      <c r="E105" s="677" t="s">
        <v>2138</v>
      </c>
      <c r="F105" s="238">
        <v>28</v>
      </c>
      <c r="G105" s="238">
        <v>4424</v>
      </c>
      <c r="H105" s="238">
        <v>1</v>
      </c>
      <c r="I105" s="238">
        <v>158</v>
      </c>
      <c r="J105" s="238">
        <v>23</v>
      </c>
      <c r="K105" s="238">
        <v>3657</v>
      </c>
      <c r="L105" s="238">
        <v>0.82662748643761297</v>
      </c>
      <c r="M105" s="238">
        <v>159</v>
      </c>
      <c r="N105" s="238">
        <v>28</v>
      </c>
      <c r="O105" s="238">
        <v>4452</v>
      </c>
      <c r="P105" s="688">
        <v>1.0063291139240507</v>
      </c>
      <c r="Q105" s="719">
        <v>159</v>
      </c>
    </row>
    <row r="106" spans="1:17" ht="14.4" customHeight="1" x14ac:dyDescent="0.3">
      <c r="A106" s="686" t="s">
        <v>2136</v>
      </c>
      <c r="B106" s="677" t="s">
        <v>546</v>
      </c>
      <c r="C106" s="677" t="s">
        <v>1452</v>
      </c>
      <c r="D106" s="677" t="s">
        <v>2139</v>
      </c>
      <c r="E106" s="677" t="s">
        <v>2140</v>
      </c>
      <c r="F106" s="238"/>
      <c r="G106" s="238"/>
      <c r="H106" s="238"/>
      <c r="I106" s="238"/>
      <c r="J106" s="238"/>
      <c r="K106" s="238"/>
      <c r="L106" s="238"/>
      <c r="M106" s="238"/>
      <c r="N106" s="238">
        <v>1</v>
      </c>
      <c r="O106" s="238">
        <v>1165</v>
      </c>
      <c r="P106" s="688"/>
      <c r="Q106" s="719">
        <v>1165</v>
      </c>
    </row>
    <row r="107" spans="1:17" ht="14.4" customHeight="1" x14ac:dyDescent="0.3">
      <c r="A107" s="686" t="s">
        <v>2136</v>
      </c>
      <c r="B107" s="677" t="s">
        <v>546</v>
      </c>
      <c r="C107" s="677" t="s">
        <v>1452</v>
      </c>
      <c r="D107" s="677" t="s">
        <v>2141</v>
      </c>
      <c r="E107" s="677" t="s">
        <v>2142</v>
      </c>
      <c r="F107" s="238"/>
      <c r="G107" s="238"/>
      <c r="H107" s="238"/>
      <c r="I107" s="238"/>
      <c r="J107" s="238">
        <v>7</v>
      </c>
      <c r="K107" s="238">
        <v>273</v>
      </c>
      <c r="L107" s="238"/>
      <c r="M107" s="238">
        <v>39</v>
      </c>
      <c r="N107" s="238">
        <v>9</v>
      </c>
      <c r="O107" s="238">
        <v>351</v>
      </c>
      <c r="P107" s="688"/>
      <c r="Q107" s="719">
        <v>39</v>
      </c>
    </row>
    <row r="108" spans="1:17" ht="14.4" customHeight="1" x14ac:dyDescent="0.3">
      <c r="A108" s="686" t="s">
        <v>2136</v>
      </c>
      <c r="B108" s="677" t="s">
        <v>546</v>
      </c>
      <c r="C108" s="677" t="s">
        <v>1452</v>
      </c>
      <c r="D108" s="677" t="s">
        <v>2143</v>
      </c>
      <c r="E108" s="677" t="s">
        <v>2144</v>
      </c>
      <c r="F108" s="238">
        <v>7</v>
      </c>
      <c r="G108" s="238">
        <v>2674</v>
      </c>
      <c r="H108" s="238">
        <v>1</v>
      </c>
      <c r="I108" s="238">
        <v>382</v>
      </c>
      <c r="J108" s="238"/>
      <c r="K108" s="238"/>
      <c r="L108" s="238"/>
      <c r="M108" s="238"/>
      <c r="N108" s="238"/>
      <c r="O108" s="238"/>
      <c r="P108" s="688"/>
      <c r="Q108" s="719"/>
    </row>
    <row r="109" spans="1:17" ht="14.4" customHeight="1" x14ac:dyDescent="0.3">
      <c r="A109" s="686" t="s">
        <v>2136</v>
      </c>
      <c r="B109" s="677" t="s">
        <v>546</v>
      </c>
      <c r="C109" s="677" t="s">
        <v>1452</v>
      </c>
      <c r="D109" s="677" t="s">
        <v>2145</v>
      </c>
      <c r="E109" s="677" t="s">
        <v>2146</v>
      </c>
      <c r="F109" s="238">
        <v>3</v>
      </c>
      <c r="G109" s="238">
        <v>1332</v>
      </c>
      <c r="H109" s="238">
        <v>1</v>
      </c>
      <c r="I109" s="238">
        <v>444</v>
      </c>
      <c r="J109" s="238"/>
      <c r="K109" s="238"/>
      <c r="L109" s="238"/>
      <c r="M109" s="238"/>
      <c r="N109" s="238">
        <v>3</v>
      </c>
      <c r="O109" s="238">
        <v>1332</v>
      </c>
      <c r="P109" s="688">
        <v>1</v>
      </c>
      <c r="Q109" s="719">
        <v>444</v>
      </c>
    </row>
    <row r="110" spans="1:17" ht="14.4" customHeight="1" x14ac:dyDescent="0.3">
      <c r="A110" s="686" t="s">
        <v>2136</v>
      </c>
      <c r="B110" s="677" t="s">
        <v>546</v>
      </c>
      <c r="C110" s="677" t="s">
        <v>1452</v>
      </c>
      <c r="D110" s="677" t="s">
        <v>2147</v>
      </c>
      <c r="E110" s="677" t="s">
        <v>2148</v>
      </c>
      <c r="F110" s="238">
        <v>1</v>
      </c>
      <c r="G110" s="238">
        <v>40</v>
      </c>
      <c r="H110" s="238">
        <v>1</v>
      </c>
      <c r="I110" s="238">
        <v>40</v>
      </c>
      <c r="J110" s="238"/>
      <c r="K110" s="238"/>
      <c r="L110" s="238"/>
      <c r="M110" s="238"/>
      <c r="N110" s="238"/>
      <c r="O110" s="238"/>
      <c r="P110" s="688"/>
      <c r="Q110" s="719"/>
    </row>
    <row r="111" spans="1:17" ht="14.4" customHeight="1" x14ac:dyDescent="0.3">
      <c r="A111" s="686" t="s">
        <v>2136</v>
      </c>
      <c r="B111" s="677" t="s">
        <v>546</v>
      </c>
      <c r="C111" s="677" t="s">
        <v>1452</v>
      </c>
      <c r="D111" s="677" t="s">
        <v>2149</v>
      </c>
      <c r="E111" s="677" t="s">
        <v>2150</v>
      </c>
      <c r="F111" s="238">
        <v>2</v>
      </c>
      <c r="G111" s="238">
        <v>980</v>
      </c>
      <c r="H111" s="238">
        <v>1</v>
      </c>
      <c r="I111" s="238">
        <v>490</v>
      </c>
      <c r="J111" s="238"/>
      <c r="K111" s="238"/>
      <c r="L111" s="238"/>
      <c r="M111" s="238"/>
      <c r="N111" s="238"/>
      <c r="O111" s="238"/>
      <c r="P111" s="688"/>
      <c r="Q111" s="719"/>
    </row>
    <row r="112" spans="1:17" ht="14.4" customHeight="1" x14ac:dyDescent="0.3">
      <c r="A112" s="686" t="s">
        <v>2136</v>
      </c>
      <c r="B112" s="677" t="s">
        <v>546</v>
      </c>
      <c r="C112" s="677" t="s">
        <v>1452</v>
      </c>
      <c r="D112" s="677" t="s">
        <v>2151</v>
      </c>
      <c r="E112" s="677" t="s">
        <v>2152</v>
      </c>
      <c r="F112" s="238"/>
      <c r="G112" s="238"/>
      <c r="H112" s="238"/>
      <c r="I112" s="238"/>
      <c r="J112" s="238">
        <v>2</v>
      </c>
      <c r="K112" s="238">
        <v>62</v>
      </c>
      <c r="L112" s="238"/>
      <c r="M112" s="238">
        <v>31</v>
      </c>
      <c r="N112" s="238"/>
      <c r="O112" s="238"/>
      <c r="P112" s="688"/>
      <c r="Q112" s="719"/>
    </row>
    <row r="113" spans="1:17" ht="14.4" customHeight="1" x14ac:dyDescent="0.3">
      <c r="A113" s="686" t="s">
        <v>2136</v>
      </c>
      <c r="B113" s="677" t="s">
        <v>546</v>
      </c>
      <c r="C113" s="677" t="s">
        <v>1452</v>
      </c>
      <c r="D113" s="677" t="s">
        <v>2153</v>
      </c>
      <c r="E113" s="677" t="s">
        <v>2154</v>
      </c>
      <c r="F113" s="238"/>
      <c r="G113" s="238"/>
      <c r="H113" s="238"/>
      <c r="I113" s="238"/>
      <c r="J113" s="238">
        <v>10</v>
      </c>
      <c r="K113" s="238">
        <v>1130</v>
      </c>
      <c r="L113" s="238"/>
      <c r="M113" s="238">
        <v>113</v>
      </c>
      <c r="N113" s="238">
        <v>14</v>
      </c>
      <c r="O113" s="238">
        <v>1582</v>
      </c>
      <c r="P113" s="688"/>
      <c r="Q113" s="719">
        <v>113</v>
      </c>
    </row>
    <row r="114" spans="1:17" ht="14.4" customHeight="1" x14ac:dyDescent="0.3">
      <c r="A114" s="686" t="s">
        <v>2136</v>
      </c>
      <c r="B114" s="677" t="s">
        <v>546</v>
      </c>
      <c r="C114" s="677" t="s">
        <v>1452</v>
      </c>
      <c r="D114" s="677" t="s">
        <v>2155</v>
      </c>
      <c r="E114" s="677" t="s">
        <v>2156</v>
      </c>
      <c r="F114" s="238"/>
      <c r="G114" s="238"/>
      <c r="H114" s="238"/>
      <c r="I114" s="238"/>
      <c r="J114" s="238"/>
      <c r="K114" s="238"/>
      <c r="L114" s="238"/>
      <c r="M114" s="238"/>
      <c r="N114" s="238">
        <v>1</v>
      </c>
      <c r="O114" s="238">
        <v>84</v>
      </c>
      <c r="P114" s="688"/>
      <c r="Q114" s="719">
        <v>84</v>
      </c>
    </row>
    <row r="115" spans="1:17" ht="14.4" customHeight="1" x14ac:dyDescent="0.3">
      <c r="A115" s="686" t="s">
        <v>2136</v>
      </c>
      <c r="B115" s="677" t="s">
        <v>546</v>
      </c>
      <c r="C115" s="677" t="s">
        <v>1452</v>
      </c>
      <c r="D115" s="677" t="s">
        <v>2157</v>
      </c>
      <c r="E115" s="677" t="s">
        <v>2158</v>
      </c>
      <c r="F115" s="238"/>
      <c r="G115" s="238"/>
      <c r="H115" s="238"/>
      <c r="I115" s="238"/>
      <c r="J115" s="238"/>
      <c r="K115" s="238"/>
      <c r="L115" s="238"/>
      <c r="M115" s="238"/>
      <c r="N115" s="238">
        <v>11</v>
      </c>
      <c r="O115" s="238">
        <v>5346</v>
      </c>
      <c r="P115" s="688"/>
      <c r="Q115" s="719">
        <v>486</v>
      </c>
    </row>
    <row r="116" spans="1:17" ht="14.4" customHeight="1" thickBot="1" x14ac:dyDescent="0.35">
      <c r="A116" s="642" t="s">
        <v>2136</v>
      </c>
      <c r="B116" s="679" t="s">
        <v>546</v>
      </c>
      <c r="C116" s="679" t="s">
        <v>1452</v>
      </c>
      <c r="D116" s="679" t="s">
        <v>2159</v>
      </c>
      <c r="E116" s="679" t="s">
        <v>2160</v>
      </c>
      <c r="F116" s="680">
        <v>3</v>
      </c>
      <c r="G116" s="680">
        <v>120</v>
      </c>
      <c r="H116" s="680">
        <v>1</v>
      </c>
      <c r="I116" s="680">
        <v>40</v>
      </c>
      <c r="J116" s="680">
        <v>4</v>
      </c>
      <c r="K116" s="680">
        <v>160</v>
      </c>
      <c r="L116" s="680">
        <v>1.3333333333333333</v>
      </c>
      <c r="M116" s="680">
        <v>40</v>
      </c>
      <c r="N116" s="680">
        <v>3</v>
      </c>
      <c r="O116" s="680">
        <v>120</v>
      </c>
      <c r="P116" s="689">
        <v>1</v>
      </c>
      <c r="Q116" s="720">
        <v>40</v>
      </c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6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192" bestFit="1" customWidth="1"/>
    <col min="2" max="2" width="15.6640625" style="192" bestFit="1" customWidth="1"/>
    <col min="3" max="5" width="8.33203125" style="202" customWidth="1"/>
    <col min="6" max="6" width="6.109375" style="203" customWidth="1"/>
    <col min="7" max="9" width="8.33203125" style="204" customWidth="1"/>
    <col min="10" max="10" width="6.109375" style="203" customWidth="1"/>
    <col min="11" max="13" width="8.33203125" style="204" customWidth="1"/>
    <col min="14" max="14" width="8.33203125" style="202" customWidth="1"/>
    <col min="15" max="16384" width="8.88671875" style="192"/>
  </cols>
  <sheetData>
    <row r="1" spans="1:14" ht="18.600000000000001" customHeight="1" thickBot="1" x14ac:dyDescent="0.4">
      <c r="A1" s="585" t="s">
        <v>185</v>
      </c>
      <c r="B1" s="586"/>
      <c r="C1" s="586"/>
      <c r="D1" s="586"/>
      <c r="E1" s="586"/>
      <c r="F1" s="586"/>
      <c r="G1" s="586"/>
      <c r="H1" s="586"/>
      <c r="I1" s="586"/>
      <c r="J1" s="586"/>
      <c r="K1" s="586"/>
      <c r="L1" s="586"/>
      <c r="M1" s="586"/>
      <c r="N1" s="586"/>
    </row>
    <row r="2" spans="1:14" ht="14.4" customHeight="1" thickBot="1" x14ac:dyDescent="0.35">
      <c r="A2" s="389" t="s">
        <v>299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</row>
    <row r="3" spans="1:14" ht="14.4" customHeight="1" thickBot="1" x14ac:dyDescent="0.35">
      <c r="A3" s="194"/>
      <c r="B3" s="195" t="s">
        <v>163</v>
      </c>
      <c r="C3" s="196">
        <f>SUBTOTAL(9,C6:C1048576)</f>
        <v>637</v>
      </c>
      <c r="D3" s="197">
        <f>SUBTOTAL(9,D6:D1048576)</f>
        <v>404</v>
      </c>
      <c r="E3" s="197">
        <f>SUBTOTAL(9,E6:E1048576)</f>
        <v>550</v>
      </c>
      <c r="F3" s="198">
        <f>IF(OR(E3=0,C3=0),"",E3/C3)</f>
        <v>0.86342229199372056</v>
      </c>
      <c r="G3" s="199">
        <f>SUBTOTAL(9,G6:G1048576)</f>
        <v>613281</v>
      </c>
      <c r="H3" s="200">
        <f>SUBTOTAL(9,H6:H1048576)</f>
        <v>381366</v>
      </c>
      <c r="I3" s="200">
        <f>SUBTOTAL(9,I6:I1048576)</f>
        <v>523302</v>
      </c>
      <c r="J3" s="198">
        <f>IF(OR(I3=0,G3=0),"",I3/G3)</f>
        <v>0.85328258987315764</v>
      </c>
      <c r="K3" s="199">
        <f>SUBTOTAL(9,K6:K1048576)</f>
        <v>22295</v>
      </c>
      <c r="L3" s="200">
        <f>SUBTOTAL(9,L6:L1048576)</f>
        <v>14140</v>
      </c>
      <c r="M3" s="200">
        <f>SUBTOTAL(9,M6:M1048576)</f>
        <v>19250</v>
      </c>
      <c r="N3" s="201">
        <f>IF(OR(M3=0,E3=0),"",M3/E3)</f>
        <v>35</v>
      </c>
    </row>
    <row r="4" spans="1:14" ht="14.4" customHeight="1" x14ac:dyDescent="0.3">
      <c r="A4" s="587" t="s">
        <v>93</v>
      </c>
      <c r="B4" s="588" t="s">
        <v>14</v>
      </c>
      <c r="C4" s="589" t="s">
        <v>94</v>
      </c>
      <c r="D4" s="589"/>
      <c r="E4" s="589"/>
      <c r="F4" s="590"/>
      <c r="G4" s="591" t="s">
        <v>17</v>
      </c>
      <c r="H4" s="589"/>
      <c r="I4" s="589"/>
      <c r="J4" s="590"/>
      <c r="K4" s="591" t="s">
        <v>95</v>
      </c>
      <c r="L4" s="589"/>
      <c r="M4" s="589"/>
      <c r="N4" s="592"/>
    </row>
    <row r="5" spans="1:14" ht="14.4" customHeight="1" thickBot="1" x14ac:dyDescent="0.35">
      <c r="A5" s="849"/>
      <c r="B5" s="850"/>
      <c r="C5" s="853">
        <v>2012</v>
      </c>
      <c r="D5" s="853">
        <v>2013</v>
      </c>
      <c r="E5" s="853">
        <v>2014</v>
      </c>
      <c r="F5" s="854" t="s">
        <v>5</v>
      </c>
      <c r="G5" s="858">
        <v>2012</v>
      </c>
      <c r="H5" s="853">
        <v>2013</v>
      </c>
      <c r="I5" s="853">
        <v>2014</v>
      </c>
      <c r="J5" s="854" t="s">
        <v>5</v>
      </c>
      <c r="K5" s="858">
        <v>2012</v>
      </c>
      <c r="L5" s="853">
        <v>2013</v>
      </c>
      <c r="M5" s="853">
        <v>2014</v>
      </c>
      <c r="N5" s="861" t="s">
        <v>96</v>
      </c>
    </row>
    <row r="6" spans="1:14" ht="14.4" customHeight="1" thickBot="1" x14ac:dyDescent="0.35">
      <c r="A6" s="851" t="s">
        <v>1761</v>
      </c>
      <c r="B6" s="852" t="s">
        <v>2162</v>
      </c>
      <c r="C6" s="855">
        <v>637</v>
      </c>
      <c r="D6" s="856">
        <v>404</v>
      </c>
      <c r="E6" s="856">
        <v>550</v>
      </c>
      <c r="F6" s="857">
        <v>0.86342229199372056</v>
      </c>
      <c r="G6" s="859">
        <v>613281</v>
      </c>
      <c r="H6" s="860">
        <v>381366</v>
      </c>
      <c r="I6" s="860">
        <v>523302</v>
      </c>
      <c r="J6" s="857">
        <v>0.85328258987315764</v>
      </c>
      <c r="K6" s="859">
        <v>22295</v>
      </c>
      <c r="L6" s="860">
        <v>14140</v>
      </c>
      <c r="M6" s="860">
        <v>19250</v>
      </c>
      <c r="N6" s="862">
        <v>35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260" bestFit="1" customWidth="1"/>
    <col min="2" max="3" width="9.5546875" style="260" customWidth="1"/>
    <col min="4" max="4" width="2.44140625" style="260" customWidth="1"/>
    <col min="5" max="8" width="9.5546875" style="260" customWidth="1"/>
    <col min="9" max="16384" width="8.88671875" style="260"/>
  </cols>
  <sheetData>
    <row r="1" spans="1:8" ht="18.600000000000001" customHeight="1" thickBot="1" x14ac:dyDescent="0.4">
      <c r="A1" s="462" t="s">
        <v>179</v>
      </c>
      <c r="B1" s="462"/>
      <c r="C1" s="462"/>
      <c r="D1" s="462"/>
      <c r="E1" s="462"/>
      <c r="F1" s="462"/>
      <c r="G1" s="463"/>
      <c r="H1" s="463"/>
    </row>
    <row r="2" spans="1:8" ht="14.4" customHeight="1" thickBot="1" x14ac:dyDescent="0.35">
      <c r="A2" s="389" t="s">
        <v>299</v>
      </c>
      <c r="B2" s="230"/>
      <c r="C2" s="230"/>
      <c r="D2" s="230"/>
      <c r="E2" s="230"/>
      <c r="F2" s="230"/>
    </row>
    <row r="3" spans="1:8" ht="14.4" customHeight="1" x14ac:dyDescent="0.3">
      <c r="A3" s="464"/>
      <c r="B3" s="226">
        <v>2012</v>
      </c>
      <c r="C3" s="44">
        <v>2013</v>
      </c>
      <c r="D3" s="11"/>
      <c r="E3" s="468">
        <v>2014</v>
      </c>
      <c r="F3" s="469"/>
      <c r="G3" s="469"/>
      <c r="H3" s="470"/>
    </row>
    <row r="4" spans="1:8" ht="14.4" customHeight="1" thickBot="1" x14ac:dyDescent="0.35">
      <c r="A4" s="465"/>
      <c r="B4" s="466" t="s">
        <v>97</v>
      </c>
      <c r="C4" s="467"/>
      <c r="D4" s="11"/>
      <c r="E4" s="247" t="s">
        <v>97</v>
      </c>
      <c r="F4" s="228" t="s">
        <v>98</v>
      </c>
      <c r="G4" s="228" t="s">
        <v>72</v>
      </c>
      <c r="H4" s="229" t="s">
        <v>99</v>
      </c>
    </row>
    <row r="5" spans="1:8" ht="14.4" customHeight="1" x14ac:dyDescent="0.3">
      <c r="A5" s="231" t="str">
        <f>HYPERLINK("#'Léky Žádanky'!A1","Léky (Kč)")</f>
        <v>Léky (Kč)</v>
      </c>
      <c r="B5" s="31">
        <v>142.75238999999999</v>
      </c>
      <c r="C5" s="33">
        <v>124.15461999999999</v>
      </c>
      <c r="D5" s="12"/>
      <c r="E5" s="236">
        <v>140.62976</v>
      </c>
      <c r="F5" s="32">
        <v>170</v>
      </c>
      <c r="G5" s="235">
        <f>E5-F5</f>
        <v>-29.370239999999995</v>
      </c>
      <c r="H5" s="241">
        <f>IF(F5&lt;0.00000001,"",E5/F5)</f>
        <v>0.82723388235294115</v>
      </c>
    </row>
    <row r="6" spans="1:8" ht="14.4" customHeight="1" x14ac:dyDescent="0.3">
      <c r="A6" s="231" t="str">
        <f>HYPERLINK("#'Materiál Žádanky'!A1","Materiál - SZM (Kč)")</f>
        <v>Materiál - SZM (Kč)</v>
      </c>
      <c r="B6" s="14">
        <v>341.16555</v>
      </c>
      <c r="C6" s="35">
        <v>256.95414</v>
      </c>
      <c r="D6" s="12"/>
      <c r="E6" s="237">
        <v>285.60618000000102</v>
      </c>
      <c r="F6" s="34">
        <v>409</v>
      </c>
      <c r="G6" s="238">
        <f>E6-F6</f>
        <v>-123.39381999999898</v>
      </c>
      <c r="H6" s="242">
        <f>IF(F6&lt;0.00000001,"",E6/F6)</f>
        <v>0.69830361858190959</v>
      </c>
    </row>
    <row r="7" spans="1:8" ht="14.4" customHeight="1" x14ac:dyDescent="0.3">
      <c r="A7" s="454" t="str">
        <f>HYPERLINK("#'Osobní náklady'!A1","Osobní náklady (Kč) *")</f>
        <v>Osobní náklady (Kč) *</v>
      </c>
      <c r="B7" s="14">
        <v>3447.81394</v>
      </c>
      <c r="C7" s="35">
        <v>3320.68588</v>
      </c>
      <c r="D7" s="12"/>
      <c r="E7" s="237">
        <v>4060.43779000001</v>
      </c>
      <c r="F7" s="34">
        <v>3864</v>
      </c>
      <c r="G7" s="238">
        <f>E7-F7</f>
        <v>196.43779000000995</v>
      </c>
      <c r="H7" s="242">
        <f>IF(F7&lt;0.00000001,"",E7/F7)</f>
        <v>1.0508379373706029</v>
      </c>
    </row>
    <row r="8" spans="1:8" ht="14.4" customHeight="1" thickBot="1" x14ac:dyDescent="0.35">
      <c r="A8" s="1" t="s">
        <v>100</v>
      </c>
      <c r="B8" s="15">
        <v>1525.9063599999999</v>
      </c>
      <c r="C8" s="37">
        <v>1344.1548499999999</v>
      </c>
      <c r="D8" s="12"/>
      <c r="E8" s="239">
        <v>1571.11598</v>
      </c>
      <c r="F8" s="36">
        <v>1669</v>
      </c>
      <c r="G8" s="240">
        <f>E8-F8</f>
        <v>-97.884019999999964</v>
      </c>
      <c r="H8" s="243">
        <f>IF(F8&lt;0.00000001,"",E8/F8)</f>
        <v>0.94135169562612342</v>
      </c>
    </row>
    <row r="9" spans="1:8" ht="14.4" customHeight="1" thickBot="1" x14ac:dyDescent="0.35">
      <c r="A9" s="2" t="s">
        <v>101</v>
      </c>
      <c r="B9" s="3">
        <v>5457.6382400000002</v>
      </c>
      <c r="C9" s="39">
        <v>5045.94949</v>
      </c>
      <c r="D9" s="12"/>
      <c r="E9" s="3">
        <v>6057.78971000002</v>
      </c>
      <c r="F9" s="38">
        <v>6112</v>
      </c>
      <c r="G9" s="38">
        <f>E9-F9</f>
        <v>-54.210289999979977</v>
      </c>
      <c r="H9" s="244">
        <f>IF(F9&lt;0.00000001,"",E9/F9)</f>
        <v>0.99113051537958441</v>
      </c>
    </row>
    <row r="10" spans="1:8" ht="14.4" customHeight="1" thickBot="1" x14ac:dyDescent="0.35">
      <c r="A10" s="16"/>
      <c r="B10" s="16"/>
      <c r="C10" s="227"/>
      <c r="D10" s="12"/>
      <c r="E10" s="16"/>
      <c r="F10" s="17"/>
    </row>
    <row r="11" spans="1:8" ht="14.4" customHeight="1" x14ac:dyDescent="0.3">
      <c r="A11" s="263" t="str">
        <f>HYPERLINK("#'ZV Vykáz.-A'!A1","Ambulance *")</f>
        <v>Ambulance *</v>
      </c>
      <c r="B11" s="13">
        <f>IF(ISERROR(VLOOKUP("Celkem:",'ZV Vykáz.-A'!A:F,2,0)),0,VLOOKUP("Celkem:",'ZV Vykáz.-A'!A:F,2,0)/1000)</f>
        <v>3071.4760700000006</v>
      </c>
      <c r="C11" s="33">
        <f>IF(ISERROR(VLOOKUP("Celkem:",'ZV Vykáz.-A'!A:F,4,0)),0,VLOOKUP("Celkem:",'ZV Vykáz.-A'!A:F,4,0)/1000)</f>
        <v>3152.6219900000001</v>
      </c>
      <c r="D11" s="12"/>
      <c r="E11" s="236">
        <f>IF(ISERROR(VLOOKUP("Celkem:",'ZV Vykáz.-A'!A:F,6,0)),0,VLOOKUP("Celkem:",'ZV Vykáz.-A'!A:F,6,0)/1000)</f>
        <v>3188.6355200000003</v>
      </c>
      <c r="F11" s="32">
        <f>B11</f>
        <v>3071.4760700000006</v>
      </c>
      <c r="G11" s="235">
        <f>E11-F11</f>
        <v>117.15944999999965</v>
      </c>
      <c r="H11" s="241">
        <f>IF(F11&lt;0.00000001,"",E11/F11)</f>
        <v>1.0381443473202772</v>
      </c>
    </row>
    <row r="12" spans="1:8" ht="14.4" customHeight="1" thickBot="1" x14ac:dyDescent="0.35">
      <c r="A12" s="264" t="str">
        <f>HYPERLINK("#CaseMix!A1","Hospitalizace *")</f>
        <v>Hospitalizace *</v>
      </c>
      <c r="B12" s="15">
        <f>IF(ISERROR(VLOOKUP("Celkem",CaseMix!A:D,2,0)),0,VLOOKUP("Celkem",CaseMix!A:D,2,0)*30)</f>
        <v>5936.0700000000006</v>
      </c>
      <c r="C12" s="37">
        <f>IF(ISERROR(VLOOKUP("Celkem",CaseMix!A:D,3,0)),0,VLOOKUP("Celkem",CaseMix!A:D,3,0)*30)</f>
        <v>2993.4600000000005</v>
      </c>
      <c r="D12" s="12"/>
      <c r="E12" s="239">
        <f>IF(ISERROR(VLOOKUP("Celkem",CaseMix!A:D,4,0)),0,VLOOKUP("Celkem",CaseMix!A:D,4,0)*30)</f>
        <v>3956.43</v>
      </c>
      <c r="F12" s="36">
        <f>B12</f>
        <v>5936.0700000000006</v>
      </c>
      <c r="G12" s="240">
        <f>E12-F12</f>
        <v>-1979.6400000000008</v>
      </c>
      <c r="H12" s="243">
        <f>IF(F12&lt;0.00000001,"",E12/F12)</f>
        <v>0.66650662812264672</v>
      </c>
    </row>
    <row r="13" spans="1:8" ht="14.4" customHeight="1" thickBot="1" x14ac:dyDescent="0.35">
      <c r="A13" s="4" t="s">
        <v>104</v>
      </c>
      <c r="B13" s="9">
        <f>SUM(B11:B12)</f>
        <v>9007.5460700000003</v>
      </c>
      <c r="C13" s="41">
        <f>SUM(C11:C12)</f>
        <v>6146.0819900000006</v>
      </c>
      <c r="D13" s="12"/>
      <c r="E13" s="9">
        <f>SUM(E11:E12)</f>
        <v>7145.0655200000001</v>
      </c>
      <c r="F13" s="40">
        <f>SUM(F11:F12)</f>
        <v>9007.5460700000003</v>
      </c>
      <c r="G13" s="40">
        <f>E13-F13</f>
        <v>-1862.4805500000002</v>
      </c>
      <c r="H13" s="245">
        <f>IF(F13&lt;0.00000001,"",E13/F13)</f>
        <v>0.79323108252501007</v>
      </c>
    </row>
    <row r="14" spans="1:8" ht="14.4" customHeight="1" thickBot="1" x14ac:dyDescent="0.35">
      <c r="A14" s="16"/>
      <c r="B14" s="16"/>
      <c r="C14" s="227"/>
      <c r="D14" s="12"/>
      <c r="E14" s="16"/>
      <c r="F14" s="17"/>
    </row>
    <row r="15" spans="1:8" ht="14.4" customHeight="1" thickBot="1" x14ac:dyDescent="0.35">
      <c r="A15" s="265" t="str">
        <f>HYPERLINK("#'HI Graf'!A1","Hospodářský index (Výnosy / Náklady) *")</f>
        <v>Hospodářský index (Výnosy / Náklady) *</v>
      </c>
      <c r="B15" s="10">
        <f>IF(B9=0,"",B13/B9)</f>
        <v>1.6504476247586539</v>
      </c>
      <c r="C15" s="43">
        <f>IF(C9=0,"",C13/C9)</f>
        <v>1.2180228918621221</v>
      </c>
      <c r="D15" s="12"/>
      <c r="E15" s="10">
        <f>IF(E9=0,"",E13/E9)</f>
        <v>1.1794839144391456</v>
      </c>
      <c r="F15" s="42">
        <f>IF(F9=0,"",F13/F9)</f>
        <v>1.4737477208769634</v>
      </c>
      <c r="G15" s="42">
        <f>IF(ISERROR(F15-E15),"",E15-F15)</f>
        <v>-0.2942638064378178</v>
      </c>
      <c r="H15" s="246">
        <f>IF(ISERROR(F15-E15),"",IF(F15&lt;0.00000001,"",E15/F15))</f>
        <v>0.80032959354623179</v>
      </c>
    </row>
    <row r="17" spans="1:8" ht="14.4" customHeight="1" x14ac:dyDescent="0.3">
      <c r="A17" s="232" t="s">
        <v>207</v>
      </c>
    </row>
    <row r="18" spans="1:8" ht="14.4" customHeight="1" x14ac:dyDescent="0.3">
      <c r="A18" s="456" t="s">
        <v>296</v>
      </c>
      <c r="B18" s="457"/>
      <c r="C18" s="457"/>
      <c r="D18" s="457"/>
      <c r="E18" s="457"/>
      <c r="F18" s="457"/>
      <c r="G18" s="457"/>
      <c r="H18" s="457"/>
    </row>
    <row r="19" spans="1:8" x14ac:dyDescent="0.3">
      <c r="A19" s="455" t="s">
        <v>295</v>
      </c>
      <c r="B19" s="457"/>
      <c r="C19" s="457"/>
      <c r="D19" s="457"/>
      <c r="E19" s="457"/>
      <c r="F19" s="457"/>
      <c r="G19" s="457"/>
      <c r="H19" s="457"/>
    </row>
    <row r="20" spans="1:8" ht="14.4" customHeight="1" x14ac:dyDescent="0.3">
      <c r="A20" s="233" t="s">
        <v>208</v>
      </c>
    </row>
    <row r="21" spans="1:8" ht="14.4" customHeight="1" x14ac:dyDescent="0.3">
      <c r="A21" s="233" t="s">
        <v>209</v>
      </c>
    </row>
    <row r="22" spans="1:8" ht="14.4" customHeight="1" x14ac:dyDescent="0.3">
      <c r="A22" s="234" t="s">
        <v>210</v>
      </c>
    </row>
    <row r="23" spans="1:8" ht="14.4" customHeight="1" x14ac:dyDescent="0.3">
      <c r="A23" s="234" t="s">
        <v>211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9" priority="4" operator="greaterThan">
      <formula>0</formula>
    </cfRule>
  </conditionalFormatting>
  <conditionalFormatting sqref="G11:G13 G15">
    <cfRule type="cellIs" dxfId="68" priority="3" operator="lessThan">
      <formula>0</formula>
    </cfRule>
  </conditionalFormatting>
  <conditionalFormatting sqref="H5:H9">
    <cfRule type="cellIs" dxfId="67" priority="2" operator="greaterThan">
      <formula>1</formula>
    </cfRule>
  </conditionalFormatting>
  <conditionalFormatting sqref="H11:H13 H15">
    <cfRule type="cellIs" dxfId="66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60"/>
    <col min="2" max="13" width="8.88671875" style="260" customWidth="1"/>
    <col min="14" max="16384" width="8.88671875" style="260"/>
  </cols>
  <sheetData>
    <row r="1" spans="1:13" ht="18.600000000000001" customHeight="1" thickBot="1" x14ac:dyDescent="0.4">
      <c r="A1" s="462" t="s">
        <v>132</v>
      </c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2"/>
    </row>
    <row r="2" spans="1:13" ht="14.4" customHeight="1" x14ac:dyDescent="0.3">
      <c r="A2" s="389" t="s">
        <v>299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</row>
    <row r="3" spans="1:13" ht="14.4" customHeight="1" x14ac:dyDescent="0.3">
      <c r="A3" s="334"/>
      <c r="B3" s="335" t="s">
        <v>106</v>
      </c>
      <c r="C3" s="336" t="s">
        <v>107</v>
      </c>
      <c r="D3" s="336" t="s">
        <v>108</v>
      </c>
      <c r="E3" s="335" t="s">
        <v>109</v>
      </c>
      <c r="F3" s="336" t="s">
        <v>110</v>
      </c>
      <c r="G3" s="336" t="s">
        <v>111</v>
      </c>
      <c r="H3" s="336" t="s">
        <v>112</v>
      </c>
      <c r="I3" s="336" t="s">
        <v>113</v>
      </c>
      <c r="J3" s="336" t="s">
        <v>114</v>
      </c>
      <c r="K3" s="336" t="s">
        <v>115</v>
      </c>
      <c r="L3" s="336" t="s">
        <v>116</v>
      </c>
      <c r="M3" s="336" t="s">
        <v>117</v>
      </c>
    </row>
    <row r="4" spans="1:13" ht="14.4" customHeight="1" x14ac:dyDescent="0.3">
      <c r="A4" s="334" t="s">
        <v>105</v>
      </c>
      <c r="B4" s="337">
        <f>(B10+B8)/B6</f>
        <v>1.086719266505846</v>
      </c>
      <c r="C4" s="337">
        <f t="shared" ref="C4:M4" si="0">(C10+C8)/C6</f>
        <v>1.1794839144391456</v>
      </c>
      <c r="D4" s="337">
        <f t="shared" si="0"/>
        <v>0.52636946355801939</v>
      </c>
      <c r="E4" s="337">
        <f t="shared" si="0"/>
        <v>0.52636946355801939</v>
      </c>
      <c r="F4" s="337">
        <f t="shared" si="0"/>
        <v>0.52636946355801939</v>
      </c>
      <c r="G4" s="337">
        <f t="shared" si="0"/>
        <v>0.52636946355801939</v>
      </c>
      <c r="H4" s="337">
        <f t="shared" si="0"/>
        <v>0.52636946355801939</v>
      </c>
      <c r="I4" s="337">
        <f t="shared" si="0"/>
        <v>0.52636946355801939</v>
      </c>
      <c r="J4" s="337">
        <f t="shared" si="0"/>
        <v>0.52636946355801939</v>
      </c>
      <c r="K4" s="337">
        <f t="shared" si="0"/>
        <v>0.52636946355801939</v>
      </c>
      <c r="L4" s="337">
        <f t="shared" si="0"/>
        <v>0.52636946355801939</v>
      </c>
      <c r="M4" s="337">
        <f t="shared" si="0"/>
        <v>0.52636946355801939</v>
      </c>
    </row>
    <row r="5" spans="1:13" ht="14.4" customHeight="1" x14ac:dyDescent="0.3">
      <c r="A5" s="338" t="s">
        <v>56</v>
      </c>
      <c r="B5" s="337">
        <f>IF(ISERROR(VLOOKUP($A5,'Man Tab'!$A:$Q,COLUMN()+2,0)),0,VLOOKUP($A5,'Man Tab'!$A:$Q,COLUMN()+2,0))</f>
        <v>3272.2584200000201</v>
      </c>
      <c r="C5" s="337">
        <f>IF(ISERROR(VLOOKUP($A5,'Man Tab'!$A:$Q,COLUMN()+2,0)),0,VLOOKUP($A5,'Man Tab'!$A:$Q,COLUMN()+2,0))</f>
        <v>2785.5312899999999</v>
      </c>
      <c r="D5" s="337">
        <f>IF(ISERROR(VLOOKUP($A5,'Man Tab'!$A:$Q,COLUMN()+2,0)),0,VLOOKUP($A5,'Man Tab'!$A:$Q,COLUMN()+2,0))</f>
        <v>4.9406564584124654E-324</v>
      </c>
      <c r="E5" s="337">
        <f>IF(ISERROR(VLOOKUP($A5,'Man Tab'!$A:$Q,COLUMN()+2,0)),0,VLOOKUP($A5,'Man Tab'!$A:$Q,COLUMN()+2,0))</f>
        <v>4.9406564584124654E-324</v>
      </c>
      <c r="F5" s="337">
        <f>IF(ISERROR(VLOOKUP($A5,'Man Tab'!$A:$Q,COLUMN()+2,0)),0,VLOOKUP($A5,'Man Tab'!$A:$Q,COLUMN()+2,0))</f>
        <v>4.9406564584124654E-324</v>
      </c>
      <c r="G5" s="337">
        <f>IF(ISERROR(VLOOKUP($A5,'Man Tab'!$A:$Q,COLUMN()+2,0)),0,VLOOKUP($A5,'Man Tab'!$A:$Q,COLUMN()+2,0))</f>
        <v>4.9406564584124654E-324</v>
      </c>
      <c r="H5" s="337">
        <f>IF(ISERROR(VLOOKUP($A5,'Man Tab'!$A:$Q,COLUMN()+2,0)),0,VLOOKUP($A5,'Man Tab'!$A:$Q,COLUMN()+2,0))</f>
        <v>4.9406564584124654E-324</v>
      </c>
      <c r="I5" s="337">
        <f>IF(ISERROR(VLOOKUP($A5,'Man Tab'!$A:$Q,COLUMN()+2,0)),0,VLOOKUP($A5,'Man Tab'!$A:$Q,COLUMN()+2,0))</f>
        <v>4.9406564584124654E-324</v>
      </c>
      <c r="J5" s="337">
        <f>IF(ISERROR(VLOOKUP($A5,'Man Tab'!$A:$Q,COLUMN()+2,0)),0,VLOOKUP($A5,'Man Tab'!$A:$Q,COLUMN()+2,0))</f>
        <v>4.9406564584124654E-324</v>
      </c>
      <c r="K5" s="337">
        <f>IF(ISERROR(VLOOKUP($A5,'Man Tab'!$A:$Q,COLUMN()+2,0)),0,VLOOKUP($A5,'Man Tab'!$A:$Q,COLUMN()+2,0))</f>
        <v>4.9406564584124654E-324</v>
      </c>
      <c r="L5" s="337">
        <f>IF(ISERROR(VLOOKUP($A5,'Man Tab'!$A:$Q,COLUMN()+2,0)),0,VLOOKUP($A5,'Man Tab'!$A:$Q,COLUMN()+2,0))</f>
        <v>4.9406564584124654E-324</v>
      </c>
      <c r="M5" s="337">
        <f>IF(ISERROR(VLOOKUP($A5,'Man Tab'!$A:$Q,COLUMN()+2,0)),0,VLOOKUP($A5,'Man Tab'!$A:$Q,COLUMN()+2,0))</f>
        <v>4.9406564584124654E-324</v>
      </c>
    </row>
    <row r="6" spans="1:13" ht="14.4" customHeight="1" x14ac:dyDescent="0.3">
      <c r="A6" s="338" t="s">
        <v>101</v>
      </c>
      <c r="B6" s="339">
        <f>B5</f>
        <v>3272.2584200000201</v>
      </c>
      <c r="C6" s="339">
        <f t="shared" ref="C6:M6" si="1">C5+B6</f>
        <v>6057.78971000002</v>
      </c>
      <c r="D6" s="339">
        <f t="shared" si="1"/>
        <v>6057.78971000002</v>
      </c>
      <c r="E6" s="339">
        <f t="shared" si="1"/>
        <v>6057.78971000002</v>
      </c>
      <c r="F6" s="339">
        <f t="shared" si="1"/>
        <v>6057.78971000002</v>
      </c>
      <c r="G6" s="339">
        <f t="shared" si="1"/>
        <v>6057.78971000002</v>
      </c>
      <c r="H6" s="339">
        <f t="shared" si="1"/>
        <v>6057.78971000002</v>
      </c>
      <c r="I6" s="339">
        <f t="shared" si="1"/>
        <v>6057.78971000002</v>
      </c>
      <c r="J6" s="339">
        <f t="shared" si="1"/>
        <v>6057.78971000002</v>
      </c>
      <c r="K6" s="339">
        <f t="shared" si="1"/>
        <v>6057.78971000002</v>
      </c>
      <c r="L6" s="339">
        <f t="shared" si="1"/>
        <v>6057.78971000002</v>
      </c>
      <c r="M6" s="339">
        <f t="shared" si="1"/>
        <v>6057.78971000002</v>
      </c>
    </row>
    <row r="7" spans="1:13" ht="14.4" customHeight="1" x14ac:dyDescent="0.3">
      <c r="A7" s="338" t="s">
        <v>130</v>
      </c>
      <c r="B7" s="338">
        <v>60.838000000000001</v>
      </c>
      <c r="C7" s="338">
        <v>131.881</v>
      </c>
      <c r="D7" s="338"/>
      <c r="E7" s="338"/>
      <c r="F7" s="338"/>
      <c r="G7" s="338"/>
      <c r="H7" s="338"/>
      <c r="I7" s="338"/>
      <c r="J7" s="338"/>
      <c r="K7" s="338"/>
      <c r="L7" s="338"/>
      <c r="M7" s="338"/>
    </row>
    <row r="8" spans="1:13" ht="14.4" customHeight="1" x14ac:dyDescent="0.3">
      <c r="A8" s="338" t="s">
        <v>102</v>
      </c>
      <c r="B8" s="339">
        <f>B7*30</f>
        <v>1825.14</v>
      </c>
      <c r="C8" s="339">
        <f t="shared" ref="C8:M8" si="2">C7*30</f>
        <v>3956.43</v>
      </c>
      <c r="D8" s="339">
        <f t="shared" si="2"/>
        <v>0</v>
      </c>
      <c r="E8" s="339">
        <f t="shared" si="2"/>
        <v>0</v>
      </c>
      <c r="F8" s="339">
        <f t="shared" si="2"/>
        <v>0</v>
      </c>
      <c r="G8" s="339">
        <f t="shared" si="2"/>
        <v>0</v>
      </c>
      <c r="H8" s="339">
        <f t="shared" si="2"/>
        <v>0</v>
      </c>
      <c r="I8" s="339">
        <f t="shared" si="2"/>
        <v>0</v>
      </c>
      <c r="J8" s="339">
        <f t="shared" si="2"/>
        <v>0</v>
      </c>
      <c r="K8" s="339">
        <f t="shared" si="2"/>
        <v>0</v>
      </c>
      <c r="L8" s="339">
        <f t="shared" si="2"/>
        <v>0</v>
      </c>
      <c r="M8" s="339">
        <f t="shared" si="2"/>
        <v>0</v>
      </c>
    </row>
    <row r="9" spans="1:13" ht="14.4" customHeight="1" x14ac:dyDescent="0.3">
      <c r="A9" s="338" t="s">
        <v>131</v>
      </c>
      <c r="B9" s="338">
        <v>1730886.2700000003</v>
      </c>
      <c r="C9" s="338">
        <v>1457749.25</v>
      </c>
      <c r="D9" s="338">
        <v>0</v>
      </c>
      <c r="E9" s="338">
        <v>0</v>
      </c>
      <c r="F9" s="338">
        <v>0</v>
      </c>
      <c r="G9" s="338">
        <v>0</v>
      </c>
      <c r="H9" s="338">
        <v>0</v>
      </c>
      <c r="I9" s="338">
        <v>0</v>
      </c>
      <c r="J9" s="338">
        <v>0</v>
      </c>
      <c r="K9" s="338">
        <v>0</v>
      </c>
      <c r="L9" s="338">
        <v>0</v>
      </c>
      <c r="M9" s="338">
        <v>0</v>
      </c>
    </row>
    <row r="10" spans="1:13" ht="14.4" customHeight="1" x14ac:dyDescent="0.3">
      <c r="A10" s="338" t="s">
        <v>103</v>
      </c>
      <c r="B10" s="339">
        <f>B9/1000</f>
        <v>1730.8862700000002</v>
      </c>
      <c r="C10" s="339">
        <f t="shared" ref="C10:M10" si="3">C9/1000+B10</f>
        <v>3188.6355200000003</v>
      </c>
      <c r="D10" s="339">
        <f t="shared" si="3"/>
        <v>3188.6355200000003</v>
      </c>
      <c r="E10" s="339">
        <f t="shared" si="3"/>
        <v>3188.6355200000003</v>
      </c>
      <c r="F10" s="339">
        <f t="shared" si="3"/>
        <v>3188.6355200000003</v>
      </c>
      <c r="G10" s="339">
        <f t="shared" si="3"/>
        <v>3188.6355200000003</v>
      </c>
      <c r="H10" s="339">
        <f t="shared" si="3"/>
        <v>3188.6355200000003</v>
      </c>
      <c r="I10" s="339">
        <f t="shared" si="3"/>
        <v>3188.6355200000003</v>
      </c>
      <c r="J10" s="339">
        <f t="shared" si="3"/>
        <v>3188.6355200000003</v>
      </c>
      <c r="K10" s="339">
        <f t="shared" si="3"/>
        <v>3188.6355200000003</v>
      </c>
      <c r="L10" s="339">
        <f t="shared" si="3"/>
        <v>3188.6355200000003</v>
      </c>
      <c r="M10" s="339">
        <f t="shared" si="3"/>
        <v>3188.6355200000003</v>
      </c>
    </row>
    <row r="11" spans="1:13" ht="14.4" customHeight="1" x14ac:dyDescent="0.3">
      <c r="A11" s="334"/>
      <c r="B11" s="334" t="s">
        <v>119</v>
      </c>
      <c r="C11" s="334">
        <f>COUNTIF(B7:M7,"&lt;&gt;")</f>
        <v>2</v>
      </c>
      <c r="D11" s="334"/>
      <c r="E11" s="334"/>
      <c r="F11" s="334"/>
      <c r="G11" s="334"/>
      <c r="H11" s="334"/>
      <c r="I11" s="334"/>
      <c r="J11" s="334"/>
      <c r="K11" s="334"/>
      <c r="L11" s="334"/>
      <c r="M11" s="334"/>
    </row>
    <row r="12" spans="1:13" ht="14.4" customHeight="1" x14ac:dyDescent="0.3">
      <c r="A12" s="334">
        <v>0</v>
      </c>
      <c r="B12" s="337">
        <f>IF(ISERROR(HI!F15),#REF!,HI!F15)</f>
        <v>1.4737477208769634</v>
      </c>
      <c r="C12" s="334"/>
      <c r="D12" s="334"/>
      <c r="E12" s="334"/>
      <c r="F12" s="334"/>
      <c r="G12" s="334"/>
      <c r="H12" s="334"/>
      <c r="I12" s="334"/>
      <c r="J12" s="334"/>
      <c r="K12" s="334"/>
      <c r="L12" s="334"/>
      <c r="M12" s="334"/>
    </row>
    <row r="13" spans="1:13" ht="14.4" customHeight="1" x14ac:dyDescent="0.3">
      <c r="A13" s="334">
        <v>1</v>
      </c>
      <c r="B13" s="337">
        <f>IF(ISERROR(HI!F15),#REF!,HI!F15)</f>
        <v>1.4737477208769634</v>
      </c>
      <c r="C13" s="334"/>
      <c r="D13" s="334"/>
      <c r="E13" s="334"/>
      <c r="F13" s="334"/>
      <c r="G13" s="334"/>
      <c r="H13" s="334"/>
      <c r="I13" s="334"/>
      <c r="J13" s="334"/>
      <c r="K13" s="334"/>
      <c r="L13" s="334"/>
      <c r="M13" s="334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60" bestFit="1" customWidth="1"/>
    <col min="2" max="2" width="12.77734375" style="260" bestFit="1" customWidth="1"/>
    <col min="3" max="3" width="13.6640625" style="260" bestFit="1" customWidth="1"/>
    <col min="4" max="15" width="7.77734375" style="260" bestFit="1" customWidth="1"/>
    <col min="16" max="16" width="8.88671875" style="260" customWidth="1"/>
    <col min="17" max="17" width="6.6640625" style="260" bestFit="1" customWidth="1"/>
    <col min="18" max="16384" width="8.88671875" style="260"/>
  </cols>
  <sheetData>
    <row r="1" spans="1:17" s="340" customFormat="1" ht="18.600000000000001" customHeight="1" thickBot="1" x14ac:dyDescent="0.4">
      <c r="A1" s="471" t="s">
        <v>301</v>
      </c>
      <c r="B1" s="471"/>
      <c r="C1" s="471"/>
      <c r="D1" s="471"/>
      <c r="E1" s="471"/>
      <c r="F1" s="471"/>
      <c r="G1" s="471"/>
      <c r="H1" s="462"/>
      <c r="I1" s="462"/>
      <c r="J1" s="462"/>
      <c r="K1" s="462"/>
      <c r="L1" s="462"/>
      <c r="M1" s="462"/>
      <c r="N1" s="462"/>
      <c r="O1" s="462"/>
      <c r="P1" s="462"/>
      <c r="Q1" s="462"/>
    </row>
    <row r="2" spans="1:17" s="340" customFormat="1" ht="14.4" customHeight="1" thickBot="1" x14ac:dyDescent="0.3">
      <c r="A2" s="389" t="s">
        <v>299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</row>
    <row r="3" spans="1:17" ht="14.4" customHeight="1" x14ac:dyDescent="0.3">
      <c r="A3" s="101"/>
      <c r="B3" s="472" t="s">
        <v>32</v>
      </c>
      <c r="C3" s="473"/>
      <c r="D3" s="473"/>
      <c r="E3" s="473"/>
      <c r="F3" s="473"/>
      <c r="G3" s="473"/>
      <c r="H3" s="473"/>
      <c r="I3" s="473"/>
      <c r="J3" s="473"/>
      <c r="K3" s="473"/>
      <c r="L3" s="473"/>
      <c r="M3" s="473"/>
      <c r="N3" s="473"/>
      <c r="O3" s="473"/>
      <c r="P3" s="269"/>
      <c r="Q3" s="271"/>
    </row>
    <row r="4" spans="1:17" ht="14.4" customHeight="1" x14ac:dyDescent="0.3">
      <c r="A4" s="102"/>
      <c r="B4" s="24">
        <v>2014</v>
      </c>
      <c r="C4" s="270" t="s">
        <v>33</v>
      </c>
      <c r="D4" s="248" t="s">
        <v>215</v>
      </c>
      <c r="E4" s="248" t="s">
        <v>216</v>
      </c>
      <c r="F4" s="248" t="s">
        <v>217</v>
      </c>
      <c r="G4" s="248" t="s">
        <v>218</v>
      </c>
      <c r="H4" s="248" t="s">
        <v>219</v>
      </c>
      <c r="I4" s="248" t="s">
        <v>220</v>
      </c>
      <c r="J4" s="248" t="s">
        <v>221</v>
      </c>
      <c r="K4" s="248" t="s">
        <v>222</v>
      </c>
      <c r="L4" s="248" t="s">
        <v>223</v>
      </c>
      <c r="M4" s="248" t="s">
        <v>224</v>
      </c>
      <c r="N4" s="248" t="s">
        <v>225</v>
      </c>
      <c r="O4" s="248" t="s">
        <v>226</v>
      </c>
      <c r="P4" s="474" t="s">
        <v>6</v>
      </c>
      <c r="Q4" s="475"/>
    </row>
    <row r="5" spans="1:17" ht="14.4" customHeight="1" thickBot="1" x14ac:dyDescent="0.35">
      <c r="A5" s="103"/>
      <c r="B5" s="25" t="s">
        <v>34</v>
      </c>
      <c r="C5" s="26" t="s">
        <v>34</v>
      </c>
      <c r="D5" s="26" t="s">
        <v>35</v>
      </c>
      <c r="E5" s="26" t="s">
        <v>35</v>
      </c>
      <c r="F5" s="26" t="s">
        <v>35</v>
      </c>
      <c r="G5" s="26" t="s">
        <v>35</v>
      </c>
      <c r="H5" s="26" t="s">
        <v>35</v>
      </c>
      <c r="I5" s="26" t="s">
        <v>35</v>
      </c>
      <c r="J5" s="26" t="s">
        <v>35</v>
      </c>
      <c r="K5" s="26" t="s">
        <v>35</v>
      </c>
      <c r="L5" s="26" t="s">
        <v>35</v>
      </c>
      <c r="M5" s="26" t="s">
        <v>35</v>
      </c>
      <c r="N5" s="26" t="s">
        <v>35</v>
      </c>
      <c r="O5" s="26" t="s">
        <v>35</v>
      </c>
      <c r="P5" s="26" t="s">
        <v>35</v>
      </c>
      <c r="Q5" s="27" t="s">
        <v>36</v>
      </c>
    </row>
    <row r="6" spans="1:17" ht="14.4" customHeight="1" x14ac:dyDescent="0.3">
      <c r="A6" s="18" t="s">
        <v>37</v>
      </c>
      <c r="B6" s="52">
        <v>4.9406564584124654E-324</v>
      </c>
      <c r="C6" s="53">
        <v>0</v>
      </c>
      <c r="D6" s="53">
        <v>4.9406564584124654E-324</v>
      </c>
      <c r="E6" s="53">
        <v>4.9406564584124654E-324</v>
      </c>
      <c r="F6" s="53">
        <v>4.9406564584124654E-324</v>
      </c>
      <c r="G6" s="53">
        <v>4.9406564584124654E-324</v>
      </c>
      <c r="H6" s="53">
        <v>4.9406564584124654E-324</v>
      </c>
      <c r="I6" s="53">
        <v>4.9406564584124654E-324</v>
      </c>
      <c r="J6" s="53">
        <v>4.9406564584124654E-324</v>
      </c>
      <c r="K6" s="53">
        <v>4.9406564584124654E-324</v>
      </c>
      <c r="L6" s="53">
        <v>4.9406564584124654E-324</v>
      </c>
      <c r="M6" s="53">
        <v>4.9406564584124654E-324</v>
      </c>
      <c r="N6" s="53">
        <v>4.9406564584124654E-324</v>
      </c>
      <c r="O6" s="53">
        <v>4.9406564584124654E-324</v>
      </c>
      <c r="P6" s="54">
        <v>9.8813129168249309E-324</v>
      </c>
      <c r="Q6" s="188" t="s">
        <v>300</v>
      </c>
    </row>
    <row r="7" spans="1:17" ht="14.4" customHeight="1" x14ac:dyDescent="0.3">
      <c r="A7" s="19" t="s">
        <v>38</v>
      </c>
      <c r="B7" s="55">
        <v>923.77429530067502</v>
      </c>
      <c r="C7" s="56">
        <v>76.981191275056005</v>
      </c>
      <c r="D7" s="56">
        <v>82.498869999999997</v>
      </c>
      <c r="E7" s="56">
        <v>58.130890000000001</v>
      </c>
      <c r="F7" s="56">
        <v>4.9406564584124654E-324</v>
      </c>
      <c r="G7" s="56">
        <v>4.9406564584124654E-324</v>
      </c>
      <c r="H7" s="56">
        <v>4.9406564584124654E-324</v>
      </c>
      <c r="I7" s="56">
        <v>4.9406564584124654E-324</v>
      </c>
      <c r="J7" s="56">
        <v>4.9406564584124654E-324</v>
      </c>
      <c r="K7" s="56">
        <v>4.9406564584124654E-324</v>
      </c>
      <c r="L7" s="56">
        <v>4.9406564584124654E-324</v>
      </c>
      <c r="M7" s="56">
        <v>4.9406564584124654E-324</v>
      </c>
      <c r="N7" s="56">
        <v>4.9406564584124654E-324</v>
      </c>
      <c r="O7" s="56">
        <v>4.9406564584124654E-324</v>
      </c>
      <c r="P7" s="57">
        <v>140.62976</v>
      </c>
      <c r="Q7" s="189">
        <v>0.91340337601099997</v>
      </c>
    </row>
    <row r="8" spans="1:17" ht="14.4" customHeight="1" x14ac:dyDescent="0.3">
      <c r="A8" s="19" t="s">
        <v>39</v>
      </c>
      <c r="B8" s="55">
        <v>92.999448964562006</v>
      </c>
      <c r="C8" s="56">
        <v>7.7499540803800002</v>
      </c>
      <c r="D8" s="56">
        <v>4.9406564584124654E-324</v>
      </c>
      <c r="E8" s="56">
        <v>4.8419999999999996</v>
      </c>
      <c r="F8" s="56">
        <v>4.9406564584124654E-324</v>
      </c>
      <c r="G8" s="56">
        <v>4.9406564584124654E-324</v>
      </c>
      <c r="H8" s="56">
        <v>4.9406564584124654E-324</v>
      </c>
      <c r="I8" s="56">
        <v>4.9406564584124654E-324</v>
      </c>
      <c r="J8" s="56">
        <v>4.9406564584124654E-324</v>
      </c>
      <c r="K8" s="56">
        <v>4.9406564584124654E-324</v>
      </c>
      <c r="L8" s="56">
        <v>4.9406564584124654E-324</v>
      </c>
      <c r="M8" s="56">
        <v>4.9406564584124654E-324</v>
      </c>
      <c r="N8" s="56">
        <v>4.9406564584124654E-324</v>
      </c>
      <c r="O8" s="56">
        <v>4.9406564584124654E-324</v>
      </c>
      <c r="P8" s="57">
        <v>4.8419999999999996</v>
      </c>
      <c r="Q8" s="189">
        <v>0.31238894771300002</v>
      </c>
    </row>
    <row r="9" spans="1:17" ht="14.4" customHeight="1" x14ac:dyDescent="0.3">
      <c r="A9" s="19" t="s">
        <v>40</v>
      </c>
      <c r="B9" s="55">
        <v>2215.3499431249302</v>
      </c>
      <c r="C9" s="56">
        <v>184.61249526041101</v>
      </c>
      <c r="D9" s="56">
        <v>133.099320000001</v>
      </c>
      <c r="E9" s="56">
        <v>152.50685999999999</v>
      </c>
      <c r="F9" s="56">
        <v>4.9406564584124654E-324</v>
      </c>
      <c r="G9" s="56">
        <v>4.9406564584124654E-324</v>
      </c>
      <c r="H9" s="56">
        <v>4.9406564584124654E-324</v>
      </c>
      <c r="I9" s="56">
        <v>4.9406564584124654E-324</v>
      </c>
      <c r="J9" s="56">
        <v>4.9406564584124654E-324</v>
      </c>
      <c r="K9" s="56">
        <v>4.9406564584124654E-324</v>
      </c>
      <c r="L9" s="56">
        <v>4.9406564584124654E-324</v>
      </c>
      <c r="M9" s="56">
        <v>4.9406564584124654E-324</v>
      </c>
      <c r="N9" s="56">
        <v>4.9406564584124654E-324</v>
      </c>
      <c r="O9" s="56">
        <v>4.9406564584124654E-324</v>
      </c>
      <c r="P9" s="57">
        <v>285.60618000000102</v>
      </c>
      <c r="Q9" s="189">
        <v>0.77352884374599995</v>
      </c>
    </row>
    <row r="10" spans="1:17" ht="14.4" customHeight="1" x14ac:dyDescent="0.3">
      <c r="A10" s="19" t="s">
        <v>41</v>
      </c>
      <c r="B10" s="55">
        <v>272.99903718598301</v>
      </c>
      <c r="C10" s="56">
        <v>22.749919765497999</v>
      </c>
      <c r="D10" s="56">
        <v>32.316780000000001</v>
      </c>
      <c r="E10" s="56">
        <v>26.585760000000001</v>
      </c>
      <c r="F10" s="56">
        <v>4.9406564584124654E-324</v>
      </c>
      <c r="G10" s="56">
        <v>4.9406564584124654E-324</v>
      </c>
      <c r="H10" s="56">
        <v>4.9406564584124654E-324</v>
      </c>
      <c r="I10" s="56">
        <v>4.9406564584124654E-324</v>
      </c>
      <c r="J10" s="56">
        <v>4.9406564584124654E-324</v>
      </c>
      <c r="K10" s="56">
        <v>4.9406564584124654E-324</v>
      </c>
      <c r="L10" s="56">
        <v>4.9406564584124654E-324</v>
      </c>
      <c r="M10" s="56">
        <v>4.9406564584124654E-324</v>
      </c>
      <c r="N10" s="56">
        <v>4.9406564584124654E-324</v>
      </c>
      <c r="O10" s="56">
        <v>4.9406564584124654E-324</v>
      </c>
      <c r="P10" s="57">
        <v>58.902540000000002</v>
      </c>
      <c r="Q10" s="189">
        <v>1.294565884344</v>
      </c>
    </row>
    <row r="11" spans="1:17" ht="14.4" customHeight="1" x14ac:dyDescent="0.3">
      <c r="A11" s="19" t="s">
        <v>42</v>
      </c>
      <c r="B11" s="55">
        <v>545.43209258911099</v>
      </c>
      <c r="C11" s="56">
        <v>45.452674382425002</v>
      </c>
      <c r="D11" s="56">
        <v>37.10859</v>
      </c>
      <c r="E11" s="56">
        <v>26.359719999999999</v>
      </c>
      <c r="F11" s="56">
        <v>4.9406564584124654E-324</v>
      </c>
      <c r="G11" s="56">
        <v>4.9406564584124654E-324</v>
      </c>
      <c r="H11" s="56">
        <v>4.9406564584124654E-324</v>
      </c>
      <c r="I11" s="56">
        <v>4.9406564584124654E-324</v>
      </c>
      <c r="J11" s="56">
        <v>4.9406564584124654E-324</v>
      </c>
      <c r="K11" s="56">
        <v>4.9406564584124654E-324</v>
      </c>
      <c r="L11" s="56">
        <v>4.9406564584124654E-324</v>
      </c>
      <c r="M11" s="56">
        <v>4.9406564584124654E-324</v>
      </c>
      <c r="N11" s="56">
        <v>4.9406564584124654E-324</v>
      </c>
      <c r="O11" s="56">
        <v>4.9406564584124654E-324</v>
      </c>
      <c r="P11" s="57">
        <v>63.468310000000002</v>
      </c>
      <c r="Q11" s="189">
        <v>0.69818014959899999</v>
      </c>
    </row>
    <row r="12" spans="1:17" ht="14.4" customHeight="1" x14ac:dyDescent="0.3">
      <c r="A12" s="19" t="s">
        <v>43</v>
      </c>
      <c r="B12" s="55">
        <v>20.829625872621001</v>
      </c>
      <c r="C12" s="56">
        <v>1.735802156051</v>
      </c>
      <c r="D12" s="56">
        <v>4.5864700000000003</v>
      </c>
      <c r="E12" s="56">
        <v>0.60709000000000002</v>
      </c>
      <c r="F12" s="56">
        <v>4.9406564584124654E-324</v>
      </c>
      <c r="G12" s="56">
        <v>4.9406564584124654E-324</v>
      </c>
      <c r="H12" s="56">
        <v>4.9406564584124654E-324</v>
      </c>
      <c r="I12" s="56">
        <v>4.9406564584124654E-324</v>
      </c>
      <c r="J12" s="56">
        <v>4.9406564584124654E-324</v>
      </c>
      <c r="K12" s="56">
        <v>4.9406564584124654E-324</v>
      </c>
      <c r="L12" s="56">
        <v>4.9406564584124654E-324</v>
      </c>
      <c r="M12" s="56">
        <v>4.9406564584124654E-324</v>
      </c>
      <c r="N12" s="56">
        <v>4.9406564584124654E-324</v>
      </c>
      <c r="O12" s="56">
        <v>4.9406564584124654E-324</v>
      </c>
      <c r="P12" s="57">
        <v>5.1935599999999997</v>
      </c>
      <c r="Q12" s="189">
        <v>1.4960115073860001</v>
      </c>
    </row>
    <row r="13" spans="1:17" ht="14.4" customHeight="1" x14ac:dyDescent="0.3">
      <c r="A13" s="19" t="s">
        <v>44</v>
      </c>
      <c r="B13" s="55">
        <v>1115.82382087416</v>
      </c>
      <c r="C13" s="56">
        <v>92.985318406179999</v>
      </c>
      <c r="D13" s="56">
        <v>102.382490000001</v>
      </c>
      <c r="E13" s="56">
        <v>51.27458</v>
      </c>
      <c r="F13" s="56">
        <v>4.9406564584124654E-324</v>
      </c>
      <c r="G13" s="56">
        <v>4.9406564584124654E-324</v>
      </c>
      <c r="H13" s="56">
        <v>4.9406564584124654E-324</v>
      </c>
      <c r="I13" s="56">
        <v>4.9406564584124654E-324</v>
      </c>
      <c r="J13" s="56">
        <v>4.9406564584124654E-324</v>
      </c>
      <c r="K13" s="56">
        <v>4.9406564584124654E-324</v>
      </c>
      <c r="L13" s="56">
        <v>4.9406564584124654E-324</v>
      </c>
      <c r="M13" s="56">
        <v>4.9406564584124654E-324</v>
      </c>
      <c r="N13" s="56">
        <v>4.9406564584124654E-324</v>
      </c>
      <c r="O13" s="56">
        <v>4.9406564584124654E-324</v>
      </c>
      <c r="P13" s="57">
        <v>153.657070000001</v>
      </c>
      <c r="Q13" s="189">
        <v>0.82624371585599998</v>
      </c>
    </row>
    <row r="14" spans="1:17" ht="14.4" customHeight="1" x14ac:dyDescent="0.3">
      <c r="A14" s="19" t="s">
        <v>45</v>
      </c>
      <c r="B14" s="55">
        <v>2713.7290067575</v>
      </c>
      <c r="C14" s="56">
        <v>226.144083896458</v>
      </c>
      <c r="D14" s="56">
        <v>316.168000000002</v>
      </c>
      <c r="E14" s="56">
        <v>264.89999999999998</v>
      </c>
      <c r="F14" s="56">
        <v>4.9406564584124654E-324</v>
      </c>
      <c r="G14" s="56">
        <v>4.9406564584124654E-324</v>
      </c>
      <c r="H14" s="56">
        <v>4.9406564584124654E-324</v>
      </c>
      <c r="I14" s="56">
        <v>4.9406564584124654E-324</v>
      </c>
      <c r="J14" s="56">
        <v>4.9406564584124654E-324</v>
      </c>
      <c r="K14" s="56">
        <v>4.9406564584124654E-324</v>
      </c>
      <c r="L14" s="56">
        <v>4.9406564584124654E-324</v>
      </c>
      <c r="M14" s="56">
        <v>4.9406564584124654E-324</v>
      </c>
      <c r="N14" s="56">
        <v>4.9406564584124654E-324</v>
      </c>
      <c r="O14" s="56">
        <v>4.9406564584124654E-324</v>
      </c>
      <c r="P14" s="57">
        <v>581.06800000000203</v>
      </c>
      <c r="Q14" s="189">
        <v>1.2847296068680001</v>
      </c>
    </row>
    <row r="15" spans="1:17" ht="14.4" customHeight="1" x14ac:dyDescent="0.3">
      <c r="A15" s="19" t="s">
        <v>46</v>
      </c>
      <c r="B15" s="55">
        <v>4.9406564584124654E-324</v>
      </c>
      <c r="C15" s="56">
        <v>0</v>
      </c>
      <c r="D15" s="56">
        <v>4.9406564584124654E-324</v>
      </c>
      <c r="E15" s="56">
        <v>4.9406564584124654E-324</v>
      </c>
      <c r="F15" s="56">
        <v>4.9406564584124654E-324</v>
      </c>
      <c r="G15" s="56">
        <v>4.9406564584124654E-324</v>
      </c>
      <c r="H15" s="56">
        <v>4.9406564584124654E-324</v>
      </c>
      <c r="I15" s="56">
        <v>4.9406564584124654E-324</v>
      </c>
      <c r="J15" s="56">
        <v>4.9406564584124654E-324</v>
      </c>
      <c r="K15" s="56">
        <v>4.9406564584124654E-324</v>
      </c>
      <c r="L15" s="56">
        <v>4.9406564584124654E-324</v>
      </c>
      <c r="M15" s="56">
        <v>4.9406564584124654E-324</v>
      </c>
      <c r="N15" s="56">
        <v>4.9406564584124654E-324</v>
      </c>
      <c r="O15" s="56">
        <v>4.9406564584124654E-324</v>
      </c>
      <c r="P15" s="57">
        <v>9.8813129168249309E-324</v>
      </c>
      <c r="Q15" s="189" t="s">
        <v>300</v>
      </c>
    </row>
    <row r="16" spans="1:17" ht="14.4" customHeight="1" x14ac:dyDescent="0.3">
      <c r="A16" s="19" t="s">
        <v>47</v>
      </c>
      <c r="B16" s="55">
        <v>4.9406564584124654E-324</v>
      </c>
      <c r="C16" s="56">
        <v>0</v>
      </c>
      <c r="D16" s="56">
        <v>4.9406564584124654E-324</v>
      </c>
      <c r="E16" s="56">
        <v>4.9406564584124654E-324</v>
      </c>
      <c r="F16" s="56">
        <v>4.9406564584124654E-324</v>
      </c>
      <c r="G16" s="56">
        <v>4.9406564584124654E-324</v>
      </c>
      <c r="H16" s="56">
        <v>4.9406564584124654E-324</v>
      </c>
      <c r="I16" s="56">
        <v>4.9406564584124654E-324</v>
      </c>
      <c r="J16" s="56">
        <v>4.9406564584124654E-324</v>
      </c>
      <c r="K16" s="56">
        <v>4.9406564584124654E-324</v>
      </c>
      <c r="L16" s="56">
        <v>4.9406564584124654E-324</v>
      </c>
      <c r="M16" s="56">
        <v>4.9406564584124654E-324</v>
      </c>
      <c r="N16" s="56">
        <v>4.9406564584124654E-324</v>
      </c>
      <c r="O16" s="56">
        <v>4.9406564584124654E-324</v>
      </c>
      <c r="P16" s="57">
        <v>9.8813129168249309E-324</v>
      </c>
      <c r="Q16" s="189" t="s">
        <v>300</v>
      </c>
    </row>
    <row r="17" spans="1:17" ht="14.4" customHeight="1" x14ac:dyDescent="0.3">
      <c r="A17" s="19" t="s">
        <v>48</v>
      </c>
      <c r="B17" s="55">
        <v>856.20864095978095</v>
      </c>
      <c r="C17" s="56">
        <v>71.350720079981002</v>
      </c>
      <c r="D17" s="56">
        <v>7.2481600000000004</v>
      </c>
      <c r="E17" s="56">
        <v>125.26373</v>
      </c>
      <c r="F17" s="56">
        <v>4.9406564584124654E-324</v>
      </c>
      <c r="G17" s="56">
        <v>4.9406564584124654E-324</v>
      </c>
      <c r="H17" s="56">
        <v>4.9406564584124654E-324</v>
      </c>
      <c r="I17" s="56">
        <v>4.9406564584124654E-324</v>
      </c>
      <c r="J17" s="56">
        <v>4.9406564584124654E-324</v>
      </c>
      <c r="K17" s="56">
        <v>4.9406564584124654E-324</v>
      </c>
      <c r="L17" s="56">
        <v>4.9406564584124654E-324</v>
      </c>
      <c r="M17" s="56">
        <v>4.9406564584124654E-324</v>
      </c>
      <c r="N17" s="56">
        <v>4.9406564584124654E-324</v>
      </c>
      <c r="O17" s="56">
        <v>4.9406564584124654E-324</v>
      </c>
      <c r="P17" s="57">
        <v>132.51188999999999</v>
      </c>
      <c r="Q17" s="189">
        <v>0.92859532357499996</v>
      </c>
    </row>
    <row r="18" spans="1:17" ht="14.4" customHeight="1" x14ac:dyDescent="0.3">
      <c r="A18" s="19" t="s">
        <v>49</v>
      </c>
      <c r="B18" s="55">
        <v>0</v>
      </c>
      <c r="C18" s="56">
        <v>0</v>
      </c>
      <c r="D18" s="56">
        <v>4.9406564584124654E-324</v>
      </c>
      <c r="E18" s="56">
        <v>4.9406564584124654E-324</v>
      </c>
      <c r="F18" s="56">
        <v>4.9406564584124654E-324</v>
      </c>
      <c r="G18" s="56">
        <v>4.9406564584124654E-324</v>
      </c>
      <c r="H18" s="56">
        <v>4.9406564584124654E-324</v>
      </c>
      <c r="I18" s="56">
        <v>4.9406564584124654E-324</v>
      </c>
      <c r="J18" s="56">
        <v>4.9406564584124654E-324</v>
      </c>
      <c r="K18" s="56">
        <v>4.9406564584124654E-324</v>
      </c>
      <c r="L18" s="56">
        <v>4.9406564584124654E-324</v>
      </c>
      <c r="M18" s="56">
        <v>4.9406564584124654E-324</v>
      </c>
      <c r="N18" s="56">
        <v>4.9406564584124654E-324</v>
      </c>
      <c r="O18" s="56">
        <v>4.9406564584124654E-324</v>
      </c>
      <c r="P18" s="57">
        <v>9.8813129168249309E-324</v>
      </c>
      <c r="Q18" s="189" t="s">
        <v>300</v>
      </c>
    </row>
    <row r="19" spans="1:17" ht="14.4" customHeight="1" x14ac:dyDescent="0.3">
      <c r="A19" s="19" t="s">
        <v>50</v>
      </c>
      <c r="B19" s="55">
        <v>1699.1398685234601</v>
      </c>
      <c r="C19" s="56">
        <v>141.59498904362201</v>
      </c>
      <c r="D19" s="56">
        <v>197.04018000000099</v>
      </c>
      <c r="E19" s="56">
        <v>62.410310000000003</v>
      </c>
      <c r="F19" s="56">
        <v>4.9406564584124654E-324</v>
      </c>
      <c r="G19" s="56">
        <v>4.9406564584124654E-324</v>
      </c>
      <c r="H19" s="56">
        <v>4.9406564584124654E-324</v>
      </c>
      <c r="I19" s="56">
        <v>4.9406564584124654E-324</v>
      </c>
      <c r="J19" s="56">
        <v>4.9406564584124654E-324</v>
      </c>
      <c r="K19" s="56">
        <v>4.9406564584124654E-324</v>
      </c>
      <c r="L19" s="56">
        <v>4.9406564584124654E-324</v>
      </c>
      <c r="M19" s="56">
        <v>4.9406564584124654E-324</v>
      </c>
      <c r="N19" s="56">
        <v>4.9406564584124654E-324</v>
      </c>
      <c r="O19" s="56">
        <v>4.9406564584124654E-324</v>
      </c>
      <c r="P19" s="57">
        <v>259.45049000000103</v>
      </c>
      <c r="Q19" s="189">
        <v>0.91617115744099997</v>
      </c>
    </row>
    <row r="20" spans="1:17" ht="14.4" customHeight="1" x14ac:dyDescent="0.3">
      <c r="A20" s="19" t="s">
        <v>51</v>
      </c>
      <c r="B20" s="55">
        <v>21261.083897359302</v>
      </c>
      <c r="C20" s="56">
        <v>1771.7569914466101</v>
      </c>
      <c r="D20" s="56">
        <v>2238.5513700000101</v>
      </c>
      <c r="E20" s="56">
        <v>1821.88642</v>
      </c>
      <c r="F20" s="56">
        <v>4.9406564584124654E-324</v>
      </c>
      <c r="G20" s="56">
        <v>4.9406564584124654E-324</v>
      </c>
      <c r="H20" s="56">
        <v>4.9406564584124654E-324</v>
      </c>
      <c r="I20" s="56">
        <v>4.9406564584124654E-324</v>
      </c>
      <c r="J20" s="56">
        <v>4.9406564584124654E-324</v>
      </c>
      <c r="K20" s="56">
        <v>4.9406564584124654E-324</v>
      </c>
      <c r="L20" s="56">
        <v>4.9406564584124654E-324</v>
      </c>
      <c r="M20" s="56">
        <v>4.9406564584124654E-324</v>
      </c>
      <c r="N20" s="56">
        <v>4.9406564584124654E-324</v>
      </c>
      <c r="O20" s="56">
        <v>4.9406564584124654E-324</v>
      </c>
      <c r="P20" s="57">
        <v>4060.43779000001</v>
      </c>
      <c r="Q20" s="189">
        <v>1.1458788675880001</v>
      </c>
    </row>
    <row r="21" spans="1:17" ht="14.4" customHeight="1" x14ac:dyDescent="0.3">
      <c r="A21" s="20" t="s">
        <v>52</v>
      </c>
      <c r="B21" s="55">
        <v>1507.98745286191</v>
      </c>
      <c r="C21" s="56">
        <v>125.665621071826</v>
      </c>
      <c r="D21" s="56">
        <v>120.53200000000101</v>
      </c>
      <c r="E21" s="56">
        <v>190.76400000000001</v>
      </c>
      <c r="F21" s="56">
        <v>1.4821969375237396E-323</v>
      </c>
      <c r="G21" s="56">
        <v>1.4821969375237396E-323</v>
      </c>
      <c r="H21" s="56">
        <v>1.4821969375237396E-323</v>
      </c>
      <c r="I21" s="56">
        <v>1.4821969375237396E-323</v>
      </c>
      <c r="J21" s="56">
        <v>1.4821969375237396E-323</v>
      </c>
      <c r="K21" s="56">
        <v>1.4821969375237396E-323</v>
      </c>
      <c r="L21" s="56">
        <v>1.4821969375237396E-323</v>
      </c>
      <c r="M21" s="56">
        <v>1.4821969375237396E-323</v>
      </c>
      <c r="N21" s="56">
        <v>1.4821969375237396E-323</v>
      </c>
      <c r="O21" s="56">
        <v>1.4821969375237396E-323</v>
      </c>
      <c r="P21" s="57">
        <v>311.29600000000102</v>
      </c>
      <c r="Q21" s="189">
        <v>1.238588554868</v>
      </c>
    </row>
    <row r="22" spans="1:17" ht="14.4" customHeight="1" x14ac:dyDescent="0.3">
      <c r="A22" s="19" t="s">
        <v>53</v>
      </c>
      <c r="B22" s="55">
        <v>0</v>
      </c>
      <c r="C22" s="56">
        <v>0</v>
      </c>
      <c r="D22" s="56">
        <v>4.9406564584124654E-324</v>
      </c>
      <c r="E22" s="56">
        <v>4.9406564584124654E-324</v>
      </c>
      <c r="F22" s="56">
        <v>4.9406564584124654E-324</v>
      </c>
      <c r="G22" s="56">
        <v>4.9406564584124654E-324</v>
      </c>
      <c r="H22" s="56">
        <v>4.9406564584124654E-324</v>
      </c>
      <c r="I22" s="56">
        <v>4.9406564584124654E-324</v>
      </c>
      <c r="J22" s="56">
        <v>4.9406564584124654E-324</v>
      </c>
      <c r="K22" s="56">
        <v>4.9406564584124654E-324</v>
      </c>
      <c r="L22" s="56">
        <v>4.9406564584124654E-324</v>
      </c>
      <c r="M22" s="56">
        <v>4.9406564584124654E-324</v>
      </c>
      <c r="N22" s="56">
        <v>4.9406564584124654E-324</v>
      </c>
      <c r="O22" s="56">
        <v>4.9406564584124654E-324</v>
      </c>
      <c r="P22" s="57">
        <v>9.8813129168249309E-324</v>
      </c>
      <c r="Q22" s="189" t="s">
        <v>300</v>
      </c>
    </row>
    <row r="23" spans="1:17" ht="14.4" customHeight="1" x14ac:dyDescent="0.3">
      <c r="A23" s="20" t="s">
        <v>54</v>
      </c>
      <c r="B23" s="55">
        <v>1.9762625833649862E-323</v>
      </c>
      <c r="C23" s="56">
        <v>0</v>
      </c>
      <c r="D23" s="56">
        <v>1.9762625833649862E-323</v>
      </c>
      <c r="E23" s="56">
        <v>1.9762625833649862E-323</v>
      </c>
      <c r="F23" s="56">
        <v>1.9762625833649862E-323</v>
      </c>
      <c r="G23" s="56">
        <v>1.9762625833649862E-323</v>
      </c>
      <c r="H23" s="56">
        <v>1.9762625833649862E-323</v>
      </c>
      <c r="I23" s="56">
        <v>1.9762625833649862E-323</v>
      </c>
      <c r="J23" s="56">
        <v>1.9762625833649862E-323</v>
      </c>
      <c r="K23" s="56">
        <v>1.9762625833649862E-323</v>
      </c>
      <c r="L23" s="56">
        <v>1.9762625833649862E-323</v>
      </c>
      <c r="M23" s="56">
        <v>1.9762625833649862E-323</v>
      </c>
      <c r="N23" s="56">
        <v>1.9762625833649862E-323</v>
      </c>
      <c r="O23" s="56">
        <v>1.9762625833649862E-323</v>
      </c>
      <c r="P23" s="57">
        <v>3.9525251667299724E-323</v>
      </c>
      <c r="Q23" s="189" t="s">
        <v>300</v>
      </c>
    </row>
    <row r="24" spans="1:17" ht="14.4" customHeight="1" x14ac:dyDescent="0.3">
      <c r="A24" s="20" t="s">
        <v>55</v>
      </c>
      <c r="B24" s="55">
        <v>0</v>
      </c>
      <c r="C24" s="56">
        <v>-4.5474735088646402E-13</v>
      </c>
      <c r="D24" s="56">
        <v>0.72619</v>
      </c>
      <c r="E24" s="56">
        <v>-7.0000000505388002E-5</v>
      </c>
      <c r="F24" s="56">
        <v>-1.0869444208507424E-322</v>
      </c>
      <c r="G24" s="56">
        <v>-1.0869444208507424E-322</v>
      </c>
      <c r="H24" s="56">
        <v>-1.0869444208507424E-322</v>
      </c>
      <c r="I24" s="56">
        <v>-1.0869444208507424E-322</v>
      </c>
      <c r="J24" s="56">
        <v>-1.0869444208507424E-322</v>
      </c>
      <c r="K24" s="56">
        <v>-1.0869444208507424E-322</v>
      </c>
      <c r="L24" s="56">
        <v>-1.0869444208507424E-322</v>
      </c>
      <c r="M24" s="56">
        <v>-1.0869444208507424E-322</v>
      </c>
      <c r="N24" s="56">
        <v>-1.0869444208507424E-322</v>
      </c>
      <c r="O24" s="56">
        <v>-1.0869444208507424E-322</v>
      </c>
      <c r="P24" s="57">
        <v>0.72611999999900001</v>
      </c>
      <c r="Q24" s="189"/>
    </row>
    <row r="25" spans="1:17" ht="14.4" customHeight="1" x14ac:dyDescent="0.3">
      <c r="A25" s="21" t="s">
        <v>56</v>
      </c>
      <c r="B25" s="58">
        <v>33225.357130374003</v>
      </c>
      <c r="C25" s="59">
        <v>2768.7797608645001</v>
      </c>
      <c r="D25" s="59">
        <v>3272.2584200000201</v>
      </c>
      <c r="E25" s="59">
        <v>2785.5312899999999</v>
      </c>
      <c r="F25" s="59">
        <v>4.9406564584124654E-324</v>
      </c>
      <c r="G25" s="59">
        <v>4.9406564584124654E-324</v>
      </c>
      <c r="H25" s="59">
        <v>4.9406564584124654E-324</v>
      </c>
      <c r="I25" s="59">
        <v>4.9406564584124654E-324</v>
      </c>
      <c r="J25" s="59">
        <v>4.9406564584124654E-324</v>
      </c>
      <c r="K25" s="59">
        <v>4.9406564584124654E-324</v>
      </c>
      <c r="L25" s="59">
        <v>4.9406564584124654E-324</v>
      </c>
      <c r="M25" s="59">
        <v>4.9406564584124654E-324</v>
      </c>
      <c r="N25" s="59">
        <v>4.9406564584124654E-324</v>
      </c>
      <c r="O25" s="59">
        <v>4.9406564584124654E-324</v>
      </c>
      <c r="P25" s="60">
        <v>6057.78971000002</v>
      </c>
      <c r="Q25" s="190">
        <v>1.093945751053</v>
      </c>
    </row>
    <row r="26" spans="1:17" ht="14.4" customHeight="1" x14ac:dyDescent="0.3">
      <c r="A26" s="19" t="s">
        <v>57</v>
      </c>
      <c r="B26" s="55">
        <v>3779.0245250921498</v>
      </c>
      <c r="C26" s="56">
        <v>314.91871042434599</v>
      </c>
      <c r="D26" s="56">
        <v>406.96003000000002</v>
      </c>
      <c r="E26" s="56">
        <v>320.71415000000002</v>
      </c>
      <c r="F26" s="56">
        <v>4.9406564584124654E-324</v>
      </c>
      <c r="G26" s="56">
        <v>4.9406564584124654E-324</v>
      </c>
      <c r="H26" s="56">
        <v>4.9406564584124654E-324</v>
      </c>
      <c r="I26" s="56">
        <v>4.9406564584124654E-324</v>
      </c>
      <c r="J26" s="56">
        <v>4.9406564584124654E-324</v>
      </c>
      <c r="K26" s="56">
        <v>4.9406564584124654E-324</v>
      </c>
      <c r="L26" s="56">
        <v>4.9406564584124654E-324</v>
      </c>
      <c r="M26" s="56">
        <v>4.9406564584124654E-324</v>
      </c>
      <c r="N26" s="56">
        <v>4.9406564584124654E-324</v>
      </c>
      <c r="O26" s="56">
        <v>4.9406564584124654E-324</v>
      </c>
      <c r="P26" s="57">
        <v>727.67417999999998</v>
      </c>
      <c r="Q26" s="189">
        <v>1.155336529575</v>
      </c>
    </row>
    <row r="27" spans="1:17" ht="14.4" customHeight="1" x14ac:dyDescent="0.3">
      <c r="A27" s="22" t="s">
        <v>58</v>
      </c>
      <c r="B27" s="58">
        <v>37004.381655466103</v>
      </c>
      <c r="C27" s="59">
        <v>3083.6984712888502</v>
      </c>
      <c r="D27" s="59">
        <v>3679.2184500000199</v>
      </c>
      <c r="E27" s="59">
        <v>3106.2454400000001</v>
      </c>
      <c r="F27" s="59">
        <v>9.8813129168249309E-324</v>
      </c>
      <c r="G27" s="59">
        <v>9.8813129168249309E-324</v>
      </c>
      <c r="H27" s="59">
        <v>9.8813129168249309E-324</v>
      </c>
      <c r="I27" s="59">
        <v>9.8813129168249309E-324</v>
      </c>
      <c r="J27" s="59">
        <v>9.8813129168249309E-324</v>
      </c>
      <c r="K27" s="59">
        <v>9.8813129168249309E-324</v>
      </c>
      <c r="L27" s="59">
        <v>9.8813129168249309E-324</v>
      </c>
      <c r="M27" s="59">
        <v>9.8813129168249309E-324</v>
      </c>
      <c r="N27" s="59">
        <v>9.8813129168249309E-324</v>
      </c>
      <c r="O27" s="59">
        <v>9.8813129168249309E-324</v>
      </c>
      <c r="P27" s="60">
        <v>6785.46389000002</v>
      </c>
      <c r="Q27" s="190">
        <v>1.100215204757</v>
      </c>
    </row>
    <row r="28" spans="1:17" ht="14.4" customHeight="1" x14ac:dyDescent="0.3">
      <c r="A28" s="20" t="s">
        <v>59</v>
      </c>
      <c r="B28" s="55">
        <v>1599.1040600792301</v>
      </c>
      <c r="C28" s="56">
        <v>133.25867167326899</v>
      </c>
      <c r="D28" s="56">
        <v>144.94998000000001</v>
      </c>
      <c r="E28" s="56">
        <v>58.08379</v>
      </c>
      <c r="F28" s="56">
        <v>1.2351641146031164E-322</v>
      </c>
      <c r="G28" s="56">
        <v>1.2351641146031164E-322</v>
      </c>
      <c r="H28" s="56">
        <v>1.2351641146031164E-322</v>
      </c>
      <c r="I28" s="56">
        <v>1.2351641146031164E-322</v>
      </c>
      <c r="J28" s="56">
        <v>1.2351641146031164E-322</v>
      </c>
      <c r="K28" s="56">
        <v>1.2351641146031164E-322</v>
      </c>
      <c r="L28" s="56">
        <v>1.2351641146031164E-322</v>
      </c>
      <c r="M28" s="56">
        <v>1.2351641146031164E-322</v>
      </c>
      <c r="N28" s="56">
        <v>1.2351641146031164E-322</v>
      </c>
      <c r="O28" s="56">
        <v>1.2351641146031164E-322</v>
      </c>
      <c r="P28" s="57">
        <v>203.03377</v>
      </c>
      <c r="Q28" s="189">
        <v>0.76180321869699996</v>
      </c>
    </row>
    <row r="29" spans="1:17" ht="14.4" customHeight="1" x14ac:dyDescent="0.3">
      <c r="A29" s="20" t="s">
        <v>60</v>
      </c>
      <c r="B29" s="55">
        <v>9.8813129168249309E-324</v>
      </c>
      <c r="C29" s="56">
        <v>0</v>
      </c>
      <c r="D29" s="56">
        <v>9.8813129168249309E-324</v>
      </c>
      <c r="E29" s="56">
        <v>9.8813129168249309E-324</v>
      </c>
      <c r="F29" s="56">
        <v>9.8813129168249309E-324</v>
      </c>
      <c r="G29" s="56">
        <v>9.8813129168249309E-324</v>
      </c>
      <c r="H29" s="56">
        <v>9.8813129168249309E-324</v>
      </c>
      <c r="I29" s="56">
        <v>9.8813129168249309E-324</v>
      </c>
      <c r="J29" s="56">
        <v>9.8813129168249309E-324</v>
      </c>
      <c r="K29" s="56">
        <v>9.8813129168249309E-324</v>
      </c>
      <c r="L29" s="56">
        <v>9.8813129168249309E-324</v>
      </c>
      <c r="M29" s="56">
        <v>9.8813129168249309E-324</v>
      </c>
      <c r="N29" s="56">
        <v>9.8813129168249309E-324</v>
      </c>
      <c r="O29" s="56">
        <v>9.8813129168249309E-324</v>
      </c>
      <c r="P29" s="57">
        <v>1.9762625833649862E-323</v>
      </c>
      <c r="Q29" s="189" t="s">
        <v>300</v>
      </c>
    </row>
    <row r="30" spans="1:17" ht="14.4" customHeight="1" x14ac:dyDescent="0.3">
      <c r="A30" s="20" t="s">
        <v>61</v>
      </c>
      <c r="B30" s="55">
        <v>4.9406564584124654E-323</v>
      </c>
      <c r="C30" s="56">
        <v>0</v>
      </c>
      <c r="D30" s="56">
        <v>4.9406564584124654E-323</v>
      </c>
      <c r="E30" s="56">
        <v>4.9406564584124654E-323</v>
      </c>
      <c r="F30" s="56">
        <v>4.9406564584124654E-323</v>
      </c>
      <c r="G30" s="56">
        <v>4.9406564584124654E-323</v>
      </c>
      <c r="H30" s="56">
        <v>4.9406564584124654E-323</v>
      </c>
      <c r="I30" s="56">
        <v>4.9406564584124654E-323</v>
      </c>
      <c r="J30" s="56">
        <v>4.9406564584124654E-323</v>
      </c>
      <c r="K30" s="56">
        <v>4.9406564584124654E-323</v>
      </c>
      <c r="L30" s="56">
        <v>4.9406564584124654E-323</v>
      </c>
      <c r="M30" s="56">
        <v>4.9406564584124654E-323</v>
      </c>
      <c r="N30" s="56">
        <v>4.9406564584124654E-323</v>
      </c>
      <c r="O30" s="56">
        <v>4.9406564584124654E-323</v>
      </c>
      <c r="P30" s="57">
        <v>9.8813129168249309E-323</v>
      </c>
      <c r="Q30" s="189">
        <v>0</v>
      </c>
    </row>
    <row r="31" spans="1:17" ht="14.4" customHeight="1" thickBot="1" x14ac:dyDescent="0.35">
      <c r="A31" s="23" t="s">
        <v>62</v>
      </c>
      <c r="B31" s="61">
        <v>2.4703282292062327E-323</v>
      </c>
      <c r="C31" s="62">
        <v>0</v>
      </c>
      <c r="D31" s="62">
        <v>2.4703282292062327E-323</v>
      </c>
      <c r="E31" s="62">
        <v>2.4703282292062327E-323</v>
      </c>
      <c r="F31" s="62">
        <v>2.4703282292062327E-323</v>
      </c>
      <c r="G31" s="62">
        <v>2.4703282292062327E-323</v>
      </c>
      <c r="H31" s="62">
        <v>2.4703282292062327E-323</v>
      </c>
      <c r="I31" s="62">
        <v>2.4703282292062327E-323</v>
      </c>
      <c r="J31" s="62">
        <v>2.4703282292062327E-323</v>
      </c>
      <c r="K31" s="62">
        <v>2.4703282292062327E-323</v>
      </c>
      <c r="L31" s="62">
        <v>2.4703282292062327E-323</v>
      </c>
      <c r="M31" s="62">
        <v>2.4703282292062327E-323</v>
      </c>
      <c r="N31" s="62">
        <v>2.4703282292062327E-323</v>
      </c>
      <c r="O31" s="62">
        <v>2.4703282292062327E-323</v>
      </c>
      <c r="P31" s="63">
        <v>4.9406564584124654E-323</v>
      </c>
      <c r="Q31" s="191" t="s">
        <v>300</v>
      </c>
    </row>
    <row r="32" spans="1:17" ht="14.4" customHeight="1" x14ac:dyDescent="0.3">
      <c r="B32" s="261"/>
      <c r="C32" s="261"/>
      <c r="D32" s="261"/>
      <c r="E32" s="261"/>
      <c r="F32" s="261"/>
      <c r="G32" s="261"/>
      <c r="H32" s="261"/>
      <c r="I32" s="261"/>
      <c r="J32" s="261"/>
      <c r="K32" s="261"/>
      <c r="L32" s="261"/>
      <c r="M32" s="261"/>
      <c r="N32" s="261"/>
      <c r="O32" s="261"/>
      <c r="P32" s="261"/>
      <c r="Q32" s="261"/>
    </row>
    <row r="33" spans="1:17" ht="14.4" customHeight="1" x14ac:dyDescent="0.3">
      <c r="A33" s="232" t="s">
        <v>207</v>
      </c>
      <c r="B33" s="262"/>
      <c r="C33" s="262"/>
      <c r="D33" s="262"/>
      <c r="E33" s="262"/>
      <c r="F33" s="262"/>
      <c r="G33" s="262"/>
      <c r="H33" s="262"/>
      <c r="I33" s="262"/>
      <c r="J33" s="262"/>
      <c r="K33" s="262"/>
      <c r="L33" s="262"/>
      <c r="M33" s="262"/>
      <c r="N33" s="262"/>
      <c r="O33" s="262"/>
      <c r="P33" s="262"/>
      <c r="Q33" s="262"/>
    </row>
    <row r="34" spans="1:17" ht="14.4" customHeight="1" x14ac:dyDescent="0.3">
      <c r="A34" s="266" t="s">
        <v>243</v>
      </c>
      <c r="B34" s="262"/>
      <c r="C34" s="262"/>
      <c r="D34" s="262"/>
      <c r="E34" s="262"/>
      <c r="F34" s="262"/>
      <c r="G34" s="262"/>
      <c r="H34" s="262"/>
      <c r="I34" s="262"/>
      <c r="J34" s="262"/>
      <c r="K34" s="262"/>
      <c r="L34" s="262"/>
      <c r="M34" s="262"/>
      <c r="N34" s="262"/>
      <c r="O34" s="262"/>
      <c r="P34" s="262"/>
      <c r="Q34" s="262"/>
    </row>
    <row r="35" spans="1:17" ht="14.4" customHeight="1" x14ac:dyDescent="0.3">
      <c r="A35" s="267" t="s">
        <v>63</v>
      </c>
      <c r="B35" s="262"/>
      <c r="C35" s="262"/>
      <c r="D35" s="262"/>
      <c r="E35" s="262"/>
      <c r="F35" s="262"/>
      <c r="G35" s="262"/>
      <c r="H35" s="262"/>
      <c r="I35" s="262"/>
      <c r="J35" s="262"/>
      <c r="K35" s="262"/>
      <c r="L35" s="262"/>
      <c r="M35" s="262"/>
      <c r="N35" s="262"/>
      <c r="O35" s="262"/>
      <c r="P35" s="262"/>
      <c r="Q35" s="262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17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60" customWidth="1"/>
    <col min="2" max="11" width="10" style="260" customWidth="1"/>
    <col min="12" max="16384" width="8.88671875" style="260"/>
  </cols>
  <sheetData>
    <row r="1" spans="1:11" s="64" customFormat="1" ht="18.600000000000001" customHeight="1" thickBot="1" x14ac:dyDescent="0.4">
      <c r="A1" s="471" t="s">
        <v>64</v>
      </c>
      <c r="B1" s="471"/>
      <c r="C1" s="471"/>
      <c r="D1" s="471"/>
      <c r="E1" s="471"/>
      <c r="F1" s="471"/>
      <c r="G1" s="471"/>
      <c r="H1" s="476"/>
      <c r="I1" s="476"/>
      <c r="J1" s="476"/>
      <c r="K1" s="476"/>
    </row>
    <row r="2" spans="1:11" s="64" customFormat="1" ht="14.4" customHeight="1" thickBot="1" x14ac:dyDescent="0.35">
      <c r="A2" s="389" t="s">
        <v>299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472" t="s">
        <v>65</v>
      </c>
      <c r="C3" s="473"/>
      <c r="D3" s="473"/>
      <c r="E3" s="473"/>
      <c r="F3" s="479" t="s">
        <v>66</v>
      </c>
      <c r="G3" s="473"/>
      <c r="H3" s="473"/>
      <c r="I3" s="473"/>
      <c r="J3" s="473"/>
      <c r="K3" s="480"/>
    </row>
    <row r="4" spans="1:11" ht="14.4" customHeight="1" x14ac:dyDescent="0.3">
      <c r="A4" s="102"/>
      <c r="B4" s="477"/>
      <c r="C4" s="478"/>
      <c r="D4" s="478"/>
      <c r="E4" s="478"/>
      <c r="F4" s="481" t="s">
        <v>231</v>
      </c>
      <c r="G4" s="483" t="s">
        <v>67</v>
      </c>
      <c r="H4" s="272" t="s">
        <v>187</v>
      </c>
      <c r="I4" s="481" t="s">
        <v>68</v>
      </c>
      <c r="J4" s="483" t="s">
        <v>233</v>
      </c>
      <c r="K4" s="484" t="s">
        <v>234</v>
      </c>
    </row>
    <row r="5" spans="1:11" ht="42" thickBot="1" x14ac:dyDescent="0.35">
      <c r="A5" s="103"/>
      <c r="B5" s="28" t="s">
        <v>227</v>
      </c>
      <c r="C5" s="29" t="s">
        <v>228</v>
      </c>
      <c r="D5" s="30" t="s">
        <v>229</v>
      </c>
      <c r="E5" s="30" t="s">
        <v>230</v>
      </c>
      <c r="F5" s="482"/>
      <c r="G5" s="482"/>
      <c r="H5" s="29" t="s">
        <v>232</v>
      </c>
      <c r="I5" s="482"/>
      <c r="J5" s="482"/>
      <c r="K5" s="485"/>
    </row>
    <row r="6" spans="1:11" ht="14.4" customHeight="1" thickBot="1" x14ac:dyDescent="0.35">
      <c r="A6" s="611" t="s">
        <v>302</v>
      </c>
      <c r="B6" s="593">
        <v>33003.856434516798</v>
      </c>
      <c r="C6" s="593">
        <v>35994.908000000003</v>
      </c>
      <c r="D6" s="594">
        <v>2991.0515654832702</v>
      </c>
      <c r="E6" s="595">
        <v>1.0906273353660001</v>
      </c>
      <c r="F6" s="593">
        <v>33225.357130374003</v>
      </c>
      <c r="G6" s="594">
        <v>5537.5595217290002</v>
      </c>
      <c r="H6" s="596">
        <v>2785.5312899999999</v>
      </c>
      <c r="I6" s="593">
        <v>6057.78971000002</v>
      </c>
      <c r="J6" s="594">
        <v>520.23018827101703</v>
      </c>
      <c r="K6" s="597">
        <v>0.182324291842</v>
      </c>
    </row>
    <row r="7" spans="1:11" ht="14.4" customHeight="1" thickBot="1" x14ac:dyDescent="0.35">
      <c r="A7" s="612" t="s">
        <v>303</v>
      </c>
      <c r="B7" s="593">
        <v>8162.2572920552902</v>
      </c>
      <c r="C7" s="593">
        <v>9094.5707299999995</v>
      </c>
      <c r="D7" s="594">
        <v>932.313437944714</v>
      </c>
      <c r="E7" s="595">
        <v>1.1142225005390001</v>
      </c>
      <c r="F7" s="593">
        <v>7900.9372706695403</v>
      </c>
      <c r="G7" s="594">
        <v>1316.82287844492</v>
      </c>
      <c r="H7" s="596">
        <v>585.20682999999997</v>
      </c>
      <c r="I7" s="593">
        <v>1293.3662400000001</v>
      </c>
      <c r="J7" s="594">
        <v>-23.456638444919001</v>
      </c>
      <c r="K7" s="597">
        <v>0.163697824155</v>
      </c>
    </row>
    <row r="8" spans="1:11" ht="14.4" customHeight="1" thickBot="1" x14ac:dyDescent="0.35">
      <c r="A8" s="613" t="s">
        <v>304</v>
      </c>
      <c r="B8" s="593">
        <v>5387.1500022316504</v>
      </c>
      <c r="C8" s="593">
        <v>6403.5132199999998</v>
      </c>
      <c r="D8" s="594">
        <v>1016.36321776835</v>
      </c>
      <c r="E8" s="595">
        <v>1.1886643619249999</v>
      </c>
      <c r="F8" s="593">
        <v>5187.2082639120399</v>
      </c>
      <c r="G8" s="594">
        <v>864.53471065200699</v>
      </c>
      <c r="H8" s="596">
        <v>320.30682999999999</v>
      </c>
      <c r="I8" s="593">
        <v>712.29824000000201</v>
      </c>
      <c r="J8" s="594">
        <v>-152.23647065200501</v>
      </c>
      <c r="K8" s="597">
        <v>0.137318226637</v>
      </c>
    </row>
    <row r="9" spans="1:11" ht="14.4" customHeight="1" thickBot="1" x14ac:dyDescent="0.35">
      <c r="A9" s="614" t="s">
        <v>305</v>
      </c>
      <c r="B9" s="598">
        <v>4.9406564584124654E-324</v>
      </c>
      <c r="C9" s="598">
        <v>-1.1800000000000001E-3</v>
      </c>
      <c r="D9" s="599">
        <v>-1.1800000000000001E-3</v>
      </c>
      <c r="E9" s="600" t="s">
        <v>306</v>
      </c>
      <c r="F9" s="598">
        <v>0</v>
      </c>
      <c r="G9" s="599">
        <v>0</v>
      </c>
      <c r="H9" s="601">
        <v>-6.9999999999999994E-5</v>
      </c>
      <c r="I9" s="598">
        <v>-1.1800000000000001E-3</v>
      </c>
      <c r="J9" s="599">
        <v>-1.1800000000000001E-3</v>
      </c>
      <c r="K9" s="602" t="s">
        <v>300</v>
      </c>
    </row>
    <row r="10" spans="1:11" ht="14.4" customHeight="1" thickBot="1" x14ac:dyDescent="0.35">
      <c r="A10" s="615" t="s">
        <v>307</v>
      </c>
      <c r="B10" s="593">
        <v>4.9406564584124654E-324</v>
      </c>
      <c r="C10" s="593">
        <v>-1.1800000000000001E-3</v>
      </c>
      <c r="D10" s="594">
        <v>-1.1800000000000001E-3</v>
      </c>
      <c r="E10" s="603" t="s">
        <v>306</v>
      </c>
      <c r="F10" s="593">
        <v>0</v>
      </c>
      <c r="G10" s="594">
        <v>0</v>
      </c>
      <c r="H10" s="596">
        <v>-6.9999999999999994E-5</v>
      </c>
      <c r="I10" s="593">
        <v>-1.1800000000000001E-3</v>
      </c>
      <c r="J10" s="594">
        <v>-1.1800000000000001E-3</v>
      </c>
      <c r="K10" s="604" t="s">
        <v>300</v>
      </c>
    </row>
    <row r="11" spans="1:11" ht="14.4" customHeight="1" thickBot="1" x14ac:dyDescent="0.35">
      <c r="A11" s="614" t="s">
        <v>308</v>
      </c>
      <c r="B11" s="598">
        <v>949.37408677033898</v>
      </c>
      <c r="C11" s="598">
        <v>1364.8294000000001</v>
      </c>
      <c r="D11" s="599">
        <v>415.45531322966099</v>
      </c>
      <c r="E11" s="605">
        <v>1.4376097041389999</v>
      </c>
      <c r="F11" s="598">
        <v>923.77429530067502</v>
      </c>
      <c r="G11" s="599">
        <v>153.96238255011301</v>
      </c>
      <c r="H11" s="601">
        <v>58.130890000000001</v>
      </c>
      <c r="I11" s="598">
        <v>140.62976</v>
      </c>
      <c r="J11" s="599">
        <v>-13.332622550111999</v>
      </c>
      <c r="K11" s="606">
        <v>0.15223389600100001</v>
      </c>
    </row>
    <row r="12" spans="1:11" ht="14.4" customHeight="1" thickBot="1" x14ac:dyDescent="0.35">
      <c r="A12" s="615" t="s">
        <v>309</v>
      </c>
      <c r="B12" s="593">
        <v>615.64879194825096</v>
      </c>
      <c r="C12" s="593">
        <v>598.74150999999995</v>
      </c>
      <c r="D12" s="594">
        <v>-16.907281948251001</v>
      </c>
      <c r="E12" s="595">
        <v>0.972537456144</v>
      </c>
      <c r="F12" s="593">
        <v>596.49215209573299</v>
      </c>
      <c r="G12" s="594">
        <v>99.415358682621999</v>
      </c>
      <c r="H12" s="596">
        <v>43.121569999999998</v>
      </c>
      <c r="I12" s="593">
        <v>93.461979999999997</v>
      </c>
      <c r="J12" s="594">
        <v>-5.9533786826209996</v>
      </c>
      <c r="K12" s="597">
        <v>0.156686017865</v>
      </c>
    </row>
    <row r="13" spans="1:11" ht="14.4" customHeight="1" thickBot="1" x14ac:dyDescent="0.35">
      <c r="A13" s="615" t="s">
        <v>310</v>
      </c>
      <c r="B13" s="593">
        <v>15.491485606792001</v>
      </c>
      <c r="C13" s="593">
        <v>35.77026</v>
      </c>
      <c r="D13" s="594">
        <v>20.278774393208</v>
      </c>
      <c r="E13" s="595">
        <v>2.3090270944900002</v>
      </c>
      <c r="F13" s="593">
        <v>35.716818699797003</v>
      </c>
      <c r="G13" s="594">
        <v>5.9528031166320003</v>
      </c>
      <c r="H13" s="596">
        <v>4.9406564584124654E-324</v>
      </c>
      <c r="I13" s="593">
        <v>8.6481700000000004</v>
      </c>
      <c r="J13" s="594">
        <v>2.6953668833669999</v>
      </c>
      <c r="K13" s="597">
        <v>0.24213158715700001</v>
      </c>
    </row>
    <row r="14" spans="1:11" ht="14.4" customHeight="1" thickBot="1" x14ac:dyDescent="0.35">
      <c r="A14" s="615" t="s">
        <v>311</v>
      </c>
      <c r="B14" s="593">
        <v>4.9406564584124654E-324</v>
      </c>
      <c r="C14" s="593">
        <v>1.40754</v>
      </c>
      <c r="D14" s="594">
        <v>1.40754</v>
      </c>
      <c r="E14" s="603" t="s">
        <v>306</v>
      </c>
      <c r="F14" s="593">
        <v>1.4070134381499999</v>
      </c>
      <c r="G14" s="594">
        <v>0.23450223969100001</v>
      </c>
      <c r="H14" s="596">
        <v>4.9406564584124654E-324</v>
      </c>
      <c r="I14" s="593">
        <v>9.8813129168249309E-324</v>
      </c>
      <c r="J14" s="594">
        <v>-0.23450223969100001</v>
      </c>
      <c r="K14" s="597">
        <v>4.9406564584124654E-324</v>
      </c>
    </row>
    <row r="15" spans="1:11" ht="14.4" customHeight="1" thickBot="1" x14ac:dyDescent="0.35">
      <c r="A15" s="615" t="s">
        <v>312</v>
      </c>
      <c r="B15" s="593">
        <v>39.999583895983001</v>
      </c>
      <c r="C15" s="593">
        <v>442.20069000000001</v>
      </c>
      <c r="D15" s="594">
        <v>402.20110610401599</v>
      </c>
      <c r="E15" s="595">
        <v>11.055132252123</v>
      </c>
      <c r="F15" s="593">
        <v>50</v>
      </c>
      <c r="G15" s="594">
        <v>8.333333333333</v>
      </c>
      <c r="H15" s="596">
        <v>4.9406564584124654E-324</v>
      </c>
      <c r="I15" s="593">
        <v>4.4459900000000001</v>
      </c>
      <c r="J15" s="594">
        <v>-3.8873433333329999</v>
      </c>
      <c r="K15" s="597">
        <v>8.8919799999999993E-2</v>
      </c>
    </row>
    <row r="16" spans="1:11" ht="14.4" customHeight="1" thickBot="1" x14ac:dyDescent="0.35">
      <c r="A16" s="615" t="s">
        <v>313</v>
      </c>
      <c r="B16" s="593">
        <v>177.00279887423599</v>
      </c>
      <c r="C16" s="593">
        <v>187.05825999999999</v>
      </c>
      <c r="D16" s="594">
        <v>10.055461125763999</v>
      </c>
      <c r="E16" s="595">
        <v>1.056809616512</v>
      </c>
      <c r="F16" s="593">
        <v>147.45952417745801</v>
      </c>
      <c r="G16" s="594">
        <v>24.576587362908999</v>
      </c>
      <c r="H16" s="596">
        <v>8.0586500000000001</v>
      </c>
      <c r="I16" s="593">
        <v>21.243929999999999</v>
      </c>
      <c r="J16" s="594">
        <v>-3.3326573629089999</v>
      </c>
      <c r="K16" s="597">
        <v>0.144066177607</v>
      </c>
    </row>
    <row r="17" spans="1:11" ht="14.4" customHeight="1" thickBot="1" x14ac:dyDescent="0.35">
      <c r="A17" s="615" t="s">
        <v>314</v>
      </c>
      <c r="B17" s="593">
        <v>3.9934664777890001</v>
      </c>
      <c r="C17" s="593">
        <v>4.8495900000000001</v>
      </c>
      <c r="D17" s="594">
        <v>0.85612352220999999</v>
      </c>
      <c r="E17" s="595">
        <v>1.2143810463839999</v>
      </c>
      <c r="F17" s="593">
        <v>2.0001356061590001</v>
      </c>
      <c r="G17" s="594">
        <v>0.33335593435900002</v>
      </c>
      <c r="H17" s="596">
        <v>0.31590000000000001</v>
      </c>
      <c r="I17" s="593">
        <v>0.31590000000000001</v>
      </c>
      <c r="J17" s="594">
        <v>-1.7455934358999999E-2</v>
      </c>
      <c r="K17" s="597">
        <v>0.157939291229</v>
      </c>
    </row>
    <row r="18" spans="1:11" ht="14.4" customHeight="1" thickBot="1" x14ac:dyDescent="0.35">
      <c r="A18" s="615" t="s">
        <v>315</v>
      </c>
      <c r="B18" s="593">
        <v>97.237959967286002</v>
      </c>
      <c r="C18" s="593">
        <v>94.801550000000006</v>
      </c>
      <c r="D18" s="594">
        <v>-2.436409967286</v>
      </c>
      <c r="E18" s="595">
        <v>0.97494383913299998</v>
      </c>
      <c r="F18" s="593">
        <v>90.698651283377998</v>
      </c>
      <c r="G18" s="594">
        <v>15.116441880563</v>
      </c>
      <c r="H18" s="596">
        <v>6.6347699999999996</v>
      </c>
      <c r="I18" s="593">
        <v>12.51379</v>
      </c>
      <c r="J18" s="594">
        <v>-2.602651880562</v>
      </c>
      <c r="K18" s="597">
        <v>0.137971070384</v>
      </c>
    </row>
    <row r="19" spans="1:11" ht="14.4" customHeight="1" thickBot="1" x14ac:dyDescent="0.35">
      <c r="A19" s="614" t="s">
        <v>316</v>
      </c>
      <c r="B19" s="598">
        <v>91.001634544572994</v>
      </c>
      <c r="C19" s="598">
        <v>93.311000000000007</v>
      </c>
      <c r="D19" s="599">
        <v>2.3093654554260001</v>
      </c>
      <c r="E19" s="605">
        <v>1.025377186541</v>
      </c>
      <c r="F19" s="598">
        <v>92.999448964562006</v>
      </c>
      <c r="G19" s="599">
        <v>15.49990816076</v>
      </c>
      <c r="H19" s="601">
        <v>4.8419999999999996</v>
      </c>
      <c r="I19" s="598">
        <v>4.8419999999999996</v>
      </c>
      <c r="J19" s="599">
        <v>-10.65790816076</v>
      </c>
      <c r="K19" s="606">
        <v>5.2064824618000001E-2</v>
      </c>
    </row>
    <row r="20" spans="1:11" ht="14.4" customHeight="1" thickBot="1" x14ac:dyDescent="0.35">
      <c r="A20" s="615" t="s">
        <v>317</v>
      </c>
      <c r="B20" s="593">
        <v>70.779049090222998</v>
      </c>
      <c r="C20" s="593">
        <v>74.119</v>
      </c>
      <c r="D20" s="594">
        <v>3.3399509097759998</v>
      </c>
      <c r="E20" s="595">
        <v>1.0471884117220001</v>
      </c>
      <c r="F20" s="593">
        <v>73.999561541695002</v>
      </c>
      <c r="G20" s="594">
        <v>12.333260256949</v>
      </c>
      <c r="H20" s="596">
        <v>3.6259999999999999</v>
      </c>
      <c r="I20" s="593">
        <v>3.6259999999999999</v>
      </c>
      <c r="J20" s="594">
        <v>-8.7072602569490005</v>
      </c>
      <c r="K20" s="597">
        <v>4.9000290331999999E-2</v>
      </c>
    </row>
    <row r="21" spans="1:11" ht="14.4" customHeight="1" thickBot="1" x14ac:dyDescent="0.35">
      <c r="A21" s="615" t="s">
        <v>318</v>
      </c>
      <c r="B21" s="593">
        <v>20.222585454349002</v>
      </c>
      <c r="C21" s="593">
        <v>19.192</v>
      </c>
      <c r="D21" s="594">
        <v>-1.0305854543490001</v>
      </c>
      <c r="E21" s="595">
        <v>0.94903789840899999</v>
      </c>
      <c r="F21" s="593">
        <v>18.999887422867001</v>
      </c>
      <c r="G21" s="594">
        <v>3.166647903811</v>
      </c>
      <c r="H21" s="596">
        <v>1.216</v>
      </c>
      <c r="I21" s="593">
        <v>1.216</v>
      </c>
      <c r="J21" s="594">
        <v>-1.9506479038110001</v>
      </c>
      <c r="K21" s="597">
        <v>6.4000379208999994E-2</v>
      </c>
    </row>
    <row r="22" spans="1:11" ht="14.4" customHeight="1" thickBot="1" x14ac:dyDescent="0.35">
      <c r="A22" s="614" t="s">
        <v>319</v>
      </c>
      <c r="B22" s="598">
        <v>3388.6714830194501</v>
      </c>
      <c r="C22" s="598">
        <v>3870.1579700000002</v>
      </c>
      <c r="D22" s="599">
        <v>481.48648698055098</v>
      </c>
      <c r="E22" s="605">
        <v>1.1420870950140001</v>
      </c>
      <c r="F22" s="598">
        <v>2215.3499431249302</v>
      </c>
      <c r="G22" s="599">
        <v>369.224990520821</v>
      </c>
      <c r="H22" s="601">
        <v>152.50685999999999</v>
      </c>
      <c r="I22" s="598">
        <v>285.60618000000102</v>
      </c>
      <c r="J22" s="599">
        <v>-83.618810520820006</v>
      </c>
      <c r="K22" s="606">
        <v>0.12892147395699999</v>
      </c>
    </row>
    <row r="23" spans="1:11" ht="14.4" customHeight="1" thickBot="1" x14ac:dyDescent="0.35">
      <c r="A23" s="615" t="s">
        <v>320</v>
      </c>
      <c r="B23" s="593">
        <v>33.124566148088</v>
      </c>
      <c r="C23" s="593">
        <v>13.87265</v>
      </c>
      <c r="D23" s="594">
        <v>-19.251916148088</v>
      </c>
      <c r="E23" s="595">
        <v>0.41880246636200003</v>
      </c>
      <c r="F23" s="593">
        <v>13.999992461844</v>
      </c>
      <c r="G23" s="594">
        <v>2.333332076974</v>
      </c>
      <c r="H23" s="596">
        <v>4.9406564584124654E-324</v>
      </c>
      <c r="I23" s="593">
        <v>9.8813129168249309E-324</v>
      </c>
      <c r="J23" s="594">
        <v>-2.333332076974</v>
      </c>
      <c r="K23" s="597">
        <v>0</v>
      </c>
    </row>
    <row r="24" spans="1:11" ht="14.4" customHeight="1" thickBot="1" x14ac:dyDescent="0.35">
      <c r="A24" s="615" t="s">
        <v>321</v>
      </c>
      <c r="B24" s="593">
        <v>54.99044485476</v>
      </c>
      <c r="C24" s="593">
        <v>21.466249999999999</v>
      </c>
      <c r="D24" s="594">
        <v>-33.524194854759997</v>
      </c>
      <c r="E24" s="595">
        <v>0.39036327232200002</v>
      </c>
      <c r="F24" s="593">
        <v>21.467434654883</v>
      </c>
      <c r="G24" s="594">
        <v>3.577905775813</v>
      </c>
      <c r="H24" s="596">
        <v>2.94</v>
      </c>
      <c r="I24" s="593">
        <v>3.8519999999999999</v>
      </c>
      <c r="J24" s="594">
        <v>0.27409422418599999</v>
      </c>
      <c r="K24" s="597">
        <v>0.17943457436400001</v>
      </c>
    </row>
    <row r="25" spans="1:11" ht="14.4" customHeight="1" thickBot="1" x14ac:dyDescent="0.35">
      <c r="A25" s="615" t="s">
        <v>322</v>
      </c>
      <c r="B25" s="593">
        <v>0.91849790972099998</v>
      </c>
      <c r="C25" s="593">
        <v>0.48019000000000001</v>
      </c>
      <c r="D25" s="594">
        <v>-0.43830790972099998</v>
      </c>
      <c r="E25" s="595">
        <v>0.52279923004399997</v>
      </c>
      <c r="F25" s="593">
        <v>0.480189491405</v>
      </c>
      <c r="G25" s="594">
        <v>8.0031581899999996E-2</v>
      </c>
      <c r="H25" s="596">
        <v>4.9406564584124654E-324</v>
      </c>
      <c r="I25" s="593">
        <v>1.404E-2</v>
      </c>
      <c r="J25" s="594">
        <v>-6.5991581899999999E-2</v>
      </c>
      <c r="K25" s="597">
        <v>2.9238457424000001E-2</v>
      </c>
    </row>
    <row r="26" spans="1:11" ht="14.4" customHeight="1" thickBot="1" x14ac:dyDescent="0.35">
      <c r="A26" s="615" t="s">
        <v>323</v>
      </c>
      <c r="B26" s="593">
        <v>268.434547640613</v>
      </c>
      <c r="C26" s="593">
        <v>256.39253000000002</v>
      </c>
      <c r="D26" s="594">
        <v>-12.042017640612</v>
      </c>
      <c r="E26" s="595">
        <v>0.95513983670699998</v>
      </c>
      <c r="F26" s="593">
        <v>256.97557980804299</v>
      </c>
      <c r="G26" s="594">
        <v>42.829263301339999</v>
      </c>
      <c r="H26" s="596">
        <v>15.19868</v>
      </c>
      <c r="I26" s="593">
        <v>31.013660000000002</v>
      </c>
      <c r="J26" s="594">
        <v>-11.815603301339999</v>
      </c>
      <c r="K26" s="597">
        <v>0.12068718756500001</v>
      </c>
    </row>
    <row r="27" spans="1:11" ht="14.4" customHeight="1" thickBot="1" x14ac:dyDescent="0.35">
      <c r="A27" s="615" t="s">
        <v>324</v>
      </c>
      <c r="B27" s="593">
        <v>859.53876992008099</v>
      </c>
      <c r="C27" s="593">
        <v>2154.9915799999999</v>
      </c>
      <c r="D27" s="594">
        <v>1295.45281007992</v>
      </c>
      <c r="E27" s="595">
        <v>2.5071487818980001</v>
      </c>
      <c r="F27" s="593">
        <v>484.99634633000301</v>
      </c>
      <c r="G27" s="594">
        <v>80.832724388333006</v>
      </c>
      <c r="H27" s="596">
        <v>30.831240000000001</v>
      </c>
      <c r="I27" s="593">
        <v>43.571840000000002</v>
      </c>
      <c r="J27" s="594">
        <v>-37.260884388332997</v>
      </c>
      <c r="K27" s="597">
        <v>8.9839522152000001E-2</v>
      </c>
    </row>
    <row r="28" spans="1:11" ht="14.4" customHeight="1" thickBot="1" x14ac:dyDescent="0.35">
      <c r="A28" s="615" t="s">
        <v>325</v>
      </c>
      <c r="B28" s="593">
        <v>25.958363731504001</v>
      </c>
      <c r="C28" s="593">
        <v>23.844000000000001</v>
      </c>
      <c r="D28" s="594">
        <v>-2.114363731504</v>
      </c>
      <c r="E28" s="595">
        <v>0.91854788100700002</v>
      </c>
      <c r="F28" s="593">
        <v>23.358163568763999</v>
      </c>
      <c r="G28" s="594">
        <v>3.8930272614599999</v>
      </c>
      <c r="H28" s="596">
        <v>2.2989999999999999</v>
      </c>
      <c r="I28" s="593">
        <v>2.2989999999999999</v>
      </c>
      <c r="J28" s="594">
        <v>-1.59402726146</v>
      </c>
      <c r="K28" s="597">
        <v>9.8423833416000001E-2</v>
      </c>
    </row>
    <row r="29" spans="1:11" ht="14.4" customHeight="1" thickBot="1" x14ac:dyDescent="0.35">
      <c r="A29" s="615" t="s">
        <v>326</v>
      </c>
      <c r="B29" s="593">
        <v>304.87633985980898</v>
      </c>
      <c r="C29" s="593">
        <v>337.11491999999998</v>
      </c>
      <c r="D29" s="594">
        <v>32.238580140190003</v>
      </c>
      <c r="E29" s="595">
        <v>1.105743135577</v>
      </c>
      <c r="F29" s="593">
        <v>330.51413405710298</v>
      </c>
      <c r="G29" s="594">
        <v>55.085689009516997</v>
      </c>
      <c r="H29" s="596">
        <v>4.9406564584124654E-324</v>
      </c>
      <c r="I29" s="593">
        <v>14.30109</v>
      </c>
      <c r="J29" s="594">
        <v>-40.784599009517002</v>
      </c>
      <c r="K29" s="597">
        <v>4.3269223692000001E-2</v>
      </c>
    </row>
    <row r="30" spans="1:11" ht="14.4" customHeight="1" thickBot="1" x14ac:dyDescent="0.35">
      <c r="A30" s="615" t="s">
        <v>327</v>
      </c>
      <c r="B30" s="593">
        <v>5.6215702320769996</v>
      </c>
      <c r="C30" s="593">
        <v>7.4624499999999996</v>
      </c>
      <c r="D30" s="594">
        <v>1.8408797679219999</v>
      </c>
      <c r="E30" s="595">
        <v>1.327467182997</v>
      </c>
      <c r="F30" s="593">
        <v>7.6550988584670003</v>
      </c>
      <c r="G30" s="594">
        <v>1.2758498097440001</v>
      </c>
      <c r="H30" s="596">
        <v>0.78600000000000003</v>
      </c>
      <c r="I30" s="593">
        <v>2.1305200000000002</v>
      </c>
      <c r="J30" s="594">
        <v>0.85467019025500002</v>
      </c>
      <c r="K30" s="597">
        <v>0.27831384537100001</v>
      </c>
    </row>
    <row r="31" spans="1:11" ht="14.4" customHeight="1" thickBot="1" x14ac:dyDescent="0.35">
      <c r="A31" s="615" t="s">
        <v>328</v>
      </c>
      <c r="B31" s="593">
        <v>119.20527524204</v>
      </c>
      <c r="C31" s="593">
        <v>126.17395999999999</v>
      </c>
      <c r="D31" s="594">
        <v>6.9686847579600002</v>
      </c>
      <c r="E31" s="595">
        <v>1.058459533303</v>
      </c>
      <c r="F31" s="593">
        <v>127.959382272894</v>
      </c>
      <c r="G31" s="594">
        <v>21.326563712148999</v>
      </c>
      <c r="H31" s="596">
        <v>9.2671799999999998</v>
      </c>
      <c r="I31" s="593">
        <v>18.58793</v>
      </c>
      <c r="J31" s="594">
        <v>-2.7386337121480002</v>
      </c>
      <c r="K31" s="597">
        <v>0.145264299263</v>
      </c>
    </row>
    <row r="32" spans="1:11" ht="14.4" customHeight="1" thickBot="1" x14ac:dyDescent="0.35">
      <c r="A32" s="615" t="s">
        <v>329</v>
      </c>
      <c r="B32" s="593">
        <v>0</v>
      </c>
      <c r="C32" s="593">
        <v>1.1375299999999999</v>
      </c>
      <c r="D32" s="594">
        <v>1.1375299999999999</v>
      </c>
      <c r="E32" s="603" t="s">
        <v>300</v>
      </c>
      <c r="F32" s="593">
        <v>1.13752465482</v>
      </c>
      <c r="G32" s="594">
        <v>0.18958744247000001</v>
      </c>
      <c r="H32" s="596">
        <v>4.9406564584124654E-324</v>
      </c>
      <c r="I32" s="593">
        <v>9.8813129168249309E-324</v>
      </c>
      <c r="J32" s="594">
        <v>-0.18958744247000001</v>
      </c>
      <c r="K32" s="597">
        <v>9.8813129168249309E-324</v>
      </c>
    </row>
    <row r="33" spans="1:11" ht="14.4" customHeight="1" thickBot="1" x14ac:dyDescent="0.35">
      <c r="A33" s="615" t="s">
        <v>330</v>
      </c>
      <c r="B33" s="593">
        <v>1311.33783095017</v>
      </c>
      <c r="C33" s="593">
        <v>927.221910000001</v>
      </c>
      <c r="D33" s="594">
        <v>-384.11592095016999</v>
      </c>
      <c r="E33" s="595">
        <v>0.70708088191700003</v>
      </c>
      <c r="F33" s="593">
        <v>946.80609696669705</v>
      </c>
      <c r="G33" s="594">
        <v>157.801016161116</v>
      </c>
      <c r="H33" s="596">
        <v>91.184759999999997</v>
      </c>
      <c r="I33" s="593">
        <v>169.83609999999999</v>
      </c>
      <c r="J33" s="594">
        <v>12.035083838884001</v>
      </c>
      <c r="K33" s="597">
        <v>0.17937791121499999</v>
      </c>
    </row>
    <row r="34" spans="1:11" ht="14.4" customHeight="1" thickBot="1" x14ac:dyDescent="0.35">
      <c r="A34" s="614" t="s">
        <v>331</v>
      </c>
      <c r="B34" s="598">
        <v>216.01172607755899</v>
      </c>
      <c r="C34" s="598">
        <v>321.42651000000001</v>
      </c>
      <c r="D34" s="599">
        <v>105.414783922442</v>
      </c>
      <c r="E34" s="605">
        <v>1.488004914532</v>
      </c>
      <c r="F34" s="598">
        <v>272.99903718598301</v>
      </c>
      <c r="G34" s="599">
        <v>45.499839530997001</v>
      </c>
      <c r="H34" s="601">
        <v>26.585760000000001</v>
      </c>
      <c r="I34" s="598">
        <v>58.902540000000002</v>
      </c>
      <c r="J34" s="599">
        <v>13.402700469001999</v>
      </c>
      <c r="K34" s="606">
        <v>0.21576098072399999</v>
      </c>
    </row>
    <row r="35" spans="1:11" ht="14.4" customHeight="1" thickBot="1" x14ac:dyDescent="0.35">
      <c r="A35" s="615" t="s">
        <v>332</v>
      </c>
      <c r="B35" s="593">
        <v>188.012694886356</v>
      </c>
      <c r="C35" s="593">
        <v>253.74574000000001</v>
      </c>
      <c r="D35" s="594">
        <v>65.733045113643996</v>
      </c>
      <c r="E35" s="595">
        <v>1.349620248533</v>
      </c>
      <c r="F35" s="593">
        <v>209.99925937383301</v>
      </c>
      <c r="G35" s="594">
        <v>34.999876562304998</v>
      </c>
      <c r="H35" s="596">
        <v>20.504059999999999</v>
      </c>
      <c r="I35" s="593">
        <v>45.768050000000002</v>
      </c>
      <c r="J35" s="594">
        <v>10.768173437693999</v>
      </c>
      <c r="K35" s="597">
        <v>0.21794386388</v>
      </c>
    </row>
    <row r="36" spans="1:11" ht="14.4" customHeight="1" thickBot="1" x14ac:dyDescent="0.35">
      <c r="A36" s="615" t="s">
        <v>333</v>
      </c>
      <c r="B36" s="593">
        <v>27.999031191202</v>
      </c>
      <c r="C36" s="593">
        <v>64.617930000000001</v>
      </c>
      <c r="D36" s="594">
        <v>36.618898808796999</v>
      </c>
      <c r="E36" s="595">
        <v>2.3078630670720002</v>
      </c>
      <c r="F36" s="593">
        <v>62.99977781215</v>
      </c>
      <c r="G36" s="594">
        <v>10.499962968690999</v>
      </c>
      <c r="H36" s="596">
        <v>6.0816999999999997</v>
      </c>
      <c r="I36" s="593">
        <v>13.13449</v>
      </c>
      <c r="J36" s="594">
        <v>2.634527031308</v>
      </c>
      <c r="K36" s="597">
        <v>0.20848470353599999</v>
      </c>
    </row>
    <row r="37" spans="1:11" ht="14.4" customHeight="1" thickBot="1" x14ac:dyDescent="0.35">
      <c r="A37" s="615" t="s">
        <v>334</v>
      </c>
      <c r="B37" s="593">
        <v>0</v>
      </c>
      <c r="C37" s="593">
        <v>3.06284</v>
      </c>
      <c r="D37" s="594">
        <v>3.06284</v>
      </c>
      <c r="E37" s="603" t="s">
        <v>300</v>
      </c>
      <c r="F37" s="593">
        <v>0</v>
      </c>
      <c r="G37" s="594">
        <v>0</v>
      </c>
      <c r="H37" s="596">
        <v>4.9406564584124654E-324</v>
      </c>
      <c r="I37" s="593">
        <v>9.8813129168249309E-324</v>
      </c>
      <c r="J37" s="594">
        <v>9.8813129168249309E-324</v>
      </c>
      <c r="K37" s="604" t="s">
        <v>300</v>
      </c>
    </row>
    <row r="38" spans="1:11" ht="14.4" customHeight="1" thickBot="1" x14ac:dyDescent="0.35">
      <c r="A38" s="614" t="s">
        <v>335</v>
      </c>
      <c r="B38" s="598">
        <v>473.14394890767198</v>
      </c>
      <c r="C38" s="598">
        <v>550.92951000000005</v>
      </c>
      <c r="D38" s="599">
        <v>77.785561092327995</v>
      </c>
      <c r="E38" s="605">
        <v>1.1644014707820001</v>
      </c>
      <c r="F38" s="598">
        <v>545.43209258911099</v>
      </c>
      <c r="G38" s="599">
        <v>90.905348764850999</v>
      </c>
      <c r="H38" s="601">
        <v>26.359719999999999</v>
      </c>
      <c r="I38" s="598">
        <v>63.468310000000002</v>
      </c>
      <c r="J38" s="599">
        <v>-27.437038764851</v>
      </c>
      <c r="K38" s="606">
        <v>0.116363358266</v>
      </c>
    </row>
    <row r="39" spans="1:11" ht="14.4" customHeight="1" thickBot="1" x14ac:dyDescent="0.35">
      <c r="A39" s="615" t="s">
        <v>336</v>
      </c>
      <c r="B39" s="593">
        <v>83.568086291003993</v>
      </c>
      <c r="C39" s="593">
        <v>37.33455</v>
      </c>
      <c r="D39" s="594">
        <v>-46.233536291004</v>
      </c>
      <c r="E39" s="595">
        <v>0.44675607228800002</v>
      </c>
      <c r="F39" s="593">
        <v>43.087997729822</v>
      </c>
      <c r="G39" s="594">
        <v>7.1813329549700002</v>
      </c>
      <c r="H39" s="596">
        <v>4.9406564584124654E-324</v>
      </c>
      <c r="I39" s="593">
        <v>9.8813129168249309E-324</v>
      </c>
      <c r="J39" s="594">
        <v>-7.1813329549700002</v>
      </c>
      <c r="K39" s="597">
        <v>0</v>
      </c>
    </row>
    <row r="40" spans="1:11" ht="14.4" customHeight="1" thickBot="1" x14ac:dyDescent="0.35">
      <c r="A40" s="615" t="s">
        <v>337</v>
      </c>
      <c r="B40" s="593">
        <v>13.096562241102999</v>
      </c>
      <c r="C40" s="593">
        <v>19.657530000000001</v>
      </c>
      <c r="D40" s="594">
        <v>6.560967758896</v>
      </c>
      <c r="E40" s="595">
        <v>1.500968699885</v>
      </c>
      <c r="F40" s="593">
        <v>19.786443964421</v>
      </c>
      <c r="G40" s="594">
        <v>3.2977406607359998</v>
      </c>
      <c r="H40" s="596">
        <v>0.68296999999999997</v>
      </c>
      <c r="I40" s="593">
        <v>1.20427</v>
      </c>
      <c r="J40" s="594">
        <v>-2.0934706607360001</v>
      </c>
      <c r="K40" s="597">
        <v>6.0863387183000002E-2</v>
      </c>
    </row>
    <row r="41" spans="1:11" ht="14.4" customHeight="1" thickBot="1" x14ac:dyDescent="0.35">
      <c r="A41" s="615" t="s">
        <v>338</v>
      </c>
      <c r="B41" s="593">
        <v>145.97487812684301</v>
      </c>
      <c r="C41" s="593">
        <v>209.49059</v>
      </c>
      <c r="D41" s="594">
        <v>63.515711873157002</v>
      </c>
      <c r="E41" s="595">
        <v>1.4351139914490001</v>
      </c>
      <c r="F41" s="593">
        <v>215.49210800859299</v>
      </c>
      <c r="G41" s="594">
        <v>35.915351334764999</v>
      </c>
      <c r="H41" s="596">
        <v>18.283370000000001</v>
      </c>
      <c r="I41" s="593">
        <v>33.164709999999999</v>
      </c>
      <c r="J41" s="594">
        <v>-2.7506413347650001</v>
      </c>
      <c r="K41" s="597">
        <v>0.15390220229599999</v>
      </c>
    </row>
    <row r="42" spans="1:11" ht="14.4" customHeight="1" thickBot="1" x14ac:dyDescent="0.35">
      <c r="A42" s="615" t="s">
        <v>339</v>
      </c>
      <c r="B42" s="593">
        <v>47.882025205687</v>
      </c>
      <c r="C42" s="593">
        <v>30.889869999999998</v>
      </c>
      <c r="D42" s="594">
        <v>-16.992155205686998</v>
      </c>
      <c r="E42" s="595">
        <v>0.64512455075300001</v>
      </c>
      <c r="F42" s="593">
        <v>33.901323086826999</v>
      </c>
      <c r="G42" s="594">
        <v>5.650220514471</v>
      </c>
      <c r="H42" s="596">
        <v>1.30999</v>
      </c>
      <c r="I42" s="593">
        <v>3.38117</v>
      </c>
      <c r="J42" s="594">
        <v>-2.269050514471</v>
      </c>
      <c r="K42" s="597">
        <v>9.9735635429999997E-2</v>
      </c>
    </row>
    <row r="43" spans="1:11" ht="14.4" customHeight="1" thickBot="1" x14ac:dyDescent="0.35">
      <c r="A43" s="615" t="s">
        <v>340</v>
      </c>
      <c r="B43" s="593">
        <v>21.663742951865999</v>
      </c>
      <c r="C43" s="593">
        <v>16.059090000000001</v>
      </c>
      <c r="D43" s="594">
        <v>-5.604652951866</v>
      </c>
      <c r="E43" s="595">
        <v>0.74128879924699997</v>
      </c>
      <c r="F43" s="593">
        <v>19.998379477813</v>
      </c>
      <c r="G43" s="594">
        <v>3.3330632463019998</v>
      </c>
      <c r="H43" s="596">
        <v>3.1025999999999998</v>
      </c>
      <c r="I43" s="593">
        <v>3.3134199999999998</v>
      </c>
      <c r="J43" s="594">
        <v>-1.9643246302000001E-2</v>
      </c>
      <c r="K43" s="597">
        <v>0.165684424764</v>
      </c>
    </row>
    <row r="44" spans="1:11" ht="14.4" customHeight="1" thickBot="1" x14ac:dyDescent="0.35">
      <c r="A44" s="615" t="s">
        <v>341</v>
      </c>
      <c r="B44" s="593">
        <v>8.8551099576000006E-2</v>
      </c>
      <c r="C44" s="593">
        <v>0.46205000000000002</v>
      </c>
      <c r="D44" s="594">
        <v>0.37349890042299999</v>
      </c>
      <c r="E44" s="595">
        <v>5.2178911635210001</v>
      </c>
      <c r="F44" s="593">
        <v>0.80236688593500005</v>
      </c>
      <c r="G44" s="594">
        <v>0.13372781432200001</v>
      </c>
      <c r="H44" s="596">
        <v>4.9406564584124654E-324</v>
      </c>
      <c r="I44" s="593">
        <v>9.8813129168249309E-324</v>
      </c>
      <c r="J44" s="594">
        <v>-0.13372781432200001</v>
      </c>
      <c r="K44" s="597">
        <v>9.8813129168249309E-324</v>
      </c>
    </row>
    <row r="45" spans="1:11" ht="14.4" customHeight="1" thickBot="1" x14ac:dyDescent="0.35">
      <c r="A45" s="615" t="s">
        <v>342</v>
      </c>
      <c r="B45" s="593">
        <v>1.7116489040639999</v>
      </c>
      <c r="C45" s="593">
        <v>3.3540299999999998</v>
      </c>
      <c r="D45" s="594">
        <v>1.642381095935</v>
      </c>
      <c r="E45" s="595">
        <v>1.9595315324510001</v>
      </c>
      <c r="F45" s="593">
        <v>1.872289384353</v>
      </c>
      <c r="G45" s="594">
        <v>0.31204823072499999</v>
      </c>
      <c r="H45" s="596">
        <v>4.9406564584124654E-324</v>
      </c>
      <c r="I45" s="593">
        <v>0.55900000000000005</v>
      </c>
      <c r="J45" s="594">
        <v>0.246951769274</v>
      </c>
      <c r="K45" s="597">
        <v>0.29856495724999998</v>
      </c>
    </row>
    <row r="46" spans="1:11" ht="14.4" customHeight="1" thickBot="1" x14ac:dyDescent="0.35">
      <c r="A46" s="615" t="s">
        <v>343</v>
      </c>
      <c r="B46" s="593">
        <v>131.461015364427</v>
      </c>
      <c r="C46" s="593">
        <v>146.97009</v>
      </c>
      <c r="D46" s="594">
        <v>15.509074635572</v>
      </c>
      <c r="E46" s="595">
        <v>1.11797470598</v>
      </c>
      <c r="F46" s="593">
        <v>147.984776735324</v>
      </c>
      <c r="G46" s="594">
        <v>24.664129455887</v>
      </c>
      <c r="H46" s="596">
        <v>4.9406564584124654E-324</v>
      </c>
      <c r="I46" s="593">
        <v>10.21231</v>
      </c>
      <c r="J46" s="594">
        <v>-14.451819455887</v>
      </c>
      <c r="K46" s="597">
        <v>6.9009192873000003E-2</v>
      </c>
    </row>
    <row r="47" spans="1:11" ht="14.4" customHeight="1" thickBot="1" x14ac:dyDescent="0.35">
      <c r="A47" s="615" t="s">
        <v>344</v>
      </c>
      <c r="B47" s="593">
        <v>27.697438723099001</v>
      </c>
      <c r="C47" s="593">
        <v>19.238050000000001</v>
      </c>
      <c r="D47" s="594">
        <v>-8.4593887230989999</v>
      </c>
      <c r="E47" s="595">
        <v>0.69457866455899997</v>
      </c>
      <c r="F47" s="593">
        <v>21.509888021074001</v>
      </c>
      <c r="G47" s="594">
        <v>3.5849813368449999</v>
      </c>
      <c r="H47" s="596">
        <v>0.86807999999999996</v>
      </c>
      <c r="I47" s="593">
        <v>1.9853099999999999</v>
      </c>
      <c r="J47" s="594">
        <v>-1.599671336845</v>
      </c>
      <c r="K47" s="597">
        <v>9.2297551621000007E-2</v>
      </c>
    </row>
    <row r="48" spans="1:11" ht="14.4" customHeight="1" thickBot="1" x14ac:dyDescent="0.35">
      <c r="A48" s="615" t="s">
        <v>345</v>
      </c>
      <c r="B48" s="593">
        <v>4.9406564584124654E-324</v>
      </c>
      <c r="C48" s="593">
        <v>5.7354000000000003</v>
      </c>
      <c r="D48" s="594">
        <v>5.7354000000000003</v>
      </c>
      <c r="E48" s="603" t="s">
        <v>306</v>
      </c>
      <c r="F48" s="593">
        <v>0</v>
      </c>
      <c r="G48" s="594">
        <v>0</v>
      </c>
      <c r="H48" s="596">
        <v>4.9406564584124654E-324</v>
      </c>
      <c r="I48" s="593">
        <v>9.8813129168249309E-324</v>
      </c>
      <c r="J48" s="594">
        <v>9.8813129168249309E-324</v>
      </c>
      <c r="K48" s="604" t="s">
        <v>300</v>
      </c>
    </row>
    <row r="49" spans="1:11" ht="14.4" customHeight="1" thickBot="1" x14ac:dyDescent="0.35">
      <c r="A49" s="615" t="s">
        <v>346</v>
      </c>
      <c r="B49" s="593">
        <v>4.9406564584124654E-324</v>
      </c>
      <c r="C49" s="593">
        <v>4.5104800000000003</v>
      </c>
      <c r="D49" s="594">
        <v>4.5104800000000003</v>
      </c>
      <c r="E49" s="603" t="s">
        <v>306</v>
      </c>
      <c r="F49" s="593">
        <v>0</v>
      </c>
      <c r="G49" s="594">
        <v>0</v>
      </c>
      <c r="H49" s="596">
        <v>4.9406564584124654E-324</v>
      </c>
      <c r="I49" s="593">
        <v>9.8813129168249309E-324</v>
      </c>
      <c r="J49" s="594">
        <v>9.8813129168249309E-324</v>
      </c>
      <c r="K49" s="604" t="s">
        <v>300</v>
      </c>
    </row>
    <row r="50" spans="1:11" ht="14.4" customHeight="1" thickBot="1" x14ac:dyDescent="0.35">
      <c r="A50" s="615" t="s">
        <v>347</v>
      </c>
      <c r="B50" s="593">
        <v>4.9406564584124654E-324</v>
      </c>
      <c r="C50" s="593">
        <v>5.0291300000000003</v>
      </c>
      <c r="D50" s="594">
        <v>5.0291300000000003</v>
      </c>
      <c r="E50" s="603" t="s">
        <v>306</v>
      </c>
      <c r="F50" s="593">
        <v>0</v>
      </c>
      <c r="G50" s="594">
        <v>0</v>
      </c>
      <c r="H50" s="596">
        <v>4.9406564584124654E-324</v>
      </c>
      <c r="I50" s="593">
        <v>9.8813129168249309E-324</v>
      </c>
      <c r="J50" s="594">
        <v>9.8813129168249309E-324</v>
      </c>
      <c r="K50" s="604" t="s">
        <v>300</v>
      </c>
    </row>
    <row r="51" spans="1:11" ht="14.4" customHeight="1" thickBot="1" x14ac:dyDescent="0.35">
      <c r="A51" s="615" t="s">
        <v>348</v>
      </c>
      <c r="B51" s="593">
        <v>4.9406564584124654E-324</v>
      </c>
      <c r="C51" s="593">
        <v>52.198650000000001</v>
      </c>
      <c r="D51" s="594">
        <v>52.198650000000001</v>
      </c>
      <c r="E51" s="603" t="s">
        <v>306</v>
      </c>
      <c r="F51" s="593">
        <v>40.996519294944001</v>
      </c>
      <c r="G51" s="594">
        <v>6.8327532158239999</v>
      </c>
      <c r="H51" s="596">
        <v>2.1127099999999999</v>
      </c>
      <c r="I51" s="593">
        <v>9.6481200000000005</v>
      </c>
      <c r="J51" s="594">
        <v>2.8153667841750001</v>
      </c>
      <c r="K51" s="597">
        <v>0.235339979245</v>
      </c>
    </row>
    <row r="52" spans="1:11" ht="14.4" customHeight="1" thickBot="1" x14ac:dyDescent="0.35">
      <c r="A52" s="614" t="s">
        <v>349</v>
      </c>
      <c r="B52" s="598">
        <v>15.345047383733</v>
      </c>
      <c r="C52" s="598">
        <v>21.767430000000001</v>
      </c>
      <c r="D52" s="599">
        <v>6.4223826162659998</v>
      </c>
      <c r="E52" s="605">
        <v>1.4185312991000001</v>
      </c>
      <c r="F52" s="598">
        <v>20.829625872621001</v>
      </c>
      <c r="G52" s="599">
        <v>3.471604312103</v>
      </c>
      <c r="H52" s="601">
        <v>0.60709000000000002</v>
      </c>
      <c r="I52" s="598">
        <v>5.1935599999999997</v>
      </c>
      <c r="J52" s="599">
        <v>1.7219556878960001</v>
      </c>
      <c r="K52" s="606">
        <v>0.249335251231</v>
      </c>
    </row>
    <row r="53" spans="1:11" ht="14.4" customHeight="1" thickBot="1" x14ac:dyDescent="0.35">
      <c r="A53" s="615" t="s">
        <v>350</v>
      </c>
      <c r="B53" s="593">
        <v>1.442748985812</v>
      </c>
      <c r="C53" s="593">
        <v>0.6</v>
      </c>
      <c r="D53" s="594">
        <v>-0.84274898581199997</v>
      </c>
      <c r="E53" s="595">
        <v>0.415872758116</v>
      </c>
      <c r="F53" s="593">
        <v>0.94824644735499997</v>
      </c>
      <c r="G53" s="594">
        <v>0.15804107455899999</v>
      </c>
      <c r="H53" s="596">
        <v>4.9406564584124654E-324</v>
      </c>
      <c r="I53" s="593">
        <v>9.8813129168249309E-324</v>
      </c>
      <c r="J53" s="594">
        <v>-0.15804107455899999</v>
      </c>
      <c r="K53" s="597">
        <v>9.8813129168249309E-324</v>
      </c>
    </row>
    <row r="54" spans="1:11" ht="14.4" customHeight="1" thickBot="1" x14ac:dyDescent="0.35">
      <c r="A54" s="615" t="s">
        <v>351</v>
      </c>
      <c r="B54" s="593">
        <v>2.9561687911750001</v>
      </c>
      <c r="C54" s="593">
        <v>8.0634999999999994</v>
      </c>
      <c r="D54" s="594">
        <v>5.1073312088240002</v>
      </c>
      <c r="E54" s="595">
        <v>2.7276859237769999</v>
      </c>
      <c r="F54" s="593">
        <v>6.5318543025890001</v>
      </c>
      <c r="G54" s="594">
        <v>1.088642383764</v>
      </c>
      <c r="H54" s="596">
        <v>4.9406564584124654E-324</v>
      </c>
      <c r="I54" s="593">
        <v>9.8813129168249309E-324</v>
      </c>
      <c r="J54" s="594">
        <v>-1.088642383764</v>
      </c>
      <c r="K54" s="597">
        <v>0</v>
      </c>
    </row>
    <row r="55" spans="1:11" ht="14.4" customHeight="1" thickBot="1" x14ac:dyDescent="0.35">
      <c r="A55" s="615" t="s">
        <v>352</v>
      </c>
      <c r="B55" s="593">
        <v>1.841330508804</v>
      </c>
      <c r="C55" s="593">
        <v>6.5225</v>
      </c>
      <c r="D55" s="594">
        <v>4.6811694911949999</v>
      </c>
      <c r="E55" s="595">
        <v>3.542275527838</v>
      </c>
      <c r="F55" s="593">
        <v>4.3478466405420004</v>
      </c>
      <c r="G55" s="594">
        <v>0.724641106757</v>
      </c>
      <c r="H55" s="596">
        <v>4.9406564584124654E-324</v>
      </c>
      <c r="I55" s="593">
        <v>3.1920000000000002</v>
      </c>
      <c r="J55" s="594">
        <v>2.4673588932419999</v>
      </c>
      <c r="K55" s="597">
        <v>0.73415652940300002</v>
      </c>
    </row>
    <row r="56" spans="1:11" ht="14.4" customHeight="1" thickBot="1" x14ac:dyDescent="0.35">
      <c r="A56" s="615" t="s">
        <v>353</v>
      </c>
      <c r="B56" s="593">
        <v>0</v>
      </c>
      <c r="C56" s="593">
        <v>8.4099999999999994E-2</v>
      </c>
      <c r="D56" s="594">
        <v>8.4099999999999994E-2</v>
      </c>
      <c r="E56" s="603" t="s">
        <v>300</v>
      </c>
      <c r="F56" s="593">
        <v>0</v>
      </c>
      <c r="G56" s="594">
        <v>0</v>
      </c>
      <c r="H56" s="596">
        <v>4.9406564584124654E-324</v>
      </c>
      <c r="I56" s="593">
        <v>9.8813129168249309E-324</v>
      </c>
      <c r="J56" s="594">
        <v>9.8813129168249309E-324</v>
      </c>
      <c r="K56" s="604" t="s">
        <v>300</v>
      </c>
    </row>
    <row r="57" spans="1:11" ht="14.4" customHeight="1" thickBot="1" x14ac:dyDescent="0.35">
      <c r="A57" s="615" t="s">
        <v>354</v>
      </c>
      <c r="B57" s="593">
        <v>9.1047990979409992</v>
      </c>
      <c r="C57" s="593">
        <v>6.4973299999999998</v>
      </c>
      <c r="D57" s="594">
        <v>-2.6074690979409998</v>
      </c>
      <c r="E57" s="595">
        <v>0.71361596561399998</v>
      </c>
      <c r="F57" s="593">
        <v>9.0016784821340003</v>
      </c>
      <c r="G57" s="594">
        <v>1.500279747022</v>
      </c>
      <c r="H57" s="596">
        <v>0.60709000000000002</v>
      </c>
      <c r="I57" s="593">
        <v>2.00156</v>
      </c>
      <c r="J57" s="594">
        <v>0.50128025297699996</v>
      </c>
      <c r="K57" s="597">
        <v>0.222354086959</v>
      </c>
    </row>
    <row r="58" spans="1:11" ht="14.4" customHeight="1" thickBot="1" x14ac:dyDescent="0.35">
      <c r="A58" s="614" t="s">
        <v>355</v>
      </c>
      <c r="B58" s="598">
        <v>253.60207552832401</v>
      </c>
      <c r="C58" s="598">
        <v>181.09258000000099</v>
      </c>
      <c r="D58" s="599">
        <v>-72.509495528323001</v>
      </c>
      <c r="E58" s="605">
        <v>0.71408161633800005</v>
      </c>
      <c r="F58" s="598">
        <v>1115.82382087416</v>
      </c>
      <c r="G58" s="599">
        <v>185.97063681236</v>
      </c>
      <c r="H58" s="601">
        <v>51.27458</v>
      </c>
      <c r="I58" s="598">
        <v>153.657070000001</v>
      </c>
      <c r="J58" s="599">
        <v>-32.313566812358999</v>
      </c>
      <c r="K58" s="606">
        <v>0.13770728597599999</v>
      </c>
    </row>
    <row r="59" spans="1:11" ht="14.4" customHeight="1" thickBot="1" x14ac:dyDescent="0.35">
      <c r="A59" s="615" t="s">
        <v>356</v>
      </c>
      <c r="B59" s="593">
        <v>17.234261504046</v>
      </c>
      <c r="C59" s="593">
        <v>7.6580700000000004</v>
      </c>
      <c r="D59" s="594">
        <v>-9.5761915040459993</v>
      </c>
      <c r="E59" s="595">
        <v>0.44435150285899999</v>
      </c>
      <c r="F59" s="593">
        <v>6.8503763736629999</v>
      </c>
      <c r="G59" s="594">
        <v>1.1417293956100001</v>
      </c>
      <c r="H59" s="596">
        <v>0.89534000000000002</v>
      </c>
      <c r="I59" s="593">
        <v>1.04657</v>
      </c>
      <c r="J59" s="594">
        <v>-9.5159395610000003E-2</v>
      </c>
      <c r="K59" s="597">
        <v>0.15277554734400001</v>
      </c>
    </row>
    <row r="60" spans="1:11" ht="14.4" customHeight="1" thickBot="1" x14ac:dyDescent="0.35">
      <c r="A60" s="615" t="s">
        <v>357</v>
      </c>
      <c r="B60" s="593">
        <v>2.9234142937679999</v>
      </c>
      <c r="C60" s="593">
        <v>1.78657</v>
      </c>
      <c r="D60" s="594">
        <v>-1.1368442937679999</v>
      </c>
      <c r="E60" s="595">
        <v>0.61112446628100003</v>
      </c>
      <c r="F60" s="593">
        <v>0</v>
      </c>
      <c r="G60" s="594">
        <v>0</v>
      </c>
      <c r="H60" s="596">
        <v>4.9406564584124654E-324</v>
      </c>
      <c r="I60" s="593">
        <v>9.8813129168249309E-324</v>
      </c>
      <c r="J60" s="594">
        <v>9.8813129168249309E-324</v>
      </c>
      <c r="K60" s="604" t="s">
        <v>300</v>
      </c>
    </row>
    <row r="61" spans="1:11" ht="14.4" customHeight="1" thickBot="1" x14ac:dyDescent="0.35">
      <c r="A61" s="615" t="s">
        <v>358</v>
      </c>
      <c r="B61" s="593">
        <v>233.444399730508</v>
      </c>
      <c r="C61" s="593">
        <v>171.647940000001</v>
      </c>
      <c r="D61" s="594">
        <v>-61.796459730507003</v>
      </c>
      <c r="E61" s="595">
        <v>0.73528403421999999</v>
      </c>
      <c r="F61" s="593">
        <v>0</v>
      </c>
      <c r="G61" s="594">
        <v>0</v>
      </c>
      <c r="H61" s="596">
        <v>4.9406564584124654E-324</v>
      </c>
      <c r="I61" s="593">
        <v>9.8813129168249309E-324</v>
      </c>
      <c r="J61" s="594">
        <v>9.8813129168249309E-324</v>
      </c>
      <c r="K61" s="604" t="s">
        <v>300</v>
      </c>
    </row>
    <row r="62" spans="1:11" ht="14.4" customHeight="1" thickBot="1" x14ac:dyDescent="0.35">
      <c r="A62" s="615" t="s">
        <v>359</v>
      </c>
      <c r="B62" s="593">
        <v>4.9406564584124654E-324</v>
      </c>
      <c r="C62" s="593">
        <v>4.9406564584124654E-324</v>
      </c>
      <c r="D62" s="594">
        <v>0</v>
      </c>
      <c r="E62" s="595">
        <v>1</v>
      </c>
      <c r="F62" s="593">
        <v>14.001346716802001</v>
      </c>
      <c r="G62" s="594">
        <v>2.3335577861329999</v>
      </c>
      <c r="H62" s="596">
        <v>1.0399099999999999</v>
      </c>
      <c r="I62" s="593">
        <v>2.07979</v>
      </c>
      <c r="J62" s="594">
        <v>-0.253767786133</v>
      </c>
      <c r="K62" s="597">
        <v>0.14854213969999999</v>
      </c>
    </row>
    <row r="63" spans="1:11" ht="14.4" customHeight="1" thickBot="1" x14ac:dyDescent="0.35">
      <c r="A63" s="615" t="s">
        <v>360</v>
      </c>
      <c r="B63" s="593">
        <v>4.9406564584124654E-324</v>
      </c>
      <c r="C63" s="593">
        <v>4.9406564584124654E-324</v>
      </c>
      <c r="D63" s="594">
        <v>0</v>
      </c>
      <c r="E63" s="595">
        <v>1</v>
      </c>
      <c r="F63" s="593">
        <v>1037.9798446730399</v>
      </c>
      <c r="G63" s="594">
        <v>172.996640778841</v>
      </c>
      <c r="H63" s="596">
        <v>46.576329999999999</v>
      </c>
      <c r="I63" s="593">
        <v>146.48408000000001</v>
      </c>
      <c r="J63" s="594">
        <v>-26.512560778840001</v>
      </c>
      <c r="K63" s="597">
        <v>0.14112420462799999</v>
      </c>
    </row>
    <row r="64" spans="1:11" ht="14.4" customHeight="1" thickBot="1" x14ac:dyDescent="0.35">
      <c r="A64" s="615" t="s">
        <v>361</v>
      </c>
      <c r="B64" s="593">
        <v>4.9406564584124654E-324</v>
      </c>
      <c r="C64" s="593">
        <v>4.9406564584124654E-324</v>
      </c>
      <c r="D64" s="594">
        <v>0</v>
      </c>
      <c r="E64" s="595">
        <v>1</v>
      </c>
      <c r="F64" s="593">
        <v>56.992253110650999</v>
      </c>
      <c r="G64" s="594">
        <v>9.4987088517749996</v>
      </c>
      <c r="H64" s="596">
        <v>2.7629999999999999</v>
      </c>
      <c r="I64" s="593">
        <v>4.0466300000000004</v>
      </c>
      <c r="J64" s="594">
        <v>-5.4520788517750001</v>
      </c>
      <c r="K64" s="597">
        <v>7.1003158834999996E-2</v>
      </c>
    </row>
    <row r="65" spans="1:11" ht="14.4" customHeight="1" thickBot="1" x14ac:dyDescent="0.35">
      <c r="A65" s="613" t="s">
        <v>45</v>
      </c>
      <c r="B65" s="593">
        <v>2775.1072898236398</v>
      </c>
      <c r="C65" s="593">
        <v>2691.0575100000001</v>
      </c>
      <c r="D65" s="594">
        <v>-84.049779823635006</v>
      </c>
      <c r="E65" s="595">
        <v>0.96971296204199997</v>
      </c>
      <c r="F65" s="593">
        <v>2713.7290067575</v>
      </c>
      <c r="G65" s="594">
        <v>452.288167792916</v>
      </c>
      <c r="H65" s="596">
        <v>264.89999999999998</v>
      </c>
      <c r="I65" s="593">
        <v>581.06800000000203</v>
      </c>
      <c r="J65" s="594">
        <v>128.779832207086</v>
      </c>
      <c r="K65" s="597">
        <v>0.214121601144</v>
      </c>
    </row>
    <row r="66" spans="1:11" ht="14.4" customHeight="1" thickBot="1" x14ac:dyDescent="0.35">
      <c r="A66" s="614" t="s">
        <v>362</v>
      </c>
      <c r="B66" s="598">
        <v>2775.1072898236398</v>
      </c>
      <c r="C66" s="598">
        <v>2691.0575100000001</v>
      </c>
      <c r="D66" s="599">
        <v>-84.049779823635006</v>
      </c>
      <c r="E66" s="605">
        <v>0.96971296204199997</v>
      </c>
      <c r="F66" s="598">
        <v>2713.7290067575</v>
      </c>
      <c r="G66" s="599">
        <v>452.288167792916</v>
      </c>
      <c r="H66" s="601">
        <v>264.89999999999998</v>
      </c>
      <c r="I66" s="598">
        <v>581.06800000000203</v>
      </c>
      <c r="J66" s="599">
        <v>128.779832207086</v>
      </c>
      <c r="K66" s="606">
        <v>0.214121601144</v>
      </c>
    </row>
    <row r="67" spans="1:11" ht="14.4" customHeight="1" thickBot="1" x14ac:dyDescent="0.35">
      <c r="A67" s="615" t="s">
        <v>363</v>
      </c>
      <c r="B67" s="593">
        <v>786.61400595276098</v>
      </c>
      <c r="C67" s="593">
        <v>795.33</v>
      </c>
      <c r="D67" s="594">
        <v>8.7159940472390005</v>
      </c>
      <c r="E67" s="595">
        <v>1.0110803951889999</v>
      </c>
      <c r="F67" s="593">
        <v>789.38587175990995</v>
      </c>
      <c r="G67" s="594">
        <v>131.56431195998499</v>
      </c>
      <c r="H67" s="596">
        <v>51.302999999999997</v>
      </c>
      <c r="I67" s="593">
        <v>108.514</v>
      </c>
      <c r="J67" s="594">
        <v>-23.050311959984001</v>
      </c>
      <c r="K67" s="597">
        <v>0.13746635692600001</v>
      </c>
    </row>
    <row r="68" spans="1:11" ht="14.4" customHeight="1" thickBot="1" x14ac:dyDescent="0.35">
      <c r="A68" s="615" t="s">
        <v>364</v>
      </c>
      <c r="B68" s="593">
        <v>250.01074498624601</v>
      </c>
      <c r="C68" s="593">
        <v>244.76900000000001</v>
      </c>
      <c r="D68" s="594">
        <v>-5.2417449862460002</v>
      </c>
      <c r="E68" s="595">
        <v>0.97903392117499999</v>
      </c>
      <c r="F68" s="593">
        <v>250.045005351029</v>
      </c>
      <c r="G68" s="594">
        <v>41.674167558504003</v>
      </c>
      <c r="H68" s="596">
        <v>18.393999999999998</v>
      </c>
      <c r="I68" s="593">
        <v>42.933</v>
      </c>
      <c r="J68" s="594">
        <v>1.2588324414950001</v>
      </c>
      <c r="K68" s="597">
        <v>0.171701090128</v>
      </c>
    </row>
    <row r="69" spans="1:11" ht="14.4" customHeight="1" thickBot="1" x14ac:dyDescent="0.35">
      <c r="A69" s="615" t="s">
        <v>365</v>
      </c>
      <c r="B69" s="593">
        <v>1734.13267622525</v>
      </c>
      <c r="C69" s="593">
        <v>1649.5319999999999</v>
      </c>
      <c r="D69" s="594">
        <v>-84.600676225249998</v>
      </c>
      <c r="E69" s="595">
        <v>0.95121441549100005</v>
      </c>
      <c r="F69" s="593">
        <v>1672.5949385865499</v>
      </c>
      <c r="G69" s="594">
        <v>278.76582309775898</v>
      </c>
      <c r="H69" s="596">
        <v>195.10300000000001</v>
      </c>
      <c r="I69" s="593">
        <v>429.42100000000102</v>
      </c>
      <c r="J69" s="594">
        <v>150.655176902242</v>
      </c>
      <c r="K69" s="597">
        <v>0.25673938745899999</v>
      </c>
    </row>
    <row r="70" spans="1:11" ht="14.4" customHeight="1" thickBot="1" x14ac:dyDescent="0.35">
      <c r="A70" s="615" t="s">
        <v>366</v>
      </c>
      <c r="B70" s="593">
        <v>4.3498626593780001</v>
      </c>
      <c r="C70" s="593">
        <v>1.4265099999999999</v>
      </c>
      <c r="D70" s="594">
        <v>-2.9233526593780002</v>
      </c>
      <c r="E70" s="595">
        <v>0.32794368735399998</v>
      </c>
      <c r="F70" s="593">
        <v>1.703191060003</v>
      </c>
      <c r="G70" s="594">
        <v>0.28386517666700001</v>
      </c>
      <c r="H70" s="596">
        <v>0.1</v>
      </c>
      <c r="I70" s="593">
        <v>0.2</v>
      </c>
      <c r="J70" s="594">
        <v>-8.3865176666999997E-2</v>
      </c>
      <c r="K70" s="597">
        <v>0.117426637971</v>
      </c>
    </row>
    <row r="71" spans="1:11" ht="14.4" customHeight="1" thickBot="1" x14ac:dyDescent="0.35">
      <c r="A71" s="616" t="s">
        <v>367</v>
      </c>
      <c r="B71" s="598">
        <v>2520.6040031852799</v>
      </c>
      <c r="C71" s="598">
        <v>2418.5603999999998</v>
      </c>
      <c r="D71" s="599">
        <v>-102.04360318528001</v>
      </c>
      <c r="E71" s="605">
        <v>0.95951620998099996</v>
      </c>
      <c r="F71" s="598">
        <v>2555.3485094832399</v>
      </c>
      <c r="G71" s="599">
        <v>425.89141824720701</v>
      </c>
      <c r="H71" s="601">
        <v>187.67403999999999</v>
      </c>
      <c r="I71" s="598">
        <v>391.96238000000102</v>
      </c>
      <c r="J71" s="599">
        <v>-33.929038247206002</v>
      </c>
      <c r="K71" s="606">
        <v>0.15338901075299999</v>
      </c>
    </row>
    <row r="72" spans="1:11" ht="14.4" customHeight="1" thickBot="1" x14ac:dyDescent="0.35">
      <c r="A72" s="613" t="s">
        <v>48</v>
      </c>
      <c r="B72" s="593">
        <v>754.11257572653506</v>
      </c>
      <c r="C72" s="593">
        <v>646.52028000000098</v>
      </c>
      <c r="D72" s="594">
        <v>-107.592295726534</v>
      </c>
      <c r="E72" s="595">
        <v>0.85732594947999996</v>
      </c>
      <c r="F72" s="593">
        <v>856.20864095978095</v>
      </c>
      <c r="G72" s="594">
        <v>142.701440159963</v>
      </c>
      <c r="H72" s="596">
        <v>125.26373</v>
      </c>
      <c r="I72" s="593">
        <v>132.51188999999999</v>
      </c>
      <c r="J72" s="594">
        <v>-10.189550159963</v>
      </c>
      <c r="K72" s="597">
        <v>0.154765887262</v>
      </c>
    </row>
    <row r="73" spans="1:11" ht="14.4" customHeight="1" thickBot="1" x14ac:dyDescent="0.35">
      <c r="A73" s="617" t="s">
        <v>368</v>
      </c>
      <c r="B73" s="593">
        <v>754.11257572653506</v>
      </c>
      <c r="C73" s="593">
        <v>646.52028000000098</v>
      </c>
      <c r="D73" s="594">
        <v>-107.592295726534</v>
      </c>
      <c r="E73" s="595">
        <v>0.85732594947999996</v>
      </c>
      <c r="F73" s="593">
        <v>856.20864095978095</v>
      </c>
      <c r="G73" s="594">
        <v>142.701440159963</v>
      </c>
      <c r="H73" s="596">
        <v>125.26373</v>
      </c>
      <c r="I73" s="593">
        <v>132.51188999999999</v>
      </c>
      <c r="J73" s="594">
        <v>-10.189550159963</v>
      </c>
      <c r="K73" s="597">
        <v>0.154765887262</v>
      </c>
    </row>
    <row r="74" spans="1:11" ht="14.4" customHeight="1" thickBot="1" x14ac:dyDescent="0.35">
      <c r="A74" s="615" t="s">
        <v>369</v>
      </c>
      <c r="B74" s="593">
        <v>303.21721012496999</v>
      </c>
      <c r="C74" s="593">
        <v>212.45528999999999</v>
      </c>
      <c r="D74" s="594">
        <v>-90.761920124970004</v>
      </c>
      <c r="E74" s="595">
        <v>0.70067028818099997</v>
      </c>
      <c r="F74" s="593">
        <v>195.91349175146999</v>
      </c>
      <c r="G74" s="594">
        <v>32.652248625245001</v>
      </c>
      <c r="H74" s="596">
        <v>50.908000000000001</v>
      </c>
      <c r="I74" s="593">
        <v>50.908000000000001</v>
      </c>
      <c r="J74" s="594">
        <v>18.255751374755</v>
      </c>
      <c r="K74" s="597">
        <v>0.25984938323899998</v>
      </c>
    </row>
    <row r="75" spans="1:11" ht="14.4" customHeight="1" thickBot="1" x14ac:dyDescent="0.35">
      <c r="A75" s="615" t="s">
        <v>370</v>
      </c>
      <c r="B75" s="593">
        <v>87.732831020782001</v>
      </c>
      <c r="C75" s="593">
        <v>23.97494</v>
      </c>
      <c r="D75" s="594">
        <v>-63.757891020781997</v>
      </c>
      <c r="E75" s="595">
        <v>0.27327215730999999</v>
      </c>
      <c r="F75" s="593">
        <v>31.174491244367001</v>
      </c>
      <c r="G75" s="594">
        <v>5.1957485407270001</v>
      </c>
      <c r="H75" s="596">
        <v>4.9406564584124654E-324</v>
      </c>
      <c r="I75" s="593">
        <v>9.8813129168249309E-324</v>
      </c>
      <c r="J75" s="594">
        <v>-5.1957485407270001</v>
      </c>
      <c r="K75" s="597">
        <v>0</v>
      </c>
    </row>
    <row r="76" spans="1:11" ht="14.4" customHeight="1" thickBot="1" x14ac:dyDescent="0.35">
      <c r="A76" s="615" t="s">
        <v>371</v>
      </c>
      <c r="B76" s="593">
        <v>194.984275018434</v>
      </c>
      <c r="C76" s="593">
        <v>218.95139</v>
      </c>
      <c r="D76" s="594">
        <v>23.967114981565999</v>
      </c>
      <c r="E76" s="595">
        <v>1.1229181941940001</v>
      </c>
      <c r="F76" s="593">
        <v>426.99927909443602</v>
      </c>
      <c r="G76" s="594">
        <v>71.166546515739</v>
      </c>
      <c r="H76" s="596">
        <v>49.002130000000001</v>
      </c>
      <c r="I76" s="593">
        <v>56.25029</v>
      </c>
      <c r="J76" s="594">
        <v>-14.916256515739001</v>
      </c>
      <c r="K76" s="597">
        <v>0.13173392264100001</v>
      </c>
    </row>
    <row r="77" spans="1:11" ht="14.4" customHeight="1" thickBot="1" x14ac:dyDescent="0.35">
      <c r="A77" s="615" t="s">
        <v>372</v>
      </c>
      <c r="B77" s="593">
        <v>159.98819846624599</v>
      </c>
      <c r="C77" s="593">
        <v>191.13865999999999</v>
      </c>
      <c r="D77" s="594">
        <v>31.150461533754001</v>
      </c>
      <c r="E77" s="595">
        <v>1.1947047459269999</v>
      </c>
      <c r="F77" s="593">
        <v>202.121378869507</v>
      </c>
      <c r="G77" s="594">
        <v>33.686896478251001</v>
      </c>
      <c r="H77" s="596">
        <v>25.3536</v>
      </c>
      <c r="I77" s="593">
        <v>25.3536</v>
      </c>
      <c r="J77" s="594">
        <v>-8.3332964782510004</v>
      </c>
      <c r="K77" s="597">
        <v>0.12543749771400001</v>
      </c>
    </row>
    <row r="78" spans="1:11" ht="14.4" customHeight="1" thickBot="1" x14ac:dyDescent="0.35">
      <c r="A78" s="618" t="s">
        <v>49</v>
      </c>
      <c r="B78" s="598">
        <v>0</v>
      </c>
      <c r="C78" s="598">
        <v>1.9</v>
      </c>
      <c r="D78" s="599">
        <v>1.9</v>
      </c>
      <c r="E78" s="600" t="s">
        <v>300</v>
      </c>
      <c r="F78" s="598">
        <v>0</v>
      </c>
      <c r="G78" s="599">
        <v>0</v>
      </c>
      <c r="H78" s="601">
        <v>4.9406564584124654E-324</v>
      </c>
      <c r="I78" s="598">
        <v>9.8813129168249309E-324</v>
      </c>
      <c r="J78" s="599">
        <v>9.8813129168249309E-324</v>
      </c>
      <c r="K78" s="602" t="s">
        <v>300</v>
      </c>
    </row>
    <row r="79" spans="1:11" ht="14.4" customHeight="1" thickBot="1" x14ac:dyDescent="0.35">
      <c r="A79" s="614" t="s">
        <v>373</v>
      </c>
      <c r="B79" s="598">
        <v>0</v>
      </c>
      <c r="C79" s="598">
        <v>1.9</v>
      </c>
      <c r="D79" s="599">
        <v>1.9</v>
      </c>
      <c r="E79" s="600" t="s">
        <v>300</v>
      </c>
      <c r="F79" s="598">
        <v>0</v>
      </c>
      <c r="G79" s="599">
        <v>0</v>
      </c>
      <c r="H79" s="601">
        <v>4.9406564584124654E-324</v>
      </c>
      <c r="I79" s="598">
        <v>9.8813129168249309E-324</v>
      </c>
      <c r="J79" s="599">
        <v>9.8813129168249309E-324</v>
      </c>
      <c r="K79" s="602" t="s">
        <v>300</v>
      </c>
    </row>
    <row r="80" spans="1:11" ht="14.4" customHeight="1" thickBot="1" x14ac:dyDescent="0.35">
      <c r="A80" s="615" t="s">
        <v>374</v>
      </c>
      <c r="B80" s="593">
        <v>0</v>
      </c>
      <c r="C80" s="593">
        <v>0.36</v>
      </c>
      <c r="D80" s="594">
        <v>0.36</v>
      </c>
      <c r="E80" s="603" t="s">
        <v>300</v>
      </c>
      <c r="F80" s="593">
        <v>0</v>
      </c>
      <c r="G80" s="594">
        <v>0</v>
      </c>
      <c r="H80" s="596">
        <v>4.9406564584124654E-324</v>
      </c>
      <c r="I80" s="593">
        <v>9.8813129168249309E-324</v>
      </c>
      <c r="J80" s="594">
        <v>9.8813129168249309E-324</v>
      </c>
      <c r="K80" s="604" t="s">
        <v>300</v>
      </c>
    </row>
    <row r="81" spans="1:11" ht="14.4" customHeight="1" thickBot="1" x14ac:dyDescent="0.35">
      <c r="A81" s="615" t="s">
        <v>375</v>
      </c>
      <c r="B81" s="593">
        <v>4.9406564584124654E-324</v>
      </c>
      <c r="C81" s="593">
        <v>1.54</v>
      </c>
      <c r="D81" s="594">
        <v>1.54</v>
      </c>
      <c r="E81" s="603" t="s">
        <v>306</v>
      </c>
      <c r="F81" s="593">
        <v>0</v>
      </c>
      <c r="G81" s="594">
        <v>0</v>
      </c>
      <c r="H81" s="596">
        <v>4.9406564584124654E-324</v>
      </c>
      <c r="I81" s="593">
        <v>9.8813129168249309E-324</v>
      </c>
      <c r="J81" s="594">
        <v>9.8813129168249309E-324</v>
      </c>
      <c r="K81" s="604" t="s">
        <v>300</v>
      </c>
    </row>
    <row r="82" spans="1:11" ht="14.4" customHeight="1" thickBot="1" x14ac:dyDescent="0.35">
      <c r="A82" s="613" t="s">
        <v>50</v>
      </c>
      <c r="B82" s="593">
        <v>1766.49142745875</v>
      </c>
      <c r="C82" s="593">
        <v>1770.14012</v>
      </c>
      <c r="D82" s="594">
        <v>3.6486925412539999</v>
      </c>
      <c r="E82" s="595">
        <v>1.0020655025459999</v>
      </c>
      <c r="F82" s="593">
        <v>1699.1398685234601</v>
      </c>
      <c r="G82" s="594">
        <v>283.18997808724401</v>
      </c>
      <c r="H82" s="596">
        <v>62.410310000000003</v>
      </c>
      <c r="I82" s="593">
        <v>259.45049000000103</v>
      </c>
      <c r="J82" s="594">
        <v>-23.739488087243</v>
      </c>
      <c r="K82" s="597">
        <v>0.152695192906</v>
      </c>
    </row>
    <row r="83" spans="1:11" ht="14.4" customHeight="1" thickBot="1" x14ac:dyDescent="0.35">
      <c r="A83" s="614" t="s">
        <v>376</v>
      </c>
      <c r="B83" s="598">
        <v>1.7666571865780001</v>
      </c>
      <c r="C83" s="598">
        <v>0.66100000000000003</v>
      </c>
      <c r="D83" s="599">
        <v>-1.1056571865780001</v>
      </c>
      <c r="E83" s="605">
        <v>0.37415295113300001</v>
      </c>
      <c r="F83" s="598">
        <v>0.26420089714700001</v>
      </c>
      <c r="G83" s="599">
        <v>4.4033482856999998E-2</v>
      </c>
      <c r="H83" s="601">
        <v>4.9406564584124654E-324</v>
      </c>
      <c r="I83" s="598">
        <v>9.8813129168249309E-324</v>
      </c>
      <c r="J83" s="599">
        <v>-4.4033482856999998E-2</v>
      </c>
      <c r="K83" s="606">
        <v>3.9525251667299724E-323</v>
      </c>
    </row>
    <row r="84" spans="1:11" ht="14.4" customHeight="1" thickBot="1" x14ac:dyDescent="0.35">
      <c r="A84" s="615" t="s">
        <v>377</v>
      </c>
      <c r="B84" s="593">
        <v>1.7666571865780001</v>
      </c>
      <c r="C84" s="593">
        <v>0.66100000000000003</v>
      </c>
      <c r="D84" s="594">
        <v>-1.1056571865780001</v>
      </c>
      <c r="E84" s="595">
        <v>0.37415295113300001</v>
      </c>
      <c r="F84" s="593">
        <v>0.26420089714700001</v>
      </c>
      <c r="G84" s="594">
        <v>4.4033482856999998E-2</v>
      </c>
      <c r="H84" s="596">
        <v>4.9406564584124654E-324</v>
      </c>
      <c r="I84" s="593">
        <v>9.8813129168249309E-324</v>
      </c>
      <c r="J84" s="594">
        <v>-4.4033482856999998E-2</v>
      </c>
      <c r="K84" s="597">
        <v>3.9525251667299724E-323</v>
      </c>
    </row>
    <row r="85" spans="1:11" ht="14.4" customHeight="1" thickBot="1" x14ac:dyDescent="0.35">
      <c r="A85" s="614" t="s">
        <v>378</v>
      </c>
      <c r="B85" s="598">
        <v>8.8711660050399992</v>
      </c>
      <c r="C85" s="598">
        <v>10.588419999999999</v>
      </c>
      <c r="D85" s="599">
        <v>1.717253994959</v>
      </c>
      <c r="E85" s="605">
        <v>1.193577033051</v>
      </c>
      <c r="F85" s="598">
        <v>8.2282484223159997</v>
      </c>
      <c r="G85" s="599">
        <v>1.371374737052</v>
      </c>
      <c r="H85" s="601">
        <v>0.56698000000000004</v>
      </c>
      <c r="I85" s="598">
        <v>1.3439300000000001</v>
      </c>
      <c r="J85" s="599">
        <v>-2.7444737051999998E-2</v>
      </c>
      <c r="K85" s="606">
        <v>0.16333123783100001</v>
      </c>
    </row>
    <row r="86" spans="1:11" ht="14.4" customHeight="1" thickBot="1" x14ac:dyDescent="0.35">
      <c r="A86" s="615" t="s">
        <v>379</v>
      </c>
      <c r="B86" s="593">
        <v>1.498438231048</v>
      </c>
      <c r="C86" s="593">
        <v>1.9341999999999999</v>
      </c>
      <c r="D86" s="594">
        <v>0.43576176895099999</v>
      </c>
      <c r="E86" s="595">
        <v>1.2908106319779999</v>
      </c>
      <c r="F86" s="593">
        <v>1.9786599616959999</v>
      </c>
      <c r="G86" s="594">
        <v>0.32977666028199998</v>
      </c>
      <c r="H86" s="596">
        <v>5.7000000000000002E-2</v>
      </c>
      <c r="I86" s="593">
        <v>0.15579999999999999</v>
      </c>
      <c r="J86" s="594">
        <v>-0.17397666028200001</v>
      </c>
      <c r="K86" s="597">
        <v>7.8740159003999999E-2</v>
      </c>
    </row>
    <row r="87" spans="1:11" ht="14.4" customHeight="1" thickBot="1" x14ac:dyDescent="0.35">
      <c r="A87" s="615" t="s">
        <v>380</v>
      </c>
      <c r="B87" s="593">
        <v>4.9406564584124654E-324</v>
      </c>
      <c r="C87" s="593">
        <v>2</v>
      </c>
      <c r="D87" s="594">
        <v>2</v>
      </c>
      <c r="E87" s="603" t="s">
        <v>306</v>
      </c>
      <c r="F87" s="593">
        <v>0</v>
      </c>
      <c r="G87" s="594">
        <v>0</v>
      </c>
      <c r="H87" s="596">
        <v>4.9406564584124654E-324</v>
      </c>
      <c r="I87" s="593">
        <v>9.8813129168249309E-324</v>
      </c>
      <c r="J87" s="594">
        <v>9.8813129168249309E-324</v>
      </c>
      <c r="K87" s="604" t="s">
        <v>300</v>
      </c>
    </row>
    <row r="88" spans="1:11" ht="14.4" customHeight="1" thickBot="1" x14ac:dyDescent="0.35">
      <c r="A88" s="615" t="s">
        <v>381</v>
      </c>
      <c r="B88" s="593">
        <v>7.3727277739919996</v>
      </c>
      <c r="C88" s="593">
        <v>6.6542199999999996</v>
      </c>
      <c r="D88" s="594">
        <v>-0.71850777399200005</v>
      </c>
      <c r="E88" s="595">
        <v>0.90254519141099998</v>
      </c>
      <c r="F88" s="593">
        <v>6.249588460619</v>
      </c>
      <c r="G88" s="594">
        <v>1.0415980767690001</v>
      </c>
      <c r="H88" s="596">
        <v>0.50997999999999999</v>
      </c>
      <c r="I88" s="593">
        <v>1.1881299999999999</v>
      </c>
      <c r="J88" s="594">
        <v>0.14653192323</v>
      </c>
      <c r="K88" s="597">
        <v>0.19011331825800001</v>
      </c>
    </row>
    <row r="89" spans="1:11" ht="14.4" customHeight="1" thickBot="1" x14ac:dyDescent="0.35">
      <c r="A89" s="614" t="s">
        <v>382</v>
      </c>
      <c r="B89" s="598">
        <v>44.373778670188997</v>
      </c>
      <c r="C89" s="598">
        <v>66.327730000000003</v>
      </c>
      <c r="D89" s="599">
        <v>21.953951329811002</v>
      </c>
      <c r="E89" s="605">
        <v>1.4947505483579999</v>
      </c>
      <c r="F89" s="598">
        <v>61.328005719196</v>
      </c>
      <c r="G89" s="599">
        <v>10.221334286532</v>
      </c>
      <c r="H89" s="601">
        <v>3.5318000000000001</v>
      </c>
      <c r="I89" s="598">
        <v>13.899520000000001</v>
      </c>
      <c r="J89" s="599">
        <v>3.6781857134670002</v>
      </c>
      <c r="K89" s="606">
        <v>0.226642295587</v>
      </c>
    </row>
    <row r="90" spans="1:11" ht="14.4" customHeight="1" thickBot="1" x14ac:dyDescent="0.35">
      <c r="A90" s="615" t="s">
        <v>383</v>
      </c>
      <c r="B90" s="593">
        <v>27.260332254898</v>
      </c>
      <c r="C90" s="593">
        <v>26.46</v>
      </c>
      <c r="D90" s="594">
        <v>-0.80033225489799997</v>
      </c>
      <c r="E90" s="595">
        <v>0.97064114085499997</v>
      </c>
      <c r="F90" s="593">
        <v>24.833064109921001</v>
      </c>
      <c r="G90" s="594">
        <v>4.1388440183200004</v>
      </c>
      <c r="H90" s="596">
        <v>4.9406564584124654E-324</v>
      </c>
      <c r="I90" s="593">
        <v>6.21</v>
      </c>
      <c r="J90" s="594">
        <v>2.0711559816789999</v>
      </c>
      <c r="K90" s="597">
        <v>0.25006982515300002</v>
      </c>
    </row>
    <row r="91" spans="1:11" ht="14.4" customHeight="1" thickBot="1" x14ac:dyDescent="0.35">
      <c r="A91" s="615" t="s">
        <v>384</v>
      </c>
      <c r="B91" s="593">
        <v>17.113446415289999</v>
      </c>
      <c r="C91" s="593">
        <v>39.867730000000002</v>
      </c>
      <c r="D91" s="594">
        <v>22.754283584709</v>
      </c>
      <c r="E91" s="595">
        <v>2.3296143297220002</v>
      </c>
      <c r="F91" s="593">
        <v>36.494941609274001</v>
      </c>
      <c r="G91" s="594">
        <v>6.0824902682120001</v>
      </c>
      <c r="H91" s="596">
        <v>3.5318000000000001</v>
      </c>
      <c r="I91" s="593">
        <v>7.6895199999999999</v>
      </c>
      <c r="J91" s="594">
        <v>1.6070297317869999</v>
      </c>
      <c r="K91" s="597">
        <v>0.210700981038</v>
      </c>
    </row>
    <row r="92" spans="1:11" ht="14.4" customHeight="1" thickBot="1" x14ac:dyDescent="0.35">
      <c r="A92" s="614" t="s">
        <v>385</v>
      </c>
      <c r="B92" s="598">
        <v>0</v>
      </c>
      <c r="C92" s="598">
        <v>9.4</v>
      </c>
      <c r="D92" s="599">
        <v>9.4</v>
      </c>
      <c r="E92" s="600" t="s">
        <v>300</v>
      </c>
      <c r="F92" s="598">
        <v>0</v>
      </c>
      <c r="G92" s="599">
        <v>0</v>
      </c>
      <c r="H92" s="601">
        <v>29</v>
      </c>
      <c r="I92" s="598">
        <v>29</v>
      </c>
      <c r="J92" s="599">
        <v>29</v>
      </c>
      <c r="K92" s="602" t="s">
        <v>300</v>
      </c>
    </row>
    <row r="93" spans="1:11" ht="14.4" customHeight="1" thickBot="1" x14ac:dyDescent="0.35">
      <c r="A93" s="615" t="s">
        <v>386</v>
      </c>
      <c r="B93" s="593">
        <v>0</v>
      </c>
      <c r="C93" s="593">
        <v>9.4</v>
      </c>
      <c r="D93" s="594">
        <v>9.4</v>
      </c>
      <c r="E93" s="603" t="s">
        <v>300</v>
      </c>
      <c r="F93" s="593">
        <v>0</v>
      </c>
      <c r="G93" s="594">
        <v>0</v>
      </c>
      <c r="H93" s="596">
        <v>29</v>
      </c>
      <c r="I93" s="593">
        <v>29</v>
      </c>
      <c r="J93" s="594">
        <v>29</v>
      </c>
      <c r="K93" s="604" t="s">
        <v>300</v>
      </c>
    </row>
    <row r="94" spans="1:11" ht="14.4" customHeight="1" thickBot="1" x14ac:dyDescent="0.35">
      <c r="A94" s="614" t="s">
        <v>387</v>
      </c>
      <c r="B94" s="598">
        <v>1056.97231985946</v>
      </c>
      <c r="C94" s="598">
        <v>1091.86806</v>
      </c>
      <c r="D94" s="599">
        <v>34.895740140542998</v>
      </c>
      <c r="E94" s="605">
        <v>1.033014809834</v>
      </c>
      <c r="F94" s="598">
        <v>1096.56368784545</v>
      </c>
      <c r="G94" s="599">
        <v>182.76061464090901</v>
      </c>
      <c r="H94" s="601">
        <v>7.5538800000000004</v>
      </c>
      <c r="I94" s="598">
        <v>113.871430000001</v>
      </c>
      <c r="J94" s="599">
        <v>-68.889184640907999</v>
      </c>
      <c r="K94" s="606">
        <v>0.10384388181199999</v>
      </c>
    </row>
    <row r="95" spans="1:11" ht="14.4" customHeight="1" thickBot="1" x14ac:dyDescent="0.35">
      <c r="A95" s="615" t="s">
        <v>388</v>
      </c>
      <c r="B95" s="593">
        <v>965.000979880101</v>
      </c>
      <c r="C95" s="593">
        <v>998.58399999999995</v>
      </c>
      <c r="D95" s="594">
        <v>33.583020119898002</v>
      </c>
      <c r="E95" s="595">
        <v>1.034801021781</v>
      </c>
      <c r="F95" s="593">
        <v>1003.87633964957</v>
      </c>
      <c r="G95" s="594">
        <v>167.312723274928</v>
      </c>
      <c r="H95" s="596">
        <v>4.9406564584124654E-324</v>
      </c>
      <c r="I95" s="593">
        <v>98.132990000000007</v>
      </c>
      <c r="J95" s="594">
        <v>-69.179733274927003</v>
      </c>
      <c r="K95" s="597">
        <v>9.7754062052999996E-2</v>
      </c>
    </row>
    <row r="96" spans="1:11" ht="14.4" customHeight="1" thickBot="1" x14ac:dyDescent="0.35">
      <c r="A96" s="615" t="s">
        <v>389</v>
      </c>
      <c r="B96" s="593">
        <v>0.96724118722600005</v>
      </c>
      <c r="C96" s="593">
        <v>4.0049999999999999</v>
      </c>
      <c r="D96" s="594">
        <v>3.0377588127730002</v>
      </c>
      <c r="E96" s="595">
        <v>4.1406425335190002</v>
      </c>
      <c r="F96" s="593">
        <v>3.4302858006200001</v>
      </c>
      <c r="G96" s="594">
        <v>0.57171430010299995</v>
      </c>
      <c r="H96" s="596">
        <v>0.42399999999999999</v>
      </c>
      <c r="I96" s="593">
        <v>0.42399999999999999</v>
      </c>
      <c r="J96" s="594">
        <v>-0.14771430010299999</v>
      </c>
      <c r="K96" s="597">
        <v>0.123604861123</v>
      </c>
    </row>
    <row r="97" spans="1:11" ht="14.4" customHeight="1" thickBot="1" x14ac:dyDescent="0.35">
      <c r="A97" s="615" t="s">
        <v>390</v>
      </c>
      <c r="B97" s="593">
        <v>91.004098792129</v>
      </c>
      <c r="C97" s="593">
        <v>89.279060000000001</v>
      </c>
      <c r="D97" s="594">
        <v>-1.725038792129</v>
      </c>
      <c r="E97" s="595">
        <v>0.98104438354900003</v>
      </c>
      <c r="F97" s="593">
        <v>89.257062395264001</v>
      </c>
      <c r="G97" s="594">
        <v>14.876177065877</v>
      </c>
      <c r="H97" s="596">
        <v>7.12988</v>
      </c>
      <c r="I97" s="593">
        <v>15.314439999999999</v>
      </c>
      <c r="J97" s="594">
        <v>0.43826293412200001</v>
      </c>
      <c r="K97" s="597">
        <v>0.17157678719200001</v>
      </c>
    </row>
    <row r="98" spans="1:11" ht="14.4" customHeight="1" thickBot="1" x14ac:dyDescent="0.35">
      <c r="A98" s="614" t="s">
        <v>391</v>
      </c>
      <c r="B98" s="598">
        <v>220.02178765190001</v>
      </c>
      <c r="C98" s="598">
        <v>198.28941</v>
      </c>
      <c r="D98" s="599">
        <v>-21.732377651899998</v>
      </c>
      <c r="E98" s="605">
        <v>0.901226247255</v>
      </c>
      <c r="F98" s="598">
        <v>195.03253766969499</v>
      </c>
      <c r="G98" s="599">
        <v>32.505422944948997</v>
      </c>
      <c r="H98" s="601">
        <v>13.60365</v>
      </c>
      <c r="I98" s="598">
        <v>24.437609999999999</v>
      </c>
      <c r="J98" s="599">
        <v>-8.0678129449490008</v>
      </c>
      <c r="K98" s="606">
        <v>0.125300169356</v>
      </c>
    </row>
    <row r="99" spans="1:11" ht="14.4" customHeight="1" thickBot="1" x14ac:dyDescent="0.35">
      <c r="A99" s="615" t="s">
        <v>392</v>
      </c>
      <c r="B99" s="593">
        <v>7.0091474557589999</v>
      </c>
      <c r="C99" s="593">
        <v>2.5499999999999998</v>
      </c>
      <c r="D99" s="594">
        <v>-4.4591474557590001</v>
      </c>
      <c r="E99" s="595">
        <v>0.36381029448899999</v>
      </c>
      <c r="F99" s="593">
        <v>4.9406564584124654E-324</v>
      </c>
      <c r="G99" s="594">
        <v>0</v>
      </c>
      <c r="H99" s="596">
        <v>4.9406564584124654E-324</v>
      </c>
      <c r="I99" s="593">
        <v>9.8813129168249309E-324</v>
      </c>
      <c r="J99" s="594">
        <v>9.8813129168249309E-324</v>
      </c>
      <c r="K99" s="597">
        <v>2</v>
      </c>
    </row>
    <row r="100" spans="1:11" ht="14.4" customHeight="1" thickBot="1" x14ac:dyDescent="0.35">
      <c r="A100" s="615" t="s">
        <v>393</v>
      </c>
      <c r="B100" s="593">
        <v>202.127052073138</v>
      </c>
      <c r="C100" s="593">
        <v>178.85758000000001</v>
      </c>
      <c r="D100" s="594">
        <v>-23.269472073138001</v>
      </c>
      <c r="E100" s="595">
        <v>0.88487700268400005</v>
      </c>
      <c r="F100" s="593">
        <v>176.829971060227</v>
      </c>
      <c r="G100" s="594">
        <v>29.471661843370999</v>
      </c>
      <c r="H100" s="596">
        <v>12.06395</v>
      </c>
      <c r="I100" s="593">
        <v>22.89791</v>
      </c>
      <c r="J100" s="594">
        <v>-6.5737518433710003</v>
      </c>
      <c r="K100" s="597">
        <v>0.129491114332</v>
      </c>
    </row>
    <row r="101" spans="1:11" ht="14.4" customHeight="1" thickBot="1" x14ac:dyDescent="0.35">
      <c r="A101" s="615" t="s">
        <v>394</v>
      </c>
      <c r="B101" s="593">
        <v>1.9989689139839999</v>
      </c>
      <c r="C101" s="593">
        <v>3.371</v>
      </c>
      <c r="D101" s="594">
        <v>1.372031086015</v>
      </c>
      <c r="E101" s="595">
        <v>1.6863693959499999</v>
      </c>
      <c r="F101" s="593">
        <v>3.0010932502209999</v>
      </c>
      <c r="G101" s="594">
        <v>0.50018220837000005</v>
      </c>
      <c r="H101" s="596">
        <v>4.9406564584124654E-324</v>
      </c>
      <c r="I101" s="593">
        <v>9.8813129168249309E-324</v>
      </c>
      <c r="J101" s="594">
        <v>-0.50018220837000005</v>
      </c>
      <c r="K101" s="597">
        <v>4.9406564584124654E-324</v>
      </c>
    </row>
    <row r="102" spans="1:11" ht="14.4" customHeight="1" thickBot="1" x14ac:dyDescent="0.35">
      <c r="A102" s="615" t="s">
        <v>395</v>
      </c>
      <c r="B102" s="593">
        <v>1.196261391558</v>
      </c>
      <c r="C102" s="593">
        <v>3.1284200000000002</v>
      </c>
      <c r="D102" s="594">
        <v>1.9321586084410001</v>
      </c>
      <c r="E102" s="595">
        <v>2.6151642292189998</v>
      </c>
      <c r="F102" s="593">
        <v>2.9556396545110002</v>
      </c>
      <c r="G102" s="594">
        <v>0.49260660908499998</v>
      </c>
      <c r="H102" s="596">
        <v>4.9406564584124654E-324</v>
      </c>
      <c r="I102" s="593">
        <v>9.8813129168249309E-324</v>
      </c>
      <c r="J102" s="594">
        <v>-0.49260660908499998</v>
      </c>
      <c r="K102" s="597">
        <v>4.9406564584124654E-324</v>
      </c>
    </row>
    <row r="103" spans="1:11" ht="14.4" customHeight="1" thickBot="1" x14ac:dyDescent="0.35">
      <c r="A103" s="615" t="s">
        <v>396</v>
      </c>
      <c r="B103" s="593">
        <v>7.6903578174589997</v>
      </c>
      <c r="C103" s="593">
        <v>10.38241</v>
      </c>
      <c r="D103" s="594">
        <v>2.6920521825399999</v>
      </c>
      <c r="E103" s="595">
        <v>1.350055517108</v>
      </c>
      <c r="F103" s="593">
        <v>12.245833704735</v>
      </c>
      <c r="G103" s="594">
        <v>2.0409722841220002</v>
      </c>
      <c r="H103" s="596">
        <v>1.5397000000000001</v>
      </c>
      <c r="I103" s="593">
        <v>1.5397000000000001</v>
      </c>
      <c r="J103" s="594">
        <v>-0.50127228412199998</v>
      </c>
      <c r="K103" s="597">
        <v>0.125732558282</v>
      </c>
    </row>
    <row r="104" spans="1:11" ht="14.4" customHeight="1" thickBot="1" x14ac:dyDescent="0.35">
      <c r="A104" s="614" t="s">
        <v>397</v>
      </c>
      <c r="B104" s="598">
        <v>434.48571808558103</v>
      </c>
      <c r="C104" s="598">
        <v>393.00549999999998</v>
      </c>
      <c r="D104" s="599">
        <v>-41.480218085579999</v>
      </c>
      <c r="E104" s="605">
        <v>0.90453030707500004</v>
      </c>
      <c r="F104" s="598">
        <v>337.72318796965402</v>
      </c>
      <c r="G104" s="599">
        <v>56.287197994941998</v>
      </c>
      <c r="H104" s="601">
        <v>8.1539999999999999</v>
      </c>
      <c r="I104" s="598">
        <v>76.897999999999996</v>
      </c>
      <c r="J104" s="599">
        <v>20.610802005058002</v>
      </c>
      <c r="K104" s="606">
        <v>0.22769535151600001</v>
      </c>
    </row>
    <row r="105" spans="1:11" ht="14.4" customHeight="1" thickBot="1" x14ac:dyDescent="0.35">
      <c r="A105" s="615" t="s">
        <v>398</v>
      </c>
      <c r="B105" s="593">
        <v>434.48571808558103</v>
      </c>
      <c r="C105" s="593">
        <v>393.00549999999998</v>
      </c>
      <c r="D105" s="594">
        <v>-41.480218085579999</v>
      </c>
      <c r="E105" s="595">
        <v>0.90453030707500004</v>
      </c>
      <c r="F105" s="593">
        <v>337.72318796965402</v>
      </c>
      <c r="G105" s="594">
        <v>56.287197994941998</v>
      </c>
      <c r="H105" s="596">
        <v>8.1539999999999999</v>
      </c>
      <c r="I105" s="593">
        <v>76.897999999999996</v>
      </c>
      <c r="J105" s="594">
        <v>20.610802005058002</v>
      </c>
      <c r="K105" s="597">
        <v>0.22769535151600001</v>
      </c>
    </row>
    <row r="106" spans="1:11" ht="14.4" customHeight="1" thickBot="1" x14ac:dyDescent="0.35">
      <c r="A106" s="612" t="s">
        <v>51</v>
      </c>
      <c r="B106" s="593">
        <v>21079.9951392763</v>
      </c>
      <c r="C106" s="593">
        <v>22948.659060000002</v>
      </c>
      <c r="D106" s="594">
        <v>1868.6639207237599</v>
      </c>
      <c r="E106" s="595">
        <v>1.0886463164889999</v>
      </c>
      <c r="F106" s="593">
        <v>21261.083897359302</v>
      </c>
      <c r="G106" s="594">
        <v>3543.5139828932201</v>
      </c>
      <c r="H106" s="596">
        <v>1821.88642</v>
      </c>
      <c r="I106" s="593">
        <v>4060.43779000001</v>
      </c>
      <c r="J106" s="594">
        <v>516.92380710679402</v>
      </c>
      <c r="K106" s="597">
        <v>0.19097981126399999</v>
      </c>
    </row>
    <row r="107" spans="1:11" ht="14.4" customHeight="1" thickBot="1" x14ac:dyDescent="0.35">
      <c r="A107" s="618" t="s">
        <v>399</v>
      </c>
      <c r="B107" s="598">
        <v>16417.999999999101</v>
      </c>
      <c r="C107" s="598">
        <v>17042.313999999998</v>
      </c>
      <c r="D107" s="599">
        <v>624.314000000904</v>
      </c>
      <c r="E107" s="605">
        <v>1.038026190766</v>
      </c>
      <c r="F107" s="598">
        <v>16872.9999999998</v>
      </c>
      <c r="G107" s="599">
        <v>2812.1666666666301</v>
      </c>
      <c r="H107" s="601">
        <v>1353.3589999999999</v>
      </c>
      <c r="I107" s="598">
        <v>3017.0600000000099</v>
      </c>
      <c r="J107" s="599">
        <v>204.89333333337899</v>
      </c>
      <c r="K107" s="606">
        <v>0.178809933029</v>
      </c>
    </row>
    <row r="108" spans="1:11" ht="14.4" customHeight="1" thickBot="1" x14ac:dyDescent="0.35">
      <c r="A108" s="614" t="s">
        <v>400</v>
      </c>
      <c r="B108" s="598">
        <v>13317.9999999993</v>
      </c>
      <c r="C108" s="598">
        <v>13571.103999999999</v>
      </c>
      <c r="D108" s="599">
        <v>253.10400000074</v>
      </c>
      <c r="E108" s="605">
        <v>1.0190046553530001</v>
      </c>
      <c r="F108" s="598">
        <v>12533.9999999998</v>
      </c>
      <c r="G108" s="599">
        <v>2088.99999999996</v>
      </c>
      <c r="H108" s="601">
        <v>961.85900000000004</v>
      </c>
      <c r="I108" s="598">
        <v>2178.8500000000099</v>
      </c>
      <c r="J108" s="599">
        <v>89.850000000044005</v>
      </c>
      <c r="K108" s="606">
        <v>0.173835168342</v>
      </c>
    </row>
    <row r="109" spans="1:11" ht="14.4" customHeight="1" thickBot="1" x14ac:dyDescent="0.35">
      <c r="A109" s="615" t="s">
        <v>401</v>
      </c>
      <c r="B109" s="593">
        <v>13317.9999999993</v>
      </c>
      <c r="C109" s="593">
        <v>13571.103999999999</v>
      </c>
      <c r="D109" s="594">
        <v>253.10400000074</v>
      </c>
      <c r="E109" s="595">
        <v>1.0190046553530001</v>
      </c>
      <c r="F109" s="593">
        <v>12533.9999999998</v>
      </c>
      <c r="G109" s="594">
        <v>2088.99999999996</v>
      </c>
      <c r="H109" s="596">
        <v>961.85900000000004</v>
      </c>
      <c r="I109" s="593">
        <v>2178.8500000000099</v>
      </c>
      <c r="J109" s="594">
        <v>89.850000000044005</v>
      </c>
      <c r="K109" s="597">
        <v>0.173835168342</v>
      </c>
    </row>
    <row r="110" spans="1:11" ht="14.4" customHeight="1" thickBot="1" x14ac:dyDescent="0.35">
      <c r="A110" s="614" t="s">
        <v>402</v>
      </c>
      <c r="B110" s="598">
        <v>0</v>
      </c>
      <c r="C110" s="598">
        <v>9.2999999999999999E-2</v>
      </c>
      <c r="D110" s="599">
        <v>9.2999999999999999E-2</v>
      </c>
      <c r="E110" s="600" t="s">
        <v>300</v>
      </c>
      <c r="F110" s="598">
        <v>0</v>
      </c>
      <c r="G110" s="599">
        <v>0</v>
      </c>
      <c r="H110" s="601">
        <v>4.9406564584124654E-324</v>
      </c>
      <c r="I110" s="598">
        <v>9.8813129168249309E-324</v>
      </c>
      <c r="J110" s="599">
        <v>9.8813129168249309E-324</v>
      </c>
      <c r="K110" s="602" t="s">
        <v>300</v>
      </c>
    </row>
    <row r="111" spans="1:11" ht="14.4" customHeight="1" thickBot="1" x14ac:dyDescent="0.35">
      <c r="A111" s="615" t="s">
        <v>403</v>
      </c>
      <c r="B111" s="593">
        <v>0</v>
      </c>
      <c r="C111" s="593">
        <v>9.2999999999999999E-2</v>
      </c>
      <c r="D111" s="594">
        <v>9.2999999999999999E-2</v>
      </c>
      <c r="E111" s="603" t="s">
        <v>300</v>
      </c>
      <c r="F111" s="593">
        <v>0</v>
      </c>
      <c r="G111" s="594">
        <v>0</v>
      </c>
      <c r="H111" s="596">
        <v>4.9406564584124654E-324</v>
      </c>
      <c r="I111" s="593">
        <v>9.8813129168249309E-324</v>
      </c>
      <c r="J111" s="594">
        <v>9.8813129168249309E-324</v>
      </c>
      <c r="K111" s="604" t="s">
        <v>300</v>
      </c>
    </row>
    <row r="112" spans="1:11" ht="14.4" customHeight="1" thickBot="1" x14ac:dyDescent="0.35">
      <c r="A112" s="614" t="s">
        <v>404</v>
      </c>
      <c r="B112" s="598">
        <v>3099.9999999998299</v>
      </c>
      <c r="C112" s="598">
        <v>3426.75</v>
      </c>
      <c r="D112" s="599">
        <v>326.75000000017099</v>
      </c>
      <c r="E112" s="605">
        <v>1.105403225806</v>
      </c>
      <c r="F112" s="598">
        <v>4297</v>
      </c>
      <c r="G112" s="599">
        <v>716.16666666666697</v>
      </c>
      <c r="H112" s="601">
        <v>391.5</v>
      </c>
      <c r="I112" s="598">
        <v>832.95000000000198</v>
      </c>
      <c r="J112" s="599">
        <v>116.78333333333499</v>
      </c>
      <c r="K112" s="606">
        <v>0.19384454270400001</v>
      </c>
    </row>
    <row r="113" spans="1:11" ht="14.4" customHeight="1" thickBot="1" x14ac:dyDescent="0.35">
      <c r="A113" s="615" t="s">
        <v>405</v>
      </c>
      <c r="B113" s="593">
        <v>3099.9999999998299</v>
      </c>
      <c r="C113" s="593">
        <v>3426.75</v>
      </c>
      <c r="D113" s="594">
        <v>326.75000000017099</v>
      </c>
      <c r="E113" s="595">
        <v>1.105403225806</v>
      </c>
      <c r="F113" s="593">
        <v>4297</v>
      </c>
      <c r="G113" s="594">
        <v>716.16666666666697</v>
      </c>
      <c r="H113" s="596">
        <v>391.5</v>
      </c>
      <c r="I113" s="593">
        <v>832.95000000000198</v>
      </c>
      <c r="J113" s="594">
        <v>116.78333333333499</v>
      </c>
      <c r="K113" s="597">
        <v>0.19384454270400001</v>
      </c>
    </row>
    <row r="114" spans="1:11" ht="14.4" customHeight="1" thickBot="1" x14ac:dyDescent="0.35">
      <c r="A114" s="614" t="s">
        <v>406</v>
      </c>
      <c r="B114" s="598">
        <v>0</v>
      </c>
      <c r="C114" s="598">
        <v>44.366999999999997</v>
      </c>
      <c r="D114" s="599">
        <v>44.366999999999997</v>
      </c>
      <c r="E114" s="600" t="s">
        <v>300</v>
      </c>
      <c r="F114" s="598">
        <v>41.999999999998998</v>
      </c>
      <c r="G114" s="599">
        <v>6.9999999999989999</v>
      </c>
      <c r="H114" s="601">
        <v>4.9406564584124654E-324</v>
      </c>
      <c r="I114" s="598">
        <v>5.26</v>
      </c>
      <c r="J114" s="599">
        <v>-1.7399999999989999</v>
      </c>
      <c r="K114" s="606">
        <v>0.125238095238</v>
      </c>
    </row>
    <row r="115" spans="1:11" ht="14.4" customHeight="1" thickBot="1" x14ac:dyDescent="0.35">
      <c r="A115" s="615" t="s">
        <v>407</v>
      </c>
      <c r="B115" s="593">
        <v>0</v>
      </c>
      <c r="C115" s="593">
        <v>44.366999999999997</v>
      </c>
      <c r="D115" s="594">
        <v>44.366999999999997</v>
      </c>
      <c r="E115" s="603" t="s">
        <v>300</v>
      </c>
      <c r="F115" s="593">
        <v>41.999999999998998</v>
      </c>
      <c r="G115" s="594">
        <v>6.9999999999989999</v>
      </c>
      <c r="H115" s="596">
        <v>4.9406564584124654E-324</v>
      </c>
      <c r="I115" s="593">
        <v>5.26</v>
      </c>
      <c r="J115" s="594">
        <v>-1.7399999999989999</v>
      </c>
      <c r="K115" s="597">
        <v>0.125238095238</v>
      </c>
    </row>
    <row r="116" spans="1:11" ht="14.4" customHeight="1" thickBot="1" x14ac:dyDescent="0.35">
      <c r="A116" s="613" t="s">
        <v>408</v>
      </c>
      <c r="B116" s="593">
        <v>4528.99513927716</v>
      </c>
      <c r="C116" s="593">
        <v>5770.1925799999999</v>
      </c>
      <c r="D116" s="594">
        <v>1241.1974407228399</v>
      </c>
      <c r="E116" s="595">
        <v>1.274055812062</v>
      </c>
      <c r="F116" s="593">
        <v>4262.0838973595301</v>
      </c>
      <c r="G116" s="594">
        <v>710.34731622658899</v>
      </c>
      <c r="H116" s="596">
        <v>458.90879999999999</v>
      </c>
      <c r="I116" s="593">
        <v>1021.5375</v>
      </c>
      <c r="J116" s="594">
        <v>311.19018377341399</v>
      </c>
      <c r="K116" s="597">
        <v>0.239680288938</v>
      </c>
    </row>
    <row r="117" spans="1:11" ht="14.4" customHeight="1" thickBot="1" x14ac:dyDescent="0.35">
      <c r="A117" s="614" t="s">
        <v>409</v>
      </c>
      <c r="B117" s="598">
        <v>1198.9999907714</v>
      </c>
      <c r="C117" s="598">
        <v>1529.88024</v>
      </c>
      <c r="D117" s="599">
        <v>330.88024922860399</v>
      </c>
      <c r="E117" s="605">
        <v>1.27596351274</v>
      </c>
      <c r="F117" s="598">
        <v>1128.0838973596001</v>
      </c>
      <c r="G117" s="599">
        <v>188.01398289326599</v>
      </c>
      <c r="H117" s="601">
        <v>121.8018</v>
      </c>
      <c r="I117" s="598">
        <v>271.06050000000101</v>
      </c>
      <c r="J117" s="599">
        <v>83.046517106734001</v>
      </c>
      <c r="K117" s="606">
        <v>0.24028399007699999</v>
      </c>
    </row>
    <row r="118" spans="1:11" ht="14.4" customHeight="1" thickBot="1" x14ac:dyDescent="0.35">
      <c r="A118" s="615" t="s">
        <v>410</v>
      </c>
      <c r="B118" s="593">
        <v>1198.9999907714</v>
      </c>
      <c r="C118" s="593">
        <v>1529.88024</v>
      </c>
      <c r="D118" s="594">
        <v>330.88024922860399</v>
      </c>
      <c r="E118" s="595">
        <v>1.27596351274</v>
      </c>
      <c r="F118" s="593">
        <v>1128.0838973596001</v>
      </c>
      <c r="G118" s="594">
        <v>188.01398289326599</v>
      </c>
      <c r="H118" s="596">
        <v>121.8018</v>
      </c>
      <c r="I118" s="593">
        <v>271.06050000000101</v>
      </c>
      <c r="J118" s="594">
        <v>83.046517106734001</v>
      </c>
      <c r="K118" s="597">
        <v>0.24028399007699999</v>
      </c>
    </row>
    <row r="119" spans="1:11" ht="14.4" customHeight="1" thickBot="1" x14ac:dyDescent="0.35">
      <c r="A119" s="614" t="s">
        <v>411</v>
      </c>
      <c r="B119" s="598">
        <v>3329.99514850577</v>
      </c>
      <c r="C119" s="598">
        <v>4240.3123400000004</v>
      </c>
      <c r="D119" s="599">
        <v>910.31719149423498</v>
      </c>
      <c r="E119" s="605">
        <v>1.273368924246</v>
      </c>
      <c r="F119" s="598">
        <v>3133.99999999994</v>
      </c>
      <c r="G119" s="599">
        <v>522.33333333332303</v>
      </c>
      <c r="H119" s="601">
        <v>337.10700000000003</v>
      </c>
      <c r="I119" s="598">
        <v>750.47700000000202</v>
      </c>
      <c r="J119" s="599">
        <v>228.143666666679</v>
      </c>
      <c r="K119" s="606">
        <v>0.239462986598</v>
      </c>
    </row>
    <row r="120" spans="1:11" ht="14.4" customHeight="1" thickBot="1" x14ac:dyDescent="0.35">
      <c r="A120" s="615" t="s">
        <v>412</v>
      </c>
      <c r="B120" s="593">
        <v>3329.99514850577</v>
      </c>
      <c r="C120" s="593">
        <v>4240.3123400000004</v>
      </c>
      <c r="D120" s="594">
        <v>910.31719149423498</v>
      </c>
      <c r="E120" s="595">
        <v>1.273368924246</v>
      </c>
      <c r="F120" s="593">
        <v>3133.99999999994</v>
      </c>
      <c r="G120" s="594">
        <v>522.33333333332303</v>
      </c>
      <c r="H120" s="596">
        <v>337.10700000000003</v>
      </c>
      <c r="I120" s="593">
        <v>750.47700000000202</v>
      </c>
      <c r="J120" s="594">
        <v>228.143666666679</v>
      </c>
      <c r="K120" s="597">
        <v>0.239462986598</v>
      </c>
    </row>
    <row r="121" spans="1:11" ht="14.4" customHeight="1" thickBot="1" x14ac:dyDescent="0.35">
      <c r="A121" s="613" t="s">
        <v>413</v>
      </c>
      <c r="B121" s="593">
        <v>132.99999999999301</v>
      </c>
      <c r="C121" s="593">
        <v>136.15248</v>
      </c>
      <c r="D121" s="594">
        <v>3.1524800000069999</v>
      </c>
      <c r="E121" s="595">
        <v>1.0237028571419999</v>
      </c>
      <c r="F121" s="593">
        <v>125.999999999997</v>
      </c>
      <c r="G121" s="594">
        <v>20.999999999999002</v>
      </c>
      <c r="H121" s="596">
        <v>9.6186199999999999</v>
      </c>
      <c r="I121" s="593">
        <v>21.84029</v>
      </c>
      <c r="J121" s="594">
        <v>0.84028999999999998</v>
      </c>
      <c r="K121" s="597">
        <v>0.17333563492000001</v>
      </c>
    </row>
    <row r="122" spans="1:11" ht="14.4" customHeight="1" thickBot="1" x14ac:dyDescent="0.35">
      <c r="A122" s="614" t="s">
        <v>414</v>
      </c>
      <c r="B122" s="598">
        <v>132.99999999999301</v>
      </c>
      <c r="C122" s="598">
        <v>136.15248</v>
      </c>
      <c r="D122" s="599">
        <v>3.1524800000069999</v>
      </c>
      <c r="E122" s="605">
        <v>1.0237028571419999</v>
      </c>
      <c r="F122" s="598">
        <v>125.999999999997</v>
      </c>
      <c r="G122" s="599">
        <v>20.999999999999002</v>
      </c>
      <c r="H122" s="601">
        <v>9.6186199999999999</v>
      </c>
      <c r="I122" s="598">
        <v>21.84029</v>
      </c>
      <c r="J122" s="599">
        <v>0.84028999999999998</v>
      </c>
      <c r="K122" s="606">
        <v>0.17333563492000001</v>
      </c>
    </row>
    <row r="123" spans="1:11" ht="14.4" customHeight="1" thickBot="1" x14ac:dyDescent="0.35">
      <c r="A123" s="615" t="s">
        <v>415</v>
      </c>
      <c r="B123" s="593">
        <v>132.99999999999301</v>
      </c>
      <c r="C123" s="593">
        <v>136.15248</v>
      </c>
      <c r="D123" s="594">
        <v>3.1524800000069999</v>
      </c>
      <c r="E123" s="595">
        <v>1.0237028571419999</v>
      </c>
      <c r="F123" s="593">
        <v>125.999999999997</v>
      </c>
      <c r="G123" s="594">
        <v>20.999999999999002</v>
      </c>
      <c r="H123" s="596">
        <v>9.6186199999999999</v>
      </c>
      <c r="I123" s="593">
        <v>21.84029</v>
      </c>
      <c r="J123" s="594">
        <v>0.84028999999999998</v>
      </c>
      <c r="K123" s="597">
        <v>0.17333563492000001</v>
      </c>
    </row>
    <row r="124" spans="1:11" ht="14.4" customHeight="1" thickBot="1" x14ac:dyDescent="0.35">
      <c r="A124" s="612" t="s">
        <v>416</v>
      </c>
      <c r="B124" s="593">
        <v>0</v>
      </c>
      <c r="C124" s="593">
        <v>81.083950000000002</v>
      </c>
      <c r="D124" s="594">
        <v>81.083950000000002</v>
      </c>
      <c r="E124" s="603" t="s">
        <v>300</v>
      </c>
      <c r="F124" s="593">
        <v>0</v>
      </c>
      <c r="G124" s="594">
        <v>0</v>
      </c>
      <c r="H124" s="596">
        <v>4.9406564584124654E-324</v>
      </c>
      <c r="I124" s="593">
        <v>0.72729999999999995</v>
      </c>
      <c r="J124" s="594">
        <v>0.72729999999999995</v>
      </c>
      <c r="K124" s="604" t="s">
        <v>300</v>
      </c>
    </row>
    <row r="125" spans="1:11" ht="14.4" customHeight="1" thickBot="1" x14ac:dyDescent="0.35">
      <c r="A125" s="613" t="s">
        <v>417</v>
      </c>
      <c r="B125" s="593">
        <v>4.9406564584124654E-324</v>
      </c>
      <c r="C125" s="593">
        <v>26.420999999999001</v>
      </c>
      <c r="D125" s="594">
        <v>26.420999999999001</v>
      </c>
      <c r="E125" s="603" t="s">
        <v>306</v>
      </c>
      <c r="F125" s="593">
        <v>0</v>
      </c>
      <c r="G125" s="594">
        <v>0</v>
      </c>
      <c r="H125" s="596">
        <v>4.9406564584124654E-324</v>
      </c>
      <c r="I125" s="593">
        <v>9.8813129168249309E-324</v>
      </c>
      <c r="J125" s="594">
        <v>9.8813129168249309E-324</v>
      </c>
      <c r="K125" s="604" t="s">
        <v>300</v>
      </c>
    </row>
    <row r="126" spans="1:11" ht="14.4" customHeight="1" thickBot="1" x14ac:dyDescent="0.35">
      <c r="A126" s="614" t="s">
        <v>418</v>
      </c>
      <c r="B126" s="598">
        <v>4.9406564584124654E-324</v>
      </c>
      <c r="C126" s="598">
        <v>26.420999999999001</v>
      </c>
      <c r="D126" s="599">
        <v>26.420999999999001</v>
      </c>
      <c r="E126" s="600" t="s">
        <v>306</v>
      </c>
      <c r="F126" s="598">
        <v>0</v>
      </c>
      <c r="G126" s="599">
        <v>0</v>
      </c>
      <c r="H126" s="601">
        <v>4.9406564584124654E-324</v>
      </c>
      <c r="I126" s="598">
        <v>9.8813129168249309E-324</v>
      </c>
      <c r="J126" s="599">
        <v>9.8813129168249309E-324</v>
      </c>
      <c r="K126" s="602" t="s">
        <v>300</v>
      </c>
    </row>
    <row r="127" spans="1:11" ht="14.4" customHeight="1" thickBot="1" x14ac:dyDescent="0.35">
      <c r="A127" s="615" t="s">
        <v>419</v>
      </c>
      <c r="B127" s="593">
        <v>4.9406564584124654E-324</v>
      </c>
      <c r="C127" s="593">
        <v>26.420999999999001</v>
      </c>
      <c r="D127" s="594">
        <v>26.420999999999001</v>
      </c>
      <c r="E127" s="603" t="s">
        <v>306</v>
      </c>
      <c r="F127" s="593">
        <v>0</v>
      </c>
      <c r="G127" s="594">
        <v>0</v>
      </c>
      <c r="H127" s="596">
        <v>4.9406564584124654E-324</v>
      </c>
      <c r="I127" s="593">
        <v>9.8813129168249309E-324</v>
      </c>
      <c r="J127" s="594">
        <v>9.8813129168249309E-324</v>
      </c>
      <c r="K127" s="604" t="s">
        <v>300</v>
      </c>
    </row>
    <row r="128" spans="1:11" ht="14.4" customHeight="1" thickBot="1" x14ac:dyDescent="0.35">
      <c r="A128" s="613" t="s">
        <v>420</v>
      </c>
      <c r="B128" s="593">
        <v>0</v>
      </c>
      <c r="C128" s="593">
        <v>54.662950000000002</v>
      </c>
      <c r="D128" s="594">
        <v>54.662950000000002</v>
      </c>
      <c r="E128" s="603" t="s">
        <v>300</v>
      </c>
      <c r="F128" s="593">
        <v>0</v>
      </c>
      <c r="G128" s="594">
        <v>0</v>
      </c>
      <c r="H128" s="596">
        <v>4.9406564584124654E-324</v>
      </c>
      <c r="I128" s="593">
        <v>0.72729999999999995</v>
      </c>
      <c r="J128" s="594">
        <v>0.72729999999999995</v>
      </c>
      <c r="K128" s="604" t="s">
        <v>300</v>
      </c>
    </row>
    <row r="129" spans="1:11" ht="14.4" customHeight="1" thickBot="1" x14ac:dyDescent="0.35">
      <c r="A129" s="614" t="s">
        <v>421</v>
      </c>
      <c r="B129" s="598">
        <v>0</v>
      </c>
      <c r="C129" s="598">
        <v>23.620950000000001</v>
      </c>
      <c r="D129" s="599">
        <v>23.620950000000001</v>
      </c>
      <c r="E129" s="600" t="s">
        <v>300</v>
      </c>
      <c r="F129" s="598">
        <v>0</v>
      </c>
      <c r="G129" s="599">
        <v>0</v>
      </c>
      <c r="H129" s="601">
        <v>4.9406564584124654E-324</v>
      </c>
      <c r="I129" s="598">
        <v>0.72729999999999995</v>
      </c>
      <c r="J129" s="599">
        <v>0.72729999999999995</v>
      </c>
      <c r="K129" s="602" t="s">
        <v>300</v>
      </c>
    </row>
    <row r="130" spans="1:11" ht="14.4" customHeight="1" thickBot="1" x14ac:dyDescent="0.35">
      <c r="A130" s="615" t="s">
        <v>422</v>
      </c>
      <c r="B130" s="593">
        <v>0</v>
      </c>
      <c r="C130" s="593">
        <v>20.220949999999998</v>
      </c>
      <c r="D130" s="594">
        <v>20.220949999999998</v>
      </c>
      <c r="E130" s="603" t="s">
        <v>300</v>
      </c>
      <c r="F130" s="593">
        <v>0</v>
      </c>
      <c r="G130" s="594">
        <v>0</v>
      </c>
      <c r="H130" s="596">
        <v>4.9406564584124654E-324</v>
      </c>
      <c r="I130" s="593">
        <v>0.72729999999999995</v>
      </c>
      <c r="J130" s="594">
        <v>0.72729999999999995</v>
      </c>
      <c r="K130" s="604" t="s">
        <v>300</v>
      </c>
    </row>
    <row r="131" spans="1:11" ht="14.4" customHeight="1" thickBot="1" x14ac:dyDescent="0.35">
      <c r="A131" s="615" t="s">
        <v>423</v>
      </c>
      <c r="B131" s="593">
        <v>0</v>
      </c>
      <c r="C131" s="593">
        <v>3.4</v>
      </c>
      <c r="D131" s="594">
        <v>3.4</v>
      </c>
      <c r="E131" s="603" t="s">
        <v>300</v>
      </c>
      <c r="F131" s="593">
        <v>0</v>
      </c>
      <c r="G131" s="594">
        <v>0</v>
      </c>
      <c r="H131" s="596">
        <v>4.9406564584124654E-324</v>
      </c>
      <c r="I131" s="593">
        <v>9.8813129168249309E-324</v>
      </c>
      <c r="J131" s="594">
        <v>9.8813129168249309E-324</v>
      </c>
      <c r="K131" s="604" t="s">
        <v>300</v>
      </c>
    </row>
    <row r="132" spans="1:11" ht="14.4" customHeight="1" thickBot="1" x14ac:dyDescent="0.35">
      <c r="A132" s="614" t="s">
        <v>424</v>
      </c>
      <c r="B132" s="598">
        <v>4.9406564584124654E-324</v>
      </c>
      <c r="C132" s="598">
        <v>3.873999999999</v>
      </c>
      <c r="D132" s="599">
        <v>3.873999999999</v>
      </c>
      <c r="E132" s="600" t="s">
        <v>306</v>
      </c>
      <c r="F132" s="598">
        <v>0</v>
      </c>
      <c r="G132" s="599">
        <v>0</v>
      </c>
      <c r="H132" s="601">
        <v>4.9406564584124654E-324</v>
      </c>
      <c r="I132" s="598">
        <v>9.8813129168249309E-324</v>
      </c>
      <c r="J132" s="599">
        <v>9.8813129168249309E-324</v>
      </c>
      <c r="K132" s="602" t="s">
        <v>300</v>
      </c>
    </row>
    <row r="133" spans="1:11" ht="14.4" customHeight="1" thickBot="1" x14ac:dyDescent="0.35">
      <c r="A133" s="615" t="s">
        <v>425</v>
      </c>
      <c r="B133" s="593">
        <v>4.9406564584124654E-324</v>
      </c>
      <c r="C133" s="593">
        <v>3.873999999999</v>
      </c>
      <c r="D133" s="594">
        <v>3.873999999999</v>
      </c>
      <c r="E133" s="603" t="s">
        <v>306</v>
      </c>
      <c r="F133" s="593">
        <v>0</v>
      </c>
      <c r="G133" s="594">
        <v>0</v>
      </c>
      <c r="H133" s="596">
        <v>4.9406564584124654E-324</v>
      </c>
      <c r="I133" s="593">
        <v>9.8813129168249309E-324</v>
      </c>
      <c r="J133" s="594">
        <v>9.8813129168249309E-324</v>
      </c>
      <c r="K133" s="604" t="s">
        <v>300</v>
      </c>
    </row>
    <row r="134" spans="1:11" ht="14.4" customHeight="1" thickBot="1" x14ac:dyDescent="0.35">
      <c r="A134" s="617" t="s">
        <v>426</v>
      </c>
      <c r="B134" s="593">
        <v>4.9406564584124654E-324</v>
      </c>
      <c r="C134" s="593">
        <v>24.167999999999999</v>
      </c>
      <c r="D134" s="594">
        <v>24.167999999999999</v>
      </c>
      <c r="E134" s="603" t="s">
        <v>306</v>
      </c>
      <c r="F134" s="593">
        <v>0</v>
      </c>
      <c r="G134" s="594">
        <v>0</v>
      </c>
      <c r="H134" s="596">
        <v>4.9406564584124654E-324</v>
      </c>
      <c r="I134" s="593">
        <v>9.8813129168249309E-324</v>
      </c>
      <c r="J134" s="594">
        <v>9.8813129168249309E-324</v>
      </c>
      <c r="K134" s="604" t="s">
        <v>300</v>
      </c>
    </row>
    <row r="135" spans="1:11" ht="14.4" customHeight="1" thickBot="1" x14ac:dyDescent="0.35">
      <c r="A135" s="615" t="s">
        <v>427</v>
      </c>
      <c r="B135" s="593">
        <v>4.9406564584124654E-324</v>
      </c>
      <c r="C135" s="593">
        <v>24.167999999999999</v>
      </c>
      <c r="D135" s="594">
        <v>24.167999999999999</v>
      </c>
      <c r="E135" s="603" t="s">
        <v>306</v>
      </c>
      <c r="F135" s="593">
        <v>0</v>
      </c>
      <c r="G135" s="594">
        <v>0</v>
      </c>
      <c r="H135" s="596">
        <v>4.9406564584124654E-324</v>
      </c>
      <c r="I135" s="593">
        <v>9.8813129168249309E-324</v>
      </c>
      <c r="J135" s="594">
        <v>9.8813129168249309E-324</v>
      </c>
      <c r="K135" s="604" t="s">
        <v>300</v>
      </c>
    </row>
    <row r="136" spans="1:11" ht="14.4" customHeight="1" thickBot="1" x14ac:dyDescent="0.35">
      <c r="A136" s="617" t="s">
        <v>428</v>
      </c>
      <c r="B136" s="593">
        <v>4.9406564584124654E-324</v>
      </c>
      <c r="C136" s="593">
        <v>3</v>
      </c>
      <c r="D136" s="594">
        <v>3</v>
      </c>
      <c r="E136" s="603" t="s">
        <v>306</v>
      </c>
      <c r="F136" s="593">
        <v>0</v>
      </c>
      <c r="G136" s="594">
        <v>0</v>
      </c>
      <c r="H136" s="596">
        <v>4.9406564584124654E-324</v>
      </c>
      <c r="I136" s="593">
        <v>9.8813129168249309E-324</v>
      </c>
      <c r="J136" s="594">
        <v>9.8813129168249309E-324</v>
      </c>
      <c r="K136" s="604" t="s">
        <v>300</v>
      </c>
    </row>
    <row r="137" spans="1:11" ht="14.4" customHeight="1" thickBot="1" x14ac:dyDescent="0.35">
      <c r="A137" s="615" t="s">
        <v>429</v>
      </c>
      <c r="B137" s="593">
        <v>4.9406564584124654E-324</v>
      </c>
      <c r="C137" s="593">
        <v>3</v>
      </c>
      <c r="D137" s="594">
        <v>3</v>
      </c>
      <c r="E137" s="603" t="s">
        <v>306</v>
      </c>
      <c r="F137" s="593">
        <v>0</v>
      </c>
      <c r="G137" s="594">
        <v>0</v>
      </c>
      <c r="H137" s="596">
        <v>4.9406564584124654E-324</v>
      </c>
      <c r="I137" s="593">
        <v>9.8813129168249309E-324</v>
      </c>
      <c r="J137" s="594">
        <v>9.8813129168249309E-324</v>
      </c>
      <c r="K137" s="604" t="s">
        <v>300</v>
      </c>
    </row>
    <row r="138" spans="1:11" ht="14.4" customHeight="1" thickBot="1" x14ac:dyDescent="0.35">
      <c r="A138" s="612" t="s">
        <v>430</v>
      </c>
      <c r="B138" s="593">
        <v>1240.99999999993</v>
      </c>
      <c r="C138" s="593">
        <v>1452.03386</v>
      </c>
      <c r="D138" s="594">
        <v>211.03386000006901</v>
      </c>
      <c r="E138" s="595">
        <v>1.170051458501</v>
      </c>
      <c r="F138" s="593">
        <v>1507.98745286191</v>
      </c>
      <c r="G138" s="594">
        <v>251.33124214365199</v>
      </c>
      <c r="H138" s="596">
        <v>190.76400000000001</v>
      </c>
      <c r="I138" s="593">
        <v>311.29600000000102</v>
      </c>
      <c r="J138" s="594">
        <v>59.964757856348001</v>
      </c>
      <c r="K138" s="597">
        <v>0.20643142581099999</v>
      </c>
    </row>
    <row r="139" spans="1:11" ht="14.4" customHeight="1" thickBot="1" x14ac:dyDescent="0.35">
      <c r="A139" s="613" t="s">
        <v>431</v>
      </c>
      <c r="B139" s="593">
        <v>1240.99999999993</v>
      </c>
      <c r="C139" s="593">
        <v>1048.211</v>
      </c>
      <c r="D139" s="594">
        <v>-192.788999999932</v>
      </c>
      <c r="E139" s="595">
        <v>0.84465028203000003</v>
      </c>
      <c r="F139" s="593">
        <v>1507.98745286191</v>
      </c>
      <c r="G139" s="594">
        <v>251.33124214365199</v>
      </c>
      <c r="H139" s="596">
        <v>190.76400000000001</v>
      </c>
      <c r="I139" s="593">
        <v>311.29600000000102</v>
      </c>
      <c r="J139" s="594">
        <v>59.964757856348001</v>
      </c>
      <c r="K139" s="597">
        <v>0.20643142581099999</v>
      </c>
    </row>
    <row r="140" spans="1:11" ht="14.4" customHeight="1" thickBot="1" x14ac:dyDescent="0.35">
      <c r="A140" s="614" t="s">
        <v>432</v>
      </c>
      <c r="B140" s="598">
        <v>1240.99999999993</v>
      </c>
      <c r="C140" s="598">
        <v>1048.211</v>
      </c>
      <c r="D140" s="599">
        <v>-192.788999999932</v>
      </c>
      <c r="E140" s="605">
        <v>0.84465028203000003</v>
      </c>
      <c r="F140" s="598">
        <v>1507.98745286191</v>
      </c>
      <c r="G140" s="599">
        <v>251.33124214365199</v>
      </c>
      <c r="H140" s="601">
        <v>129.91399999999999</v>
      </c>
      <c r="I140" s="598">
        <v>250.44600000000099</v>
      </c>
      <c r="J140" s="599">
        <v>-0.88524214365099996</v>
      </c>
      <c r="K140" s="606">
        <v>0.16607963118300001</v>
      </c>
    </row>
    <row r="141" spans="1:11" ht="14.4" customHeight="1" thickBot="1" x14ac:dyDescent="0.35">
      <c r="A141" s="615" t="s">
        <v>433</v>
      </c>
      <c r="B141" s="593">
        <v>210.99999999998801</v>
      </c>
      <c r="C141" s="593">
        <v>260.84399999999999</v>
      </c>
      <c r="D141" s="594">
        <v>49.844000000011</v>
      </c>
      <c r="E141" s="595">
        <v>1.236227488151</v>
      </c>
      <c r="F141" s="593">
        <v>300.98804133669302</v>
      </c>
      <c r="G141" s="594">
        <v>50.164673556114998</v>
      </c>
      <c r="H141" s="596">
        <v>25.053999999999998</v>
      </c>
      <c r="I141" s="593">
        <v>50.107999999999997</v>
      </c>
      <c r="J141" s="594">
        <v>-5.6673556115000003E-2</v>
      </c>
      <c r="K141" s="597">
        <v>0.16647837494600001</v>
      </c>
    </row>
    <row r="142" spans="1:11" ht="14.4" customHeight="1" thickBot="1" x14ac:dyDescent="0.35">
      <c r="A142" s="615" t="s">
        <v>434</v>
      </c>
      <c r="B142" s="593">
        <v>729.99999999995998</v>
      </c>
      <c r="C142" s="593">
        <v>480.37400000000002</v>
      </c>
      <c r="D142" s="594">
        <v>-249.62599999995999</v>
      </c>
      <c r="E142" s="595">
        <v>0.65804657534199995</v>
      </c>
      <c r="F142" s="593">
        <v>894.99999999998397</v>
      </c>
      <c r="G142" s="594">
        <v>149.16666666666401</v>
      </c>
      <c r="H142" s="596">
        <v>78.957999999999998</v>
      </c>
      <c r="I142" s="593">
        <v>148.53399999999999</v>
      </c>
      <c r="J142" s="594">
        <v>-0.63266666666299998</v>
      </c>
      <c r="K142" s="597">
        <v>0.165959776536</v>
      </c>
    </row>
    <row r="143" spans="1:11" ht="14.4" customHeight="1" thickBot="1" x14ac:dyDescent="0.35">
      <c r="A143" s="615" t="s">
        <v>435</v>
      </c>
      <c r="B143" s="593">
        <v>17.999999999999002</v>
      </c>
      <c r="C143" s="593">
        <v>17.664000000000001</v>
      </c>
      <c r="D143" s="594">
        <v>-0.33599999999899999</v>
      </c>
      <c r="E143" s="595">
        <v>0.98133333333299999</v>
      </c>
      <c r="F143" s="593">
        <v>18.000150596234999</v>
      </c>
      <c r="G143" s="594">
        <v>3.0000250993719999</v>
      </c>
      <c r="H143" s="596">
        <v>1.472</v>
      </c>
      <c r="I143" s="593">
        <v>2.944</v>
      </c>
      <c r="J143" s="594">
        <v>-5.6025099372000002E-2</v>
      </c>
      <c r="K143" s="597">
        <v>0.16355418718600001</v>
      </c>
    </row>
    <row r="144" spans="1:11" ht="14.4" customHeight="1" thickBot="1" x14ac:dyDescent="0.35">
      <c r="A144" s="615" t="s">
        <v>436</v>
      </c>
      <c r="B144" s="593">
        <v>47.999999999997002</v>
      </c>
      <c r="C144" s="593">
        <v>54.67</v>
      </c>
      <c r="D144" s="594">
        <v>6.6700000000020001</v>
      </c>
      <c r="E144" s="595">
        <v>1.138958333333</v>
      </c>
      <c r="F144" s="593">
        <v>59.999260929004002</v>
      </c>
      <c r="G144" s="594">
        <v>9.9998768214999991</v>
      </c>
      <c r="H144" s="596">
        <v>4.8760000000000003</v>
      </c>
      <c r="I144" s="593">
        <v>9.7520000000000007</v>
      </c>
      <c r="J144" s="594">
        <v>-0.24787682150000001</v>
      </c>
      <c r="K144" s="597">
        <v>0.162535335419</v>
      </c>
    </row>
    <row r="145" spans="1:11" ht="14.4" customHeight="1" thickBot="1" x14ac:dyDescent="0.35">
      <c r="A145" s="615" t="s">
        <v>437</v>
      </c>
      <c r="B145" s="593">
        <v>233.99999999998701</v>
      </c>
      <c r="C145" s="593">
        <v>234.65899999999999</v>
      </c>
      <c r="D145" s="594">
        <v>0.65900000001199999</v>
      </c>
      <c r="E145" s="595">
        <v>1.0028162393160001</v>
      </c>
      <c r="F145" s="593">
        <v>233.99999999999599</v>
      </c>
      <c r="G145" s="594">
        <v>38.999999999998998</v>
      </c>
      <c r="H145" s="596">
        <v>19.553999999999998</v>
      </c>
      <c r="I145" s="593">
        <v>39.107999999999997</v>
      </c>
      <c r="J145" s="594">
        <v>0.108</v>
      </c>
      <c r="K145" s="597">
        <v>0.167128205128</v>
      </c>
    </row>
    <row r="146" spans="1:11" ht="14.4" customHeight="1" thickBot="1" x14ac:dyDescent="0.35">
      <c r="A146" s="614" t="s">
        <v>438</v>
      </c>
      <c r="B146" s="598">
        <v>0</v>
      </c>
      <c r="C146" s="598">
        <v>4.9406564584124654E-324</v>
      </c>
      <c r="D146" s="599">
        <v>4.9406564584124654E-324</v>
      </c>
      <c r="E146" s="600" t="s">
        <v>300</v>
      </c>
      <c r="F146" s="598">
        <v>4.9406564584124654E-324</v>
      </c>
      <c r="G146" s="599">
        <v>0</v>
      </c>
      <c r="H146" s="601">
        <v>60.85</v>
      </c>
      <c r="I146" s="598">
        <v>60.85</v>
      </c>
      <c r="J146" s="599">
        <v>60.85</v>
      </c>
      <c r="K146" s="602" t="s">
        <v>306</v>
      </c>
    </row>
    <row r="147" spans="1:11" ht="14.4" customHeight="1" thickBot="1" x14ac:dyDescent="0.35">
      <c r="A147" s="615" t="s">
        <v>439</v>
      </c>
      <c r="B147" s="593">
        <v>0</v>
      </c>
      <c r="C147" s="593">
        <v>4.9406564584124654E-324</v>
      </c>
      <c r="D147" s="594">
        <v>4.9406564584124654E-324</v>
      </c>
      <c r="E147" s="603" t="s">
        <v>300</v>
      </c>
      <c r="F147" s="593">
        <v>4.9406564584124654E-324</v>
      </c>
      <c r="G147" s="594">
        <v>0</v>
      </c>
      <c r="H147" s="596">
        <v>60.85</v>
      </c>
      <c r="I147" s="593">
        <v>60.85</v>
      </c>
      <c r="J147" s="594">
        <v>60.85</v>
      </c>
      <c r="K147" s="604" t="s">
        <v>306</v>
      </c>
    </row>
    <row r="148" spans="1:11" ht="14.4" customHeight="1" thickBot="1" x14ac:dyDescent="0.35">
      <c r="A148" s="613" t="s">
        <v>440</v>
      </c>
      <c r="B148" s="593">
        <v>4.9406564584124654E-324</v>
      </c>
      <c r="C148" s="593">
        <v>0.45100000000000001</v>
      </c>
      <c r="D148" s="594">
        <v>0.45100000000000001</v>
      </c>
      <c r="E148" s="603" t="s">
        <v>306</v>
      </c>
      <c r="F148" s="593">
        <v>0</v>
      </c>
      <c r="G148" s="594">
        <v>0</v>
      </c>
      <c r="H148" s="596">
        <v>4.9406564584124654E-324</v>
      </c>
      <c r="I148" s="593">
        <v>9.8813129168249309E-324</v>
      </c>
      <c r="J148" s="594">
        <v>9.8813129168249309E-324</v>
      </c>
      <c r="K148" s="604" t="s">
        <v>300</v>
      </c>
    </row>
    <row r="149" spans="1:11" ht="14.4" customHeight="1" thickBot="1" x14ac:dyDescent="0.35">
      <c r="A149" s="614" t="s">
        <v>441</v>
      </c>
      <c r="B149" s="598">
        <v>4.9406564584124654E-324</v>
      </c>
      <c r="C149" s="598">
        <v>0.45100000000000001</v>
      </c>
      <c r="D149" s="599">
        <v>0.45100000000000001</v>
      </c>
      <c r="E149" s="600" t="s">
        <v>306</v>
      </c>
      <c r="F149" s="598">
        <v>0</v>
      </c>
      <c r="G149" s="599">
        <v>0</v>
      </c>
      <c r="H149" s="601">
        <v>4.9406564584124654E-324</v>
      </c>
      <c r="I149" s="598">
        <v>9.8813129168249309E-324</v>
      </c>
      <c r="J149" s="599">
        <v>9.8813129168249309E-324</v>
      </c>
      <c r="K149" s="602" t="s">
        <v>300</v>
      </c>
    </row>
    <row r="150" spans="1:11" ht="14.4" customHeight="1" thickBot="1" x14ac:dyDescent="0.35">
      <c r="A150" s="615" t="s">
        <v>442</v>
      </c>
      <c r="B150" s="593">
        <v>4.9406564584124654E-324</v>
      </c>
      <c r="C150" s="593">
        <v>0.45100000000000001</v>
      </c>
      <c r="D150" s="594">
        <v>0.45100000000000001</v>
      </c>
      <c r="E150" s="603" t="s">
        <v>306</v>
      </c>
      <c r="F150" s="593">
        <v>0</v>
      </c>
      <c r="G150" s="594">
        <v>0</v>
      </c>
      <c r="H150" s="596">
        <v>4.9406564584124654E-324</v>
      </c>
      <c r="I150" s="593">
        <v>9.8813129168249309E-324</v>
      </c>
      <c r="J150" s="594">
        <v>9.8813129168249309E-324</v>
      </c>
      <c r="K150" s="604" t="s">
        <v>300</v>
      </c>
    </row>
    <row r="151" spans="1:11" ht="14.4" customHeight="1" thickBot="1" x14ac:dyDescent="0.35">
      <c r="A151" s="613" t="s">
        <v>443</v>
      </c>
      <c r="B151" s="593">
        <v>0</v>
      </c>
      <c r="C151" s="593">
        <v>403.37186000000003</v>
      </c>
      <c r="D151" s="594">
        <v>403.37186000000003</v>
      </c>
      <c r="E151" s="603" t="s">
        <v>300</v>
      </c>
      <c r="F151" s="593">
        <v>0</v>
      </c>
      <c r="G151" s="594">
        <v>0</v>
      </c>
      <c r="H151" s="596">
        <v>4.9406564584124654E-324</v>
      </c>
      <c r="I151" s="593">
        <v>9.8813129168249309E-324</v>
      </c>
      <c r="J151" s="594">
        <v>9.8813129168249309E-324</v>
      </c>
      <c r="K151" s="604" t="s">
        <v>300</v>
      </c>
    </row>
    <row r="152" spans="1:11" ht="14.4" customHeight="1" thickBot="1" x14ac:dyDescent="0.35">
      <c r="A152" s="614" t="s">
        <v>444</v>
      </c>
      <c r="B152" s="598">
        <v>0</v>
      </c>
      <c r="C152" s="598">
        <v>301.77445999999998</v>
      </c>
      <c r="D152" s="599">
        <v>301.77445999999998</v>
      </c>
      <c r="E152" s="600" t="s">
        <v>300</v>
      </c>
      <c r="F152" s="598">
        <v>0</v>
      </c>
      <c r="G152" s="599">
        <v>0</v>
      </c>
      <c r="H152" s="601">
        <v>4.9406564584124654E-324</v>
      </c>
      <c r="I152" s="598">
        <v>9.8813129168249309E-324</v>
      </c>
      <c r="J152" s="599">
        <v>9.8813129168249309E-324</v>
      </c>
      <c r="K152" s="602" t="s">
        <v>300</v>
      </c>
    </row>
    <row r="153" spans="1:11" ht="14.4" customHeight="1" thickBot="1" x14ac:dyDescent="0.35">
      <c r="A153" s="615" t="s">
        <v>445</v>
      </c>
      <c r="B153" s="593">
        <v>4.9406564584124654E-324</v>
      </c>
      <c r="C153" s="593">
        <v>301.77445999999998</v>
      </c>
      <c r="D153" s="594">
        <v>301.77445999999998</v>
      </c>
      <c r="E153" s="603" t="s">
        <v>306</v>
      </c>
      <c r="F153" s="593">
        <v>0</v>
      </c>
      <c r="G153" s="594">
        <v>0</v>
      </c>
      <c r="H153" s="596">
        <v>4.9406564584124654E-324</v>
      </c>
      <c r="I153" s="593">
        <v>9.8813129168249309E-324</v>
      </c>
      <c r="J153" s="594">
        <v>9.8813129168249309E-324</v>
      </c>
      <c r="K153" s="604" t="s">
        <v>300</v>
      </c>
    </row>
    <row r="154" spans="1:11" ht="14.4" customHeight="1" thickBot="1" x14ac:dyDescent="0.35">
      <c r="A154" s="614" t="s">
        <v>446</v>
      </c>
      <c r="B154" s="598">
        <v>0</v>
      </c>
      <c r="C154" s="598">
        <v>101.597400000001</v>
      </c>
      <c r="D154" s="599">
        <v>101.597400000001</v>
      </c>
      <c r="E154" s="600" t="s">
        <v>300</v>
      </c>
      <c r="F154" s="598">
        <v>0</v>
      </c>
      <c r="G154" s="599">
        <v>0</v>
      </c>
      <c r="H154" s="601">
        <v>4.9406564584124654E-324</v>
      </c>
      <c r="I154" s="598">
        <v>9.8813129168249309E-324</v>
      </c>
      <c r="J154" s="599">
        <v>9.8813129168249309E-324</v>
      </c>
      <c r="K154" s="602" t="s">
        <v>300</v>
      </c>
    </row>
    <row r="155" spans="1:11" ht="14.4" customHeight="1" thickBot="1" x14ac:dyDescent="0.35">
      <c r="A155" s="615" t="s">
        <v>447</v>
      </c>
      <c r="B155" s="593">
        <v>0</v>
      </c>
      <c r="C155" s="593">
        <v>101.597400000001</v>
      </c>
      <c r="D155" s="594">
        <v>101.597400000001</v>
      </c>
      <c r="E155" s="603" t="s">
        <v>300</v>
      </c>
      <c r="F155" s="593">
        <v>0</v>
      </c>
      <c r="G155" s="594">
        <v>0</v>
      </c>
      <c r="H155" s="596">
        <v>4.9406564584124654E-324</v>
      </c>
      <c r="I155" s="593">
        <v>9.8813129168249309E-324</v>
      </c>
      <c r="J155" s="594">
        <v>9.8813129168249309E-324</v>
      </c>
      <c r="K155" s="604" t="s">
        <v>300</v>
      </c>
    </row>
    <row r="156" spans="1:11" ht="14.4" customHeight="1" thickBot="1" x14ac:dyDescent="0.35">
      <c r="A156" s="611" t="s">
        <v>448</v>
      </c>
      <c r="B156" s="593">
        <v>29652.0239648485</v>
      </c>
      <c r="C156" s="593">
        <v>28009.49252</v>
      </c>
      <c r="D156" s="594">
        <v>-1642.5314448485501</v>
      </c>
      <c r="E156" s="595">
        <v>0.94460643068399996</v>
      </c>
      <c r="F156" s="593">
        <v>27635.740687944301</v>
      </c>
      <c r="G156" s="594">
        <v>4605.9567813240501</v>
      </c>
      <c r="H156" s="596">
        <v>2188.1028700000002</v>
      </c>
      <c r="I156" s="593">
        <v>4331.59256</v>
      </c>
      <c r="J156" s="594">
        <v>-274.36422132405397</v>
      </c>
      <c r="K156" s="597">
        <v>0.15673879013799999</v>
      </c>
    </row>
    <row r="157" spans="1:11" ht="14.4" customHeight="1" thickBot="1" x14ac:dyDescent="0.35">
      <c r="A157" s="612" t="s">
        <v>449</v>
      </c>
      <c r="B157" s="593">
        <v>27885.352945256502</v>
      </c>
      <c r="C157" s="593">
        <v>26412.723409999999</v>
      </c>
      <c r="D157" s="594">
        <v>-1472.6295352565501</v>
      </c>
      <c r="E157" s="595">
        <v>0.94718985489800001</v>
      </c>
      <c r="F157" s="593">
        <v>26622.040180888602</v>
      </c>
      <c r="G157" s="594">
        <v>4437.0066968147703</v>
      </c>
      <c r="H157" s="596">
        <v>2188.1028700000002</v>
      </c>
      <c r="I157" s="593">
        <v>4331.5926600000003</v>
      </c>
      <c r="J157" s="594">
        <v>-105.41403681477</v>
      </c>
      <c r="K157" s="597">
        <v>0.16270701383300001</v>
      </c>
    </row>
    <row r="158" spans="1:11" ht="14.4" customHeight="1" thickBot="1" x14ac:dyDescent="0.35">
      <c r="A158" s="613" t="s">
        <v>450</v>
      </c>
      <c r="B158" s="593">
        <v>27885.352945256502</v>
      </c>
      <c r="C158" s="593">
        <v>26412.723409999999</v>
      </c>
      <c r="D158" s="594">
        <v>-1472.6295352565501</v>
      </c>
      <c r="E158" s="595">
        <v>0.94718985489800001</v>
      </c>
      <c r="F158" s="593">
        <v>26622.040180888602</v>
      </c>
      <c r="G158" s="594">
        <v>4437.0066968147703</v>
      </c>
      <c r="H158" s="596">
        <v>2188.1028700000002</v>
      </c>
      <c r="I158" s="593">
        <v>4331.5926600000003</v>
      </c>
      <c r="J158" s="594">
        <v>-105.41403681477</v>
      </c>
      <c r="K158" s="597">
        <v>0.16270701383300001</v>
      </c>
    </row>
    <row r="159" spans="1:11" ht="14.4" customHeight="1" thickBot="1" x14ac:dyDescent="0.35">
      <c r="A159" s="614" t="s">
        <v>451</v>
      </c>
      <c r="B159" s="598">
        <v>1627.46797864411</v>
      </c>
      <c r="C159" s="598">
        <v>1726.2323200000001</v>
      </c>
      <c r="D159" s="599">
        <v>98.764341355891005</v>
      </c>
      <c r="E159" s="605">
        <v>1.060685889155</v>
      </c>
      <c r="F159" s="598">
        <v>1599.1040600792301</v>
      </c>
      <c r="G159" s="599">
        <v>266.51734334653798</v>
      </c>
      <c r="H159" s="601">
        <v>58.08379</v>
      </c>
      <c r="I159" s="598">
        <v>203.03377</v>
      </c>
      <c r="J159" s="599">
        <v>-63.483573346538002</v>
      </c>
      <c r="K159" s="606">
        <v>0.12696720311599999</v>
      </c>
    </row>
    <row r="160" spans="1:11" ht="14.4" customHeight="1" thickBot="1" x14ac:dyDescent="0.35">
      <c r="A160" s="615" t="s">
        <v>452</v>
      </c>
      <c r="B160" s="593">
        <v>14.478243376696</v>
      </c>
      <c r="C160" s="593">
        <v>7.2888900000000003</v>
      </c>
      <c r="D160" s="594">
        <v>-7.1893533766960003</v>
      </c>
      <c r="E160" s="595">
        <v>0.50343745510799998</v>
      </c>
      <c r="F160" s="593">
        <v>6.6982549936620002</v>
      </c>
      <c r="G160" s="594">
        <v>1.1163758322770001</v>
      </c>
      <c r="H160" s="596">
        <v>0.23139000000000001</v>
      </c>
      <c r="I160" s="593">
        <v>0.51236999999999999</v>
      </c>
      <c r="J160" s="594">
        <v>-0.604005832277</v>
      </c>
      <c r="K160" s="597">
        <v>7.6493056845999996E-2</v>
      </c>
    </row>
    <row r="161" spans="1:11" ht="14.4" customHeight="1" thickBot="1" x14ac:dyDescent="0.35">
      <c r="A161" s="615" t="s">
        <v>453</v>
      </c>
      <c r="B161" s="593">
        <v>5.8913171184469997</v>
      </c>
      <c r="C161" s="593">
        <v>3.8319999999999999</v>
      </c>
      <c r="D161" s="594">
        <v>-2.0593171184469998</v>
      </c>
      <c r="E161" s="595">
        <v>0.65044877451899996</v>
      </c>
      <c r="F161" s="593">
        <v>3.8269504612269998</v>
      </c>
      <c r="G161" s="594">
        <v>0.63782507687099999</v>
      </c>
      <c r="H161" s="596">
        <v>0.23400000000000001</v>
      </c>
      <c r="I161" s="593">
        <v>0.82</v>
      </c>
      <c r="J161" s="594">
        <v>0.18217492312799999</v>
      </c>
      <c r="K161" s="597">
        <v>0.214269823533</v>
      </c>
    </row>
    <row r="162" spans="1:11" ht="14.4" customHeight="1" thickBot="1" x14ac:dyDescent="0.35">
      <c r="A162" s="615" t="s">
        <v>454</v>
      </c>
      <c r="B162" s="593">
        <v>83.602266541526006</v>
      </c>
      <c r="C162" s="593">
        <v>47.305750000000003</v>
      </c>
      <c r="D162" s="594">
        <v>-36.296516541526003</v>
      </c>
      <c r="E162" s="595">
        <v>0.56584291260200004</v>
      </c>
      <c r="F162" s="593">
        <v>44.117412325533003</v>
      </c>
      <c r="G162" s="594">
        <v>7.3529020542549999</v>
      </c>
      <c r="H162" s="596">
        <v>3.4784000000000002</v>
      </c>
      <c r="I162" s="593">
        <v>3.4784000000000002</v>
      </c>
      <c r="J162" s="594">
        <v>-3.8745020542550002</v>
      </c>
      <c r="K162" s="597">
        <v>7.8844152833000003E-2</v>
      </c>
    </row>
    <row r="163" spans="1:11" ht="14.4" customHeight="1" thickBot="1" x14ac:dyDescent="0.35">
      <c r="A163" s="615" t="s">
        <v>455</v>
      </c>
      <c r="B163" s="593">
        <v>38.981820037616998</v>
      </c>
      <c r="C163" s="593">
        <v>66.626090000000005</v>
      </c>
      <c r="D163" s="594">
        <v>27.644269962382001</v>
      </c>
      <c r="E163" s="595">
        <v>1.709158010983</v>
      </c>
      <c r="F163" s="593">
        <v>74.125165292117003</v>
      </c>
      <c r="G163" s="594">
        <v>12.354194215352001</v>
      </c>
      <c r="H163" s="596">
        <v>3.54</v>
      </c>
      <c r="I163" s="593">
        <v>5.14</v>
      </c>
      <c r="J163" s="594">
        <v>-7.2141942153520002</v>
      </c>
      <c r="K163" s="597">
        <v>6.9342172522999998E-2</v>
      </c>
    </row>
    <row r="164" spans="1:11" ht="14.4" customHeight="1" thickBot="1" x14ac:dyDescent="0.35">
      <c r="A164" s="615" t="s">
        <v>456</v>
      </c>
      <c r="B164" s="593">
        <v>1484.5143315698199</v>
      </c>
      <c r="C164" s="593">
        <v>1601.17959</v>
      </c>
      <c r="D164" s="594">
        <v>116.66525843018</v>
      </c>
      <c r="E164" s="595">
        <v>1.0785881658050001</v>
      </c>
      <c r="F164" s="593">
        <v>1470.3362770066899</v>
      </c>
      <c r="G164" s="594">
        <v>245.05604616778101</v>
      </c>
      <c r="H164" s="596">
        <v>50.6</v>
      </c>
      <c r="I164" s="593">
        <v>193.083</v>
      </c>
      <c r="J164" s="594">
        <v>-51.973046167781</v>
      </c>
      <c r="K164" s="597">
        <v>0.13131893908799999</v>
      </c>
    </row>
    <row r="165" spans="1:11" ht="14.4" customHeight="1" thickBot="1" x14ac:dyDescent="0.35">
      <c r="A165" s="614" t="s">
        <v>457</v>
      </c>
      <c r="B165" s="598">
        <v>6638.0011234014</v>
      </c>
      <c r="C165" s="598">
        <v>6913.09609</v>
      </c>
      <c r="D165" s="599">
        <v>275.09496659860201</v>
      </c>
      <c r="E165" s="605">
        <v>1.0414424405</v>
      </c>
      <c r="F165" s="598">
        <v>6606</v>
      </c>
      <c r="G165" s="599">
        <v>1101</v>
      </c>
      <c r="H165" s="601">
        <v>593.51324999999997</v>
      </c>
      <c r="I165" s="598">
        <v>1140.8797400000001</v>
      </c>
      <c r="J165" s="599">
        <v>39.879739999999998</v>
      </c>
      <c r="K165" s="606">
        <v>0.172703563427</v>
      </c>
    </row>
    <row r="166" spans="1:11" ht="14.4" customHeight="1" thickBot="1" x14ac:dyDescent="0.35">
      <c r="A166" s="615" t="s">
        <v>458</v>
      </c>
      <c r="B166" s="593">
        <v>1609.0000435382001</v>
      </c>
      <c r="C166" s="593">
        <v>1734.5730000000001</v>
      </c>
      <c r="D166" s="594">
        <v>125.572956461799</v>
      </c>
      <c r="E166" s="595">
        <v>1.0780440976150001</v>
      </c>
      <c r="F166" s="593">
        <v>1752</v>
      </c>
      <c r="G166" s="594">
        <v>292</v>
      </c>
      <c r="H166" s="596">
        <v>117.93300000000001</v>
      </c>
      <c r="I166" s="593">
        <v>238.078</v>
      </c>
      <c r="J166" s="594">
        <v>-53.921999999999002</v>
      </c>
      <c r="K166" s="597">
        <v>0.13588926940599999</v>
      </c>
    </row>
    <row r="167" spans="1:11" ht="14.4" customHeight="1" thickBot="1" x14ac:dyDescent="0.35">
      <c r="A167" s="615" t="s">
        <v>459</v>
      </c>
      <c r="B167" s="593">
        <v>4952.0001339970004</v>
      </c>
      <c r="C167" s="593">
        <v>5152.4722000000002</v>
      </c>
      <c r="D167" s="594">
        <v>200.47206600300001</v>
      </c>
      <c r="E167" s="595">
        <v>1.040483049389</v>
      </c>
      <c r="F167" s="593">
        <v>4854</v>
      </c>
      <c r="G167" s="594">
        <v>809</v>
      </c>
      <c r="H167" s="596">
        <v>474.79300000000001</v>
      </c>
      <c r="I167" s="593">
        <v>901.98</v>
      </c>
      <c r="J167" s="594">
        <v>92.98</v>
      </c>
      <c r="K167" s="597">
        <v>0.18582200247200001</v>
      </c>
    </row>
    <row r="168" spans="1:11" ht="14.4" customHeight="1" thickBot="1" x14ac:dyDescent="0.35">
      <c r="A168" s="615" t="s">
        <v>460</v>
      </c>
      <c r="B168" s="593">
        <v>68.000948469904003</v>
      </c>
      <c r="C168" s="593">
        <v>19.407889999999998</v>
      </c>
      <c r="D168" s="594">
        <v>-48.593058469904001</v>
      </c>
      <c r="E168" s="595">
        <v>0.28540616618800002</v>
      </c>
      <c r="F168" s="593">
        <v>0</v>
      </c>
      <c r="G168" s="594">
        <v>0</v>
      </c>
      <c r="H168" s="596">
        <v>3.2250000000000001E-2</v>
      </c>
      <c r="I168" s="593">
        <v>6.6739999999999994E-2</v>
      </c>
      <c r="J168" s="594">
        <v>6.6739999999999994E-2</v>
      </c>
      <c r="K168" s="604" t="s">
        <v>300</v>
      </c>
    </row>
    <row r="169" spans="1:11" ht="14.4" customHeight="1" thickBot="1" x14ac:dyDescent="0.35">
      <c r="A169" s="615" t="s">
        <v>461</v>
      </c>
      <c r="B169" s="593">
        <v>8.9999973962910005</v>
      </c>
      <c r="C169" s="593">
        <v>6.6429999999999998</v>
      </c>
      <c r="D169" s="594">
        <v>-2.3569973962909998</v>
      </c>
      <c r="E169" s="595">
        <v>0.73811132464700002</v>
      </c>
      <c r="F169" s="593">
        <v>0</v>
      </c>
      <c r="G169" s="594">
        <v>0</v>
      </c>
      <c r="H169" s="596">
        <v>0.755</v>
      </c>
      <c r="I169" s="593">
        <v>0.755</v>
      </c>
      <c r="J169" s="594">
        <v>0.755</v>
      </c>
      <c r="K169" s="604" t="s">
        <v>300</v>
      </c>
    </row>
    <row r="170" spans="1:11" ht="14.4" customHeight="1" thickBot="1" x14ac:dyDescent="0.35">
      <c r="A170" s="614" t="s">
        <v>462</v>
      </c>
      <c r="B170" s="598">
        <v>10455.8838736629</v>
      </c>
      <c r="C170" s="598">
        <v>10389.43585</v>
      </c>
      <c r="D170" s="599">
        <v>-66.448023662889</v>
      </c>
      <c r="E170" s="605">
        <v>0.99364491567900004</v>
      </c>
      <c r="F170" s="598">
        <v>9564.9361208093906</v>
      </c>
      <c r="G170" s="599">
        <v>1594.1560201349</v>
      </c>
      <c r="H170" s="601">
        <v>902.27620000000002</v>
      </c>
      <c r="I170" s="598">
        <v>1725.2519199999999</v>
      </c>
      <c r="J170" s="599">
        <v>131.09589986510099</v>
      </c>
      <c r="K170" s="606">
        <v>0.18037255013600001</v>
      </c>
    </row>
    <row r="171" spans="1:11" ht="14.4" customHeight="1" thickBot="1" x14ac:dyDescent="0.35">
      <c r="A171" s="615" t="s">
        <v>463</v>
      </c>
      <c r="B171" s="593">
        <v>3663.87605513168</v>
      </c>
      <c r="C171" s="593">
        <v>3155.855</v>
      </c>
      <c r="D171" s="594">
        <v>-508.02105513168402</v>
      </c>
      <c r="E171" s="595">
        <v>0.86134327485700002</v>
      </c>
      <c r="F171" s="593">
        <v>2700.9819615584101</v>
      </c>
      <c r="G171" s="594">
        <v>450.163660259734</v>
      </c>
      <c r="H171" s="596">
        <v>254.95500000000001</v>
      </c>
      <c r="I171" s="593">
        <v>493.66199999999998</v>
      </c>
      <c r="J171" s="594">
        <v>43.498339740265003</v>
      </c>
      <c r="K171" s="597">
        <v>0.182771305779</v>
      </c>
    </row>
    <row r="172" spans="1:11" ht="14.4" customHeight="1" thickBot="1" x14ac:dyDescent="0.35">
      <c r="A172" s="615" t="s">
        <v>464</v>
      </c>
      <c r="B172" s="593">
        <v>6753.0001016913302</v>
      </c>
      <c r="C172" s="593">
        <v>7233.5808500000003</v>
      </c>
      <c r="D172" s="594">
        <v>480.58074830867201</v>
      </c>
      <c r="E172" s="595">
        <v>1.071165517706</v>
      </c>
      <c r="F172" s="593">
        <v>6863.9541592509904</v>
      </c>
      <c r="G172" s="594">
        <v>1143.99235987516</v>
      </c>
      <c r="H172" s="596">
        <v>647.32119999999998</v>
      </c>
      <c r="I172" s="593">
        <v>1231.5899199999999</v>
      </c>
      <c r="J172" s="594">
        <v>87.597560124834999</v>
      </c>
      <c r="K172" s="597">
        <v>0.17942863419899999</v>
      </c>
    </row>
    <row r="173" spans="1:11" ht="14.4" customHeight="1" thickBot="1" x14ac:dyDescent="0.35">
      <c r="A173" s="614" t="s">
        <v>465</v>
      </c>
      <c r="B173" s="598">
        <v>4.9406564584124654E-324</v>
      </c>
      <c r="C173" s="598">
        <v>-3.6690800000000001</v>
      </c>
      <c r="D173" s="599">
        <v>-3.6690800000000001</v>
      </c>
      <c r="E173" s="600" t="s">
        <v>306</v>
      </c>
      <c r="F173" s="598">
        <v>0</v>
      </c>
      <c r="G173" s="599">
        <v>0</v>
      </c>
      <c r="H173" s="601">
        <v>4.9406564584124654E-324</v>
      </c>
      <c r="I173" s="598">
        <v>9.8813129168249309E-324</v>
      </c>
      <c r="J173" s="599">
        <v>9.8813129168249309E-324</v>
      </c>
      <c r="K173" s="602" t="s">
        <v>300</v>
      </c>
    </row>
    <row r="174" spans="1:11" ht="14.4" customHeight="1" thickBot="1" x14ac:dyDescent="0.35">
      <c r="A174" s="615" t="s">
        <v>466</v>
      </c>
      <c r="B174" s="593">
        <v>4.9406564584124654E-324</v>
      </c>
      <c r="C174" s="593">
        <v>-3.4988899999999998</v>
      </c>
      <c r="D174" s="594">
        <v>-3.4988899999999998</v>
      </c>
      <c r="E174" s="603" t="s">
        <v>306</v>
      </c>
      <c r="F174" s="593">
        <v>0</v>
      </c>
      <c r="G174" s="594">
        <v>0</v>
      </c>
      <c r="H174" s="596">
        <v>4.9406564584124654E-324</v>
      </c>
      <c r="I174" s="593">
        <v>9.8813129168249309E-324</v>
      </c>
      <c r="J174" s="594">
        <v>9.8813129168249309E-324</v>
      </c>
      <c r="K174" s="604" t="s">
        <v>300</v>
      </c>
    </row>
    <row r="175" spans="1:11" ht="14.4" customHeight="1" thickBot="1" x14ac:dyDescent="0.35">
      <c r="A175" s="615" t="s">
        <v>467</v>
      </c>
      <c r="B175" s="593">
        <v>4.9406564584124654E-324</v>
      </c>
      <c r="C175" s="593">
        <v>-0.17019000000000001</v>
      </c>
      <c r="D175" s="594">
        <v>-0.17019000000000001</v>
      </c>
      <c r="E175" s="603" t="s">
        <v>306</v>
      </c>
      <c r="F175" s="593">
        <v>0</v>
      </c>
      <c r="G175" s="594">
        <v>0</v>
      </c>
      <c r="H175" s="596">
        <v>4.9406564584124654E-324</v>
      </c>
      <c r="I175" s="593">
        <v>9.8813129168249309E-324</v>
      </c>
      <c r="J175" s="594">
        <v>9.8813129168249309E-324</v>
      </c>
      <c r="K175" s="604" t="s">
        <v>300</v>
      </c>
    </row>
    <row r="176" spans="1:11" ht="14.4" customHeight="1" thickBot="1" x14ac:dyDescent="0.35">
      <c r="A176" s="614" t="s">
        <v>468</v>
      </c>
      <c r="B176" s="598">
        <v>9163.9999695481492</v>
      </c>
      <c r="C176" s="598">
        <v>6936.2625200000002</v>
      </c>
      <c r="D176" s="599">
        <v>-2227.7374495481499</v>
      </c>
      <c r="E176" s="605">
        <v>0.75690337658700002</v>
      </c>
      <c r="F176" s="598">
        <v>8852</v>
      </c>
      <c r="G176" s="599">
        <v>1475.3333333333301</v>
      </c>
      <c r="H176" s="601">
        <v>617.39571000000001</v>
      </c>
      <c r="I176" s="598">
        <v>1221.7196799999999</v>
      </c>
      <c r="J176" s="599">
        <v>-253.61365333333401</v>
      </c>
      <c r="K176" s="606">
        <v>0.13801623135999999</v>
      </c>
    </row>
    <row r="177" spans="1:11" ht="14.4" customHeight="1" thickBot="1" x14ac:dyDescent="0.35">
      <c r="A177" s="615" t="s">
        <v>469</v>
      </c>
      <c r="B177" s="593">
        <v>4518.9999863763296</v>
      </c>
      <c r="C177" s="593">
        <v>3655.1334900000002</v>
      </c>
      <c r="D177" s="594">
        <v>-863.86649637633104</v>
      </c>
      <c r="E177" s="595">
        <v>0.80883680040200001</v>
      </c>
      <c r="F177" s="593">
        <v>4827</v>
      </c>
      <c r="G177" s="594">
        <v>804.5</v>
      </c>
      <c r="H177" s="596">
        <v>223.23567</v>
      </c>
      <c r="I177" s="593">
        <v>526.12807999999995</v>
      </c>
      <c r="J177" s="594">
        <v>-278.37192000000101</v>
      </c>
      <c r="K177" s="597">
        <v>0.108996909053</v>
      </c>
    </row>
    <row r="178" spans="1:11" ht="14.4" customHeight="1" thickBot="1" x14ac:dyDescent="0.35">
      <c r="A178" s="615" t="s">
        <v>470</v>
      </c>
      <c r="B178" s="593">
        <v>4644.9999831718196</v>
      </c>
      <c r="C178" s="593">
        <v>3281.1290300000001</v>
      </c>
      <c r="D178" s="594">
        <v>-1363.87095317182</v>
      </c>
      <c r="E178" s="595">
        <v>0.70637869577699997</v>
      </c>
      <c r="F178" s="593">
        <v>4025</v>
      </c>
      <c r="G178" s="594">
        <v>670.83333333333405</v>
      </c>
      <c r="H178" s="596">
        <v>394.16003999999998</v>
      </c>
      <c r="I178" s="593">
        <v>695.59159999999997</v>
      </c>
      <c r="J178" s="594">
        <v>24.758266666666</v>
      </c>
      <c r="K178" s="597">
        <v>0.17281778881900001</v>
      </c>
    </row>
    <row r="179" spans="1:11" ht="14.4" customHeight="1" thickBot="1" x14ac:dyDescent="0.35">
      <c r="A179" s="614" t="s">
        <v>471</v>
      </c>
      <c r="B179" s="598">
        <v>0</v>
      </c>
      <c r="C179" s="598">
        <v>451.36570999999998</v>
      </c>
      <c r="D179" s="599">
        <v>451.36570999999998</v>
      </c>
      <c r="E179" s="600" t="s">
        <v>300</v>
      </c>
      <c r="F179" s="598">
        <v>0</v>
      </c>
      <c r="G179" s="599">
        <v>0</v>
      </c>
      <c r="H179" s="601">
        <v>16.833919999999999</v>
      </c>
      <c r="I179" s="598">
        <v>40.707549999999998</v>
      </c>
      <c r="J179" s="599">
        <v>40.707549999999998</v>
      </c>
      <c r="K179" s="602" t="s">
        <v>300</v>
      </c>
    </row>
    <row r="180" spans="1:11" ht="14.4" customHeight="1" thickBot="1" x14ac:dyDescent="0.35">
      <c r="A180" s="615" t="s">
        <v>472</v>
      </c>
      <c r="B180" s="593">
        <v>4.9406564584124654E-324</v>
      </c>
      <c r="C180" s="593">
        <v>321.51245999999998</v>
      </c>
      <c r="D180" s="594">
        <v>321.51245999999998</v>
      </c>
      <c r="E180" s="603" t="s">
        <v>306</v>
      </c>
      <c r="F180" s="593">
        <v>0</v>
      </c>
      <c r="G180" s="594">
        <v>0</v>
      </c>
      <c r="H180" s="596">
        <v>4.9406564584124654E-324</v>
      </c>
      <c r="I180" s="593">
        <v>23.873629999999999</v>
      </c>
      <c r="J180" s="594">
        <v>23.873629999999999</v>
      </c>
      <c r="K180" s="604" t="s">
        <v>300</v>
      </c>
    </row>
    <row r="181" spans="1:11" ht="14.4" customHeight="1" thickBot="1" x14ac:dyDescent="0.35">
      <c r="A181" s="615" t="s">
        <v>473</v>
      </c>
      <c r="B181" s="593">
        <v>0</v>
      </c>
      <c r="C181" s="593">
        <v>129.85325</v>
      </c>
      <c r="D181" s="594">
        <v>129.85325</v>
      </c>
      <c r="E181" s="603" t="s">
        <v>300</v>
      </c>
      <c r="F181" s="593">
        <v>0</v>
      </c>
      <c r="G181" s="594">
        <v>0</v>
      </c>
      <c r="H181" s="596">
        <v>16.833919999999999</v>
      </c>
      <c r="I181" s="593">
        <v>16.833919999999999</v>
      </c>
      <c r="J181" s="594">
        <v>16.833919999999999</v>
      </c>
      <c r="K181" s="604" t="s">
        <v>300</v>
      </c>
    </row>
    <row r="182" spans="1:11" ht="14.4" customHeight="1" thickBot="1" x14ac:dyDescent="0.35">
      <c r="A182" s="612" t="s">
        <v>474</v>
      </c>
      <c r="B182" s="593">
        <v>1766.67101959201</v>
      </c>
      <c r="C182" s="593">
        <v>1596.76911</v>
      </c>
      <c r="D182" s="594">
        <v>-169.90190959200501</v>
      </c>
      <c r="E182" s="595">
        <v>0.90382934473400001</v>
      </c>
      <c r="F182" s="593">
        <v>1013.7005070557</v>
      </c>
      <c r="G182" s="594">
        <v>168.95008450928401</v>
      </c>
      <c r="H182" s="596">
        <v>4.9406564584124654E-324</v>
      </c>
      <c r="I182" s="593">
        <v>-1E-4</v>
      </c>
      <c r="J182" s="594">
        <v>-168.95018450928399</v>
      </c>
      <c r="K182" s="597">
        <v>-9.8648465995593199E-8</v>
      </c>
    </row>
    <row r="183" spans="1:11" ht="14.4" customHeight="1" thickBot="1" x14ac:dyDescent="0.35">
      <c r="A183" s="613" t="s">
        <v>475</v>
      </c>
      <c r="B183" s="593">
        <v>753.37443934327803</v>
      </c>
      <c r="C183" s="593">
        <v>525.73446000000001</v>
      </c>
      <c r="D183" s="594">
        <v>-227.63997934327799</v>
      </c>
      <c r="E183" s="595">
        <v>0.69783952380699998</v>
      </c>
      <c r="F183" s="593">
        <v>0</v>
      </c>
      <c r="G183" s="594">
        <v>0</v>
      </c>
      <c r="H183" s="596">
        <v>4.9406564584124654E-324</v>
      </c>
      <c r="I183" s="593">
        <v>9.8813129168249309E-324</v>
      </c>
      <c r="J183" s="594">
        <v>9.8813129168249309E-324</v>
      </c>
      <c r="K183" s="604" t="s">
        <v>300</v>
      </c>
    </row>
    <row r="184" spans="1:11" ht="14.4" customHeight="1" thickBot="1" x14ac:dyDescent="0.35">
      <c r="A184" s="614" t="s">
        <v>476</v>
      </c>
      <c r="B184" s="598">
        <v>753.37443934327803</v>
      </c>
      <c r="C184" s="598">
        <v>525.73446000000001</v>
      </c>
      <c r="D184" s="599">
        <v>-227.63997934327799</v>
      </c>
      <c r="E184" s="605">
        <v>0.69783952380699998</v>
      </c>
      <c r="F184" s="598">
        <v>0</v>
      </c>
      <c r="G184" s="599">
        <v>0</v>
      </c>
      <c r="H184" s="601">
        <v>4.9406564584124654E-324</v>
      </c>
      <c r="I184" s="598">
        <v>9.8813129168249309E-324</v>
      </c>
      <c r="J184" s="599">
        <v>9.8813129168249309E-324</v>
      </c>
      <c r="K184" s="602" t="s">
        <v>300</v>
      </c>
    </row>
    <row r="185" spans="1:11" ht="14.4" customHeight="1" thickBot="1" x14ac:dyDescent="0.35">
      <c r="A185" s="615" t="s">
        <v>477</v>
      </c>
      <c r="B185" s="593">
        <v>0</v>
      </c>
      <c r="C185" s="593">
        <v>159.83329000000001</v>
      </c>
      <c r="D185" s="594">
        <v>159.83329000000001</v>
      </c>
      <c r="E185" s="603" t="s">
        <v>300</v>
      </c>
      <c r="F185" s="593">
        <v>0</v>
      </c>
      <c r="G185" s="594">
        <v>0</v>
      </c>
      <c r="H185" s="596">
        <v>4.9406564584124654E-324</v>
      </c>
      <c r="I185" s="593">
        <v>9.8813129168249309E-324</v>
      </c>
      <c r="J185" s="594">
        <v>9.8813129168249309E-324</v>
      </c>
      <c r="K185" s="604" t="s">
        <v>300</v>
      </c>
    </row>
    <row r="186" spans="1:11" ht="14.4" customHeight="1" thickBot="1" x14ac:dyDescent="0.35">
      <c r="A186" s="615" t="s">
        <v>478</v>
      </c>
      <c r="B186" s="593">
        <v>0</v>
      </c>
      <c r="C186" s="593">
        <v>23.97494</v>
      </c>
      <c r="D186" s="594">
        <v>23.97494</v>
      </c>
      <c r="E186" s="603" t="s">
        <v>300</v>
      </c>
      <c r="F186" s="593">
        <v>0</v>
      </c>
      <c r="G186" s="594">
        <v>0</v>
      </c>
      <c r="H186" s="596">
        <v>4.9406564584124654E-324</v>
      </c>
      <c r="I186" s="593">
        <v>9.8813129168249309E-324</v>
      </c>
      <c r="J186" s="594">
        <v>9.8813129168249309E-324</v>
      </c>
      <c r="K186" s="604" t="s">
        <v>300</v>
      </c>
    </row>
    <row r="187" spans="1:11" ht="14.4" customHeight="1" thickBot="1" x14ac:dyDescent="0.35">
      <c r="A187" s="615" t="s">
        <v>479</v>
      </c>
      <c r="B187" s="593">
        <v>0</v>
      </c>
      <c r="C187" s="593">
        <v>156.84616</v>
      </c>
      <c r="D187" s="594">
        <v>156.84616</v>
      </c>
      <c r="E187" s="603" t="s">
        <v>300</v>
      </c>
      <c r="F187" s="593">
        <v>0</v>
      </c>
      <c r="G187" s="594">
        <v>0</v>
      </c>
      <c r="H187" s="596">
        <v>4.9406564584124654E-324</v>
      </c>
      <c r="I187" s="593">
        <v>9.8813129168249309E-324</v>
      </c>
      <c r="J187" s="594">
        <v>9.8813129168249309E-324</v>
      </c>
      <c r="K187" s="604" t="s">
        <v>300</v>
      </c>
    </row>
    <row r="188" spans="1:11" ht="14.4" customHeight="1" thickBot="1" x14ac:dyDescent="0.35">
      <c r="A188" s="615" t="s">
        <v>480</v>
      </c>
      <c r="B188" s="593">
        <v>0</v>
      </c>
      <c r="C188" s="593">
        <v>185.08007000000001</v>
      </c>
      <c r="D188" s="594">
        <v>185.08007000000001</v>
      </c>
      <c r="E188" s="603" t="s">
        <v>300</v>
      </c>
      <c r="F188" s="593">
        <v>0</v>
      </c>
      <c r="G188" s="594">
        <v>0</v>
      </c>
      <c r="H188" s="596">
        <v>4.9406564584124654E-324</v>
      </c>
      <c r="I188" s="593">
        <v>9.8813129168249309E-324</v>
      </c>
      <c r="J188" s="594">
        <v>9.8813129168249309E-324</v>
      </c>
      <c r="K188" s="604" t="s">
        <v>300</v>
      </c>
    </row>
    <row r="189" spans="1:11" ht="14.4" customHeight="1" thickBot="1" x14ac:dyDescent="0.35">
      <c r="A189" s="618" t="s">
        <v>481</v>
      </c>
      <c r="B189" s="598">
        <v>1013.29658024873</v>
      </c>
      <c r="C189" s="598">
        <v>1071.0346500000001</v>
      </c>
      <c r="D189" s="599">
        <v>57.738069751272</v>
      </c>
      <c r="E189" s="605">
        <v>1.0569804249579999</v>
      </c>
      <c r="F189" s="598">
        <v>1013.7005070557</v>
      </c>
      <c r="G189" s="599">
        <v>168.95008450928401</v>
      </c>
      <c r="H189" s="601">
        <v>4.9406564584124654E-324</v>
      </c>
      <c r="I189" s="598">
        <v>-1E-4</v>
      </c>
      <c r="J189" s="599">
        <v>-168.95018450928399</v>
      </c>
      <c r="K189" s="606">
        <v>-9.8648465995593199E-8</v>
      </c>
    </row>
    <row r="190" spans="1:11" ht="14.4" customHeight="1" thickBot="1" x14ac:dyDescent="0.35">
      <c r="A190" s="614" t="s">
        <v>482</v>
      </c>
      <c r="B190" s="598">
        <v>0</v>
      </c>
      <c r="C190" s="598">
        <v>28.041499999999999</v>
      </c>
      <c r="D190" s="599">
        <v>28.041499999999999</v>
      </c>
      <c r="E190" s="600" t="s">
        <v>300</v>
      </c>
      <c r="F190" s="598">
        <v>0</v>
      </c>
      <c r="G190" s="599">
        <v>0</v>
      </c>
      <c r="H190" s="601">
        <v>4.9406564584124654E-324</v>
      </c>
      <c r="I190" s="598">
        <v>-1E-4</v>
      </c>
      <c r="J190" s="599">
        <v>-1E-4</v>
      </c>
      <c r="K190" s="602" t="s">
        <v>300</v>
      </c>
    </row>
    <row r="191" spans="1:11" ht="14.4" customHeight="1" thickBot="1" x14ac:dyDescent="0.35">
      <c r="A191" s="615" t="s">
        <v>483</v>
      </c>
      <c r="B191" s="593">
        <v>0</v>
      </c>
      <c r="C191" s="593">
        <v>-5.0000000000000001E-4</v>
      </c>
      <c r="D191" s="594">
        <v>-5.0000000000000001E-4</v>
      </c>
      <c r="E191" s="603" t="s">
        <v>300</v>
      </c>
      <c r="F191" s="593">
        <v>0</v>
      </c>
      <c r="G191" s="594">
        <v>0</v>
      </c>
      <c r="H191" s="596">
        <v>4.9406564584124654E-324</v>
      </c>
      <c r="I191" s="593">
        <v>-1E-4</v>
      </c>
      <c r="J191" s="594">
        <v>-1E-4</v>
      </c>
      <c r="K191" s="604" t="s">
        <v>300</v>
      </c>
    </row>
    <row r="192" spans="1:11" ht="14.4" customHeight="1" thickBot="1" x14ac:dyDescent="0.35">
      <c r="A192" s="615" t="s">
        <v>484</v>
      </c>
      <c r="B192" s="593">
        <v>4.9406564584124654E-324</v>
      </c>
      <c r="C192" s="593">
        <v>28.042000000000002</v>
      </c>
      <c r="D192" s="594">
        <v>28.042000000000002</v>
      </c>
      <c r="E192" s="603" t="s">
        <v>306</v>
      </c>
      <c r="F192" s="593">
        <v>0</v>
      </c>
      <c r="G192" s="594">
        <v>0</v>
      </c>
      <c r="H192" s="596">
        <v>4.9406564584124654E-324</v>
      </c>
      <c r="I192" s="593">
        <v>9.8813129168249309E-324</v>
      </c>
      <c r="J192" s="594">
        <v>9.8813129168249309E-324</v>
      </c>
      <c r="K192" s="604" t="s">
        <v>300</v>
      </c>
    </row>
    <row r="193" spans="1:11" ht="14.4" customHeight="1" thickBot="1" x14ac:dyDescent="0.35">
      <c r="A193" s="614" t="s">
        <v>485</v>
      </c>
      <c r="B193" s="598">
        <v>1013.29658024873</v>
      </c>
      <c r="C193" s="598">
        <v>1042.99315</v>
      </c>
      <c r="D193" s="599">
        <v>29.696569751272001</v>
      </c>
      <c r="E193" s="605">
        <v>1.0293068883580001</v>
      </c>
      <c r="F193" s="598">
        <v>1013.7005070557</v>
      </c>
      <c r="G193" s="599">
        <v>168.95008450928401</v>
      </c>
      <c r="H193" s="601">
        <v>4.9406564584124654E-324</v>
      </c>
      <c r="I193" s="598">
        <v>9.8813129168249309E-324</v>
      </c>
      <c r="J193" s="599">
        <v>-168.95008450928401</v>
      </c>
      <c r="K193" s="606">
        <v>0</v>
      </c>
    </row>
    <row r="194" spans="1:11" ht="14.4" customHeight="1" thickBot="1" x14ac:dyDescent="0.35">
      <c r="A194" s="615" t="s">
        <v>486</v>
      </c>
      <c r="B194" s="593">
        <v>2.0196340348340001</v>
      </c>
      <c r="C194" s="593">
        <v>38.765709999999999</v>
      </c>
      <c r="D194" s="594">
        <v>36.746075965164998</v>
      </c>
      <c r="E194" s="595">
        <v>19.194423014952001</v>
      </c>
      <c r="F194" s="593">
        <v>2.4235608418000001</v>
      </c>
      <c r="G194" s="594">
        <v>0.40392680696599997</v>
      </c>
      <c r="H194" s="596">
        <v>4.9406564584124654E-324</v>
      </c>
      <c r="I194" s="593">
        <v>9.8813129168249309E-324</v>
      </c>
      <c r="J194" s="594">
        <v>-0.40392680696599997</v>
      </c>
      <c r="K194" s="597">
        <v>4.9406564584124654E-324</v>
      </c>
    </row>
    <row r="195" spans="1:11" ht="14.4" customHeight="1" thickBot="1" x14ac:dyDescent="0.35">
      <c r="A195" s="615" t="s">
        <v>487</v>
      </c>
      <c r="B195" s="593">
        <v>999.99999999999204</v>
      </c>
      <c r="C195" s="593">
        <v>999.99599999999998</v>
      </c>
      <c r="D195" s="594">
        <v>-3.9999999909999997E-3</v>
      </c>
      <c r="E195" s="595">
        <v>0.999996</v>
      </c>
      <c r="F195" s="593">
        <v>1000</v>
      </c>
      <c r="G195" s="594">
        <v>166.666666666667</v>
      </c>
      <c r="H195" s="596">
        <v>4.9406564584124654E-324</v>
      </c>
      <c r="I195" s="593">
        <v>9.8813129168249309E-324</v>
      </c>
      <c r="J195" s="594">
        <v>-166.666666666667</v>
      </c>
      <c r="K195" s="597">
        <v>0</v>
      </c>
    </row>
    <row r="196" spans="1:11" ht="14.4" customHeight="1" thickBot="1" x14ac:dyDescent="0.35">
      <c r="A196" s="615" t="s">
        <v>488</v>
      </c>
      <c r="B196" s="593">
        <v>11.276946213901001</v>
      </c>
      <c r="C196" s="593">
        <v>4.2314400000000001</v>
      </c>
      <c r="D196" s="594">
        <v>-7.0455062139009996</v>
      </c>
      <c r="E196" s="595">
        <v>0.37522924378</v>
      </c>
      <c r="F196" s="593">
        <v>11.276946213901001</v>
      </c>
      <c r="G196" s="594">
        <v>1.8794910356500001</v>
      </c>
      <c r="H196" s="596">
        <v>4.9406564584124654E-324</v>
      </c>
      <c r="I196" s="593">
        <v>9.8813129168249309E-324</v>
      </c>
      <c r="J196" s="594">
        <v>-1.8794910356500001</v>
      </c>
      <c r="K196" s="597">
        <v>0</v>
      </c>
    </row>
    <row r="197" spans="1:11" ht="14.4" customHeight="1" thickBot="1" x14ac:dyDescent="0.35">
      <c r="A197" s="611" t="s">
        <v>489</v>
      </c>
      <c r="B197" s="593">
        <v>3943.99380794014</v>
      </c>
      <c r="C197" s="593">
        <v>4261.9953699999996</v>
      </c>
      <c r="D197" s="594">
        <v>318.001562059864</v>
      </c>
      <c r="E197" s="595">
        <v>1.0806293258919999</v>
      </c>
      <c r="F197" s="593">
        <v>3779.0245250921498</v>
      </c>
      <c r="G197" s="594">
        <v>629.83742084869095</v>
      </c>
      <c r="H197" s="596">
        <v>320.71415000000002</v>
      </c>
      <c r="I197" s="593">
        <v>727.67417999999998</v>
      </c>
      <c r="J197" s="594">
        <v>97.836759151308001</v>
      </c>
      <c r="K197" s="597">
        <v>0.19255608826199999</v>
      </c>
    </row>
    <row r="198" spans="1:11" ht="14.4" customHeight="1" thickBot="1" x14ac:dyDescent="0.35">
      <c r="A198" s="616" t="s">
        <v>490</v>
      </c>
      <c r="B198" s="598">
        <v>3943.99380794014</v>
      </c>
      <c r="C198" s="598">
        <v>4261.9953699999996</v>
      </c>
      <c r="D198" s="599">
        <v>318.001562059864</v>
      </c>
      <c r="E198" s="605">
        <v>1.0806293258919999</v>
      </c>
      <c r="F198" s="598">
        <v>3779.0245250921498</v>
      </c>
      <c r="G198" s="599">
        <v>629.83742084869095</v>
      </c>
      <c r="H198" s="601">
        <v>320.71415000000002</v>
      </c>
      <c r="I198" s="598">
        <v>727.67417999999998</v>
      </c>
      <c r="J198" s="599">
        <v>97.836759151308001</v>
      </c>
      <c r="K198" s="606">
        <v>0.19255608826199999</v>
      </c>
    </row>
    <row r="199" spans="1:11" ht="14.4" customHeight="1" thickBot="1" x14ac:dyDescent="0.35">
      <c r="A199" s="618" t="s">
        <v>57</v>
      </c>
      <c r="B199" s="598">
        <v>3943.99380794014</v>
      </c>
      <c r="C199" s="598">
        <v>4261.9953699999996</v>
      </c>
      <c r="D199" s="599">
        <v>318.001562059864</v>
      </c>
      <c r="E199" s="605">
        <v>1.0806293258919999</v>
      </c>
      <c r="F199" s="598">
        <v>3779.0245250921498</v>
      </c>
      <c r="G199" s="599">
        <v>629.83742084869095</v>
      </c>
      <c r="H199" s="601">
        <v>320.71415000000002</v>
      </c>
      <c r="I199" s="598">
        <v>727.67417999999998</v>
      </c>
      <c r="J199" s="599">
        <v>97.836759151308001</v>
      </c>
      <c r="K199" s="606">
        <v>0.19255608826199999</v>
      </c>
    </row>
    <row r="200" spans="1:11" ht="14.4" customHeight="1" thickBot="1" x14ac:dyDescent="0.35">
      <c r="A200" s="614" t="s">
        <v>491</v>
      </c>
      <c r="B200" s="598">
        <v>70.999999999999005</v>
      </c>
      <c r="C200" s="598">
        <v>138.11472000000001</v>
      </c>
      <c r="D200" s="599">
        <v>67.114720000000005</v>
      </c>
      <c r="E200" s="605">
        <v>1.945277746478</v>
      </c>
      <c r="F200" s="598">
        <v>101</v>
      </c>
      <c r="G200" s="599">
        <v>16.833333333333002</v>
      </c>
      <c r="H200" s="601">
        <v>11.65521</v>
      </c>
      <c r="I200" s="598">
        <v>23.310420000000001</v>
      </c>
      <c r="J200" s="599">
        <v>6.4770866666659996</v>
      </c>
      <c r="K200" s="606">
        <v>0.230796237623</v>
      </c>
    </row>
    <row r="201" spans="1:11" ht="14.4" customHeight="1" thickBot="1" x14ac:dyDescent="0.35">
      <c r="A201" s="615" t="s">
        <v>492</v>
      </c>
      <c r="B201" s="593">
        <v>70.999999999999005</v>
      </c>
      <c r="C201" s="593">
        <v>138.11472000000001</v>
      </c>
      <c r="D201" s="594">
        <v>67.114720000000005</v>
      </c>
      <c r="E201" s="595">
        <v>1.945277746478</v>
      </c>
      <c r="F201" s="593">
        <v>101</v>
      </c>
      <c r="G201" s="594">
        <v>16.833333333333002</v>
      </c>
      <c r="H201" s="596">
        <v>11.65521</v>
      </c>
      <c r="I201" s="593">
        <v>23.310420000000001</v>
      </c>
      <c r="J201" s="594">
        <v>6.4770866666659996</v>
      </c>
      <c r="K201" s="597">
        <v>0.230796237623</v>
      </c>
    </row>
    <row r="202" spans="1:11" ht="14.4" customHeight="1" thickBot="1" x14ac:dyDescent="0.35">
      <c r="A202" s="614" t="s">
        <v>493</v>
      </c>
      <c r="B202" s="598">
        <v>206.59358830746001</v>
      </c>
      <c r="C202" s="598">
        <v>169.51400000000001</v>
      </c>
      <c r="D202" s="599">
        <v>-37.079588307458998</v>
      </c>
      <c r="E202" s="605">
        <v>0.82051917191000001</v>
      </c>
      <c r="F202" s="598">
        <v>173.02452509214601</v>
      </c>
      <c r="G202" s="599">
        <v>28.837420848691</v>
      </c>
      <c r="H202" s="601">
        <v>15.702</v>
      </c>
      <c r="I202" s="598">
        <v>37.776000000000003</v>
      </c>
      <c r="J202" s="599">
        <v>8.9385791513079997</v>
      </c>
      <c r="K202" s="606">
        <v>0.218327430633</v>
      </c>
    </row>
    <row r="203" spans="1:11" ht="14.4" customHeight="1" thickBot="1" x14ac:dyDescent="0.35">
      <c r="A203" s="615" t="s">
        <v>494</v>
      </c>
      <c r="B203" s="593">
        <v>206.59358830746001</v>
      </c>
      <c r="C203" s="593">
        <v>169.51400000000001</v>
      </c>
      <c r="D203" s="594">
        <v>-37.079588307458998</v>
      </c>
      <c r="E203" s="595">
        <v>0.82051917191000001</v>
      </c>
      <c r="F203" s="593">
        <v>173.02452509214601</v>
      </c>
      <c r="G203" s="594">
        <v>28.837420848691</v>
      </c>
      <c r="H203" s="596">
        <v>15.702</v>
      </c>
      <c r="I203" s="593">
        <v>37.776000000000003</v>
      </c>
      <c r="J203" s="594">
        <v>8.9385791513079997</v>
      </c>
      <c r="K203" s="597">
        <v>0.218327430633</v>
      </c>
    </row>
    <row r="204" spans="1:11" ht="14.4" customHeight="1" thickBot="1" x14ac:dyDescent="0.35">
      <c r="A204" s="614" t="s">
        <v>495</v>
      </c>
      <c r="B204" s="598">
        <v>614.40021963271704</v>
      </c>
      <c r="C204" s="598">
        <v>875.38314000000003</v>
      </c>
      <c r="D204" s="599">
        <v>260.98292036728299</v>
      </c>
      <c r="E204" s="605">
        <v>1.424776736771</v>
      </c>
      <c r="F204" s="598">
        <v>825</v>
      </c>
      <c r="G204" s="599">
        <v>137.5</v>
      </c>
      <c r="H204" s="601">
        <v>37.628100000000003</v>
      </c>
      <c r="I204" s="598">
        <v>83.152500000000003</v>
      </c>
      <c r="J204" s="599">
        <v>-54.347499999999997</v>
      </c>
      <c r="K204" s="606">
        <v>0.10079090909000001</v>
      </c>
    </row>
    <row r="205" spans="1:11" ht="14.4" customHeight="1" thickBot="1" x14ac:dyDescent="0.35">
      <c r="A205" s="615" t="s">
        <v>496</v>
      </c>
      <c r="B205" s="593">
        <v>614.40021963271704</v>
      </c>
      <c r="C205" s="593">
        <v>700.18730000000005</v>
      </c>
      <c r="D205" s="594">
        <v>85.787080367282996</v>
      </c>
      <c r="E205" s="595">
        <v>1.139627359538</v>
      </c>
      <c r="F205" s="593">
        <v>825</v>
      </c>
      <c r="G205" s="594">
        <v>137.5</v>
      </c>
      <c r="H205" s="596">
        <v>37.628100000000003</v>
      </c>
      <c r="I205" s="593">
        <v>83.152500000000003</v>
      </c>
      <c r="J205" s="594">
        <v>-54.347499999999997</v>
      </c>
      <c r="K205" s="597">
        <v>0.10079090909000001</v>
      </c>
    </row>
    <row r="206" spans="1:11" ht="14.4" customHeight="1" thickBot="1" x14ac:dyDescent="0.35">
      <c r="A206" s="615" t="s">
        <v>497</v>
      </c>
      <c r="B206" s="593">
        <v>0</v>
      </c>
      <c r="C206" s="593">
        <v>175.19584</v>
      </c>
      <c r="D206" s="594">
        <v>175.19584</v>
      </c>
      <c r="E206" s="603" t="s">
        <v>300</v>
      </c>
      <c r="F206" s="593">
        <v>4.9406564584124654E-324</v>
      </c>
      <c r="G206" s="594">
        <v>0</v>
      </c>
      <c r="H206" s="596">
        <v>4.9406564584124654E-324</v>
      </c>
      <c r="I206" s="593">
        <v>9.8813129168249309E-324</v>
      </c>
      <c r="J206" s="594">
        <v>9.8813129168249309E-324</v>
      </c>
      <c r="K206" s="597">
        <v>2</v>
      </c>
    </row>
    <row r="207" spans="1:11" ht="14.4" customHeight="1" thickBot="1" x14ac:dyDescent="0.35">
      <c r="A207" s="614" t="s">
        <v>498</v>
      </c>
      <c r="B207" s="598">
        <v>0</v>
      </c>
      <c r="C207" s="598">
        <v>6.24</v>
      </c>
      <c r="D207" s="599">
        <v>6.24</v>
      </c>
      <c r="E207" s="600" t="s">
        <v>300</v>
      </c>
      <c r="F207" s="598">
        <v>4.9406564584124654E-324</v>
      </c>
      <c r="G207" s="599">
        <v>0</v>
      </c>
      <c r="H207" s="601">
        <v>0.72799999999999998</v>
      </c>
      <c r="I207" s="598">
        <v>2.35</v>
      </c>
      <c r="J207" s="599">
        <v>2.35</v>
      </c>
      <c r="K207" s="602" t="s">
        <v>306</v>
      </c>
    </row>
    <row r="208" spans="1:11" ht="14.4" customHeight="1" thickBot="1" x14ac:dyDescent="0.35">
      <c r="A208" s="615" t="s">
        <v>499</v>
      </c>
      <c r="B208" s="593">
        <v>0</v>
      </c>
      <c r="C208" s="593">
        <v>6.24</v>
      </c>
      <c r="D208" s="594">
        <v>6.24</v>
      </c>
      <c r="E208" s="603" t="s">
        <v>300</v>
      </c>
      <c r="F208" s="593">
        <v>4.9406564584124654E-324</v>
      </c>
      <c r="G208" s="594">
        <v>0</v>
      </c>
      <c r="H208" s="596">
        <v>0.72799999999999998</v>
      </c>
      <c r="I208" s="593">
        <v>2.35</v>
      </c>
      <c r="J208" s="594">
        <v>2.35</v>
      </c>
      <c r="K208" s="604" t="s">
        <v>306</v>
      </c>
    </row>
    <row r="209" spans="1:11" ht="14.4" customHeight="1" thickBot="1" x14ac:dyDescent="0.35">
      <c r="A209" s="614" t="s">
        <v>500</v>
      </c>
      <c r="B209" s="598">
        <v>606.99999999999204</v>
      </c>
      <c r="C209" s="598">
        <v>537.75229999999999</v>
      </c>
      <c r="D209" s="599">
        <v>-69.247699999991994</v>
      </c>
      <c r="E209" s="605">
        <v>0.88591812191099995</v>
      </c>
      <c r="F209" s="598">
        <v>762</v>
      </c>
      <c r="G209" s="599">
        <v>127</v>
      </c>
      <c r="H209" s="601">
        <v>33.96705</v>
      </c>
      <c r="I209" s="598">
        <v>78.408659999999998</v>
      </c>
      <c r="J209" s="599">
        <v>-48.591340000000002</v>
      </c>
      <c r="K209" s="606">
        <v>0.10289850393699999</v>
      </c>
    </row>
    <row r="210" spans="1:11" ht="14.4" customHeight="1" thickBot="1" x14ac:dyDescent="0.35">
      <c r="A210" s="615" t="s">
        <v>501</v>
      </c>
      <c r="B210" s="593">
        <v>605.99999999999204</v>
      </c>
      <c r="C210" s="593">
        <v>537.47569999999996</v>
      </c>
      <c r="D210" s="594">
        <v>-68.524299999991996</v>
      </c>
      <c r="E210" s="595">
        <v>0.88692359735899995</v>
      </c>
      <c r="F210" s="593">
        <v>747</v>
      </c>
      <c r="G210" s="594">
        <v>124.5</v>
      </c>
      <c r="H210" s="596">
        <v>32.705129999999997</v>
      </c>
      <c r="I210" s="593">
        <v>75.884820000000005</v>
      </c>
      <c r="J210" s="594">
        <v>-48.615180000000002</v>
      </c>
      <c r="K210" s="597">
        <v>0.101586104417</v>
      </c>
    </row>
    <row r="211" spans="1:11" ht="14.4" customHeight="1" thickBot="1" x14ac:dyDescent="0.35">
      <c r="A211" s="615" t="s">
        <v>502</v>
      </c>
      <c r="B211" s="593">
        <v>0.99999999999900002</v>
      </c>
      <c r="C211" s="593">
        <v>0.27660000000000001</v>
      </c>
      <c r="D211" s="594">
        <v>-0.72339999999899995</v>
      </c>
      <c r="E211" s="595">
        <v>0.27660000000000001</v>
      </c>
      <c r="F211" s="593">
        <v>15</v>
      </c>
      <c r="G211" s="594">
        <v>2.5</v>
      </c>
      <c r="H211" s="596">
        <v>1.2619199999999999</v>
      </c>
      <c r="I211" s="593">
        <v>2.5238399999999999</v>
      </c>
      <c r="J211" s="594">
        <v>2.384E-2</v>
      </c>
      <c r="K211" s="597">
        <v>0.16825599999999999</v>
      </c>
    </row>
    <row r="212" spans="1:11" ht="14.4" customHeight="1" thickBot="1" x14ac:dyDescent="0.35">
      <c r="A212" s="614" t="s">
        <v>503</v>
      </c>
      <c r="B212" s="598">
        <v>0</v>
      </c>
      <c r="C212" s="598">
        <v>103.10638</v>
      </c>
      <c r="D212" s="599">
        <v>103.10638</v>
      </c>
      <c r="E212" s="600" t="s">
        <v>300</v>
      </c>
      <c r="F212" s="598">
        <v>4.9406564584124654E-324</v>
      </c>
      <c r="G212" s="599">
        <v>0</v>
      </c>
      <c r="H212" s="601">
        <v>6.7743399999999996</v>
      </c>
      <c r="I212" s="598">
        <v>18.99333</v>
      </c>
      <c r="J212" s="599">
        <v>18.99333</v>
      </c>
      <c r="K212" s="602" t="s">
        <v>306</v>
      </c>
    </row>
    <row r="213" spans="1:11" ht="14.4" customHeight="1" thickBot="1" x14ac:dyDescent="0.35">
      <c r="A213" s="615" t="s">
        <v>504</v>
      </c>
      <c r="B213" s="593">
        <v>0</v>
      </c>
      <c r="C213" s="593">
        <v>103.10638</v>
      </c>
      <c r="D213" s="594">
        <v>103.10638</v>
      </c>
      <c r="E213" s="603" t="s">
        <v>300</v>
      </c>
      <c r="F213" s="593">
        <v>4.9406564584124654E-324</v>
      </c>
      <c r="G213" s="594">
        <v>0</v>
      </c>
      <c r="H213" s="596">
        <v>6.7743399999999996</v>
      </c>
      <c r="I213" s="593">
        <v>18.99333</v>
      </c>
      <c r="J213" s="594">
        <v>18.99333</v>
      </c>
      <c r="K213" s="604" t="s">
        <v>306</v>
      </c>
    </row>
    <row r="214" spans="1:11" ht="14.4" customHeight="1" thickBot="1" x14ac:dyDescent="0.35">
      <c r="A214" s="614" t="s">
        <v>505</v>
      </c>
      <c r="B214" s="598">
        <v>2444.99999999997</v>
      </c>
      <c r="C214" s="598">
        <v>2431.88483</v>
      </c>
      <c r="D214" s="599">
        <v>-13.115169999968</v>
      </c>
      <c r="E214" s="605">
        <v>0.99463592228999997</v>
      </c>
      <c r="F214" s="598">
        <v>1918</v>
      </c>
      <c r="G214" s="599">
        <v>319.66666666666703</v>
      </c>
      <c r="H214" s="601">
        <v>214.25944999999999</v>
      </c>
      <c r="I214" s="598">
        <v>483.68326999999999</v>
      </c>
      <c r="J214" s="599">
        <v>164.01660333333299</v>
      </c>
      <c r="K214" s="606">
        <v>0.25218105839400001</v>
      </c>
    </row>
    <row r="215" spans="1:11" ht="14.4" customHeight="1" thickBot="1" x14ac:dyDescent="0.35">
      <c r="A215" s="615" t="s">
        <v>506</v>
      </c>
      <c r="B215" s="593">
        <v>2444.99999999997</v>
      </c>
      <c r="C215" s="593">
        <v>2431.88483</v>
      </c>
      <c r="D215" s="594">
        <v>-13.115169999968</v>
      </c>
      <c r="E215" s="595">
        <v>0.99463592228999997</v>
      </c>
      <c r="F215" s="593">
        <v>1918</v>
      </c>
      <c r="G215" s="594">
        <v>319.66666666666703</v>
      </c>
      <c r="H215" s="596">
        <v>214.25944999999999</v>
      </c>
      <c r="I215" s="593">
        <v>483.68326999999999</v>
      </c>
      <c r="J215" s="594">
        <v>164.01660333333299</v>
      </c>
      <c r="K215" s="597">
        <v>0.25218105839400001</v>
      </c>
    </row>
    <row r="216" spans="1:11" ht="14.4" customHeight="1" thickBot="1" x14ac:dyDescent="0.35">
      <c r="A216" s="619"/>
      <c r="B216" s="593">
        <v>-7295.8262776083402</v>
      </c>
      <c r="C216" s="593">
        <v>-12247.41085</v>
      </c>
      <c r="D216" s="594">
        <v>-4951.58457239169</v>
      </c>
      <c r="E216" s="595">
        <v>1.6786872910590001</v>
      </c>
      <c r="F216" s="593">
        <v>-9368.6409675218092</v>
      </c>
      <c r="G216" s="594">
        <v>-1561.4401612536401</v>
      </c>
      <c r="H216" s="596">
        <v>-918.14256999999998</v>
      </c>
      <c r="I216" s="593">
        <v>-2453.87133000002</v>
      </c>
      <c r="J216" s="594">
        <v>-892.43116874637997</v>
      </c>
      <c r="K216" s="597">
        <v>0.26192393736699998</v>
      </c>
    </row>
    <row r="217" spans="1:11" ht="14.4" customHeight="1" thickBot="1" x14ac:dyDescent="0.35">
      <c r="A217" s="620" t="s">
        <v>69</v>
      </c>
      <c r="B217" s="607">
        <v>-7295.8262776083402</v>
      </c>
      <c r="C217" s="607">
        <v>-12247.41085</v>
      </c>
      <c r="D217" s="608">
        <v>-4951.58457239169</v>
      </c>
      <c r="E217" s="609">
        <v>-1.226650230575</v>
      </c>
      <c r="F217" s="607">
        <v>-9368.6409675218092</v>
      </c>
      <c r="G217" s="608">
        <v>-1561.4401612536401</v>
      </c>
      <c r="H217" s="607">
        <v>-918.14256999999998</v>
      </c>
      <c r="I217" s="607">
        <v>-2453.87133000002</v>
      </c>
      <c r="J217" s="608">
        <v>-892.43116874637997</v>
      </c>
      <c r="K217" s="610">
        <v>0.26192393736699998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H32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344" bestFit="1" customWidth="1"/>
    <col min="2" max="2" width="9.33203125" style="344" customWidth="1"/>
    <col min="3" max="3" width="28.88671875" style="260" bestFit="1" customWidth="1"/>
    <col min="4" max="4" width="12.77734375" style="345" bestFit="1" customWidth="1"/>
    <col min="5" max="5" width="11.109375" style="345" customWidth="1"/>
    <col min="6" max="6" width="6.6640625" style="346" customWidth="1"/>
    <col min="7" max="7" width="12.21875" style="343" bestFit="1" customWidth="1"/>
    <col min="8" max="8" width="0" style="260" hidden="1" customWidth="1"/>
    <col min="9" max="16384" width="8.88671875" style="260"/>
  </cols>
  <sheetData>
    <row r="1" spans="1:8" ht="18.600000000000001" customHeight="1" thickBot="1" x14ac:dyDescent="0.4">
      <c r="A1" s="486" t="s">
        <v>180</v>
      </c>
      <c r="B1" s="487"/>
      <c r="C1" s="487"/>
      <c r="D1" s="487"/>
      <c r="E1" s="487"/>
      <c r="F1" s="487"/>
      <c r="G1" s="463"/>
    </row>
    <row r="2" spans="1:8" ht="14.4" customHeight="1" thickBot="1" x14ac:dyDescent="0.35">
      <c r="A2" s="389" t="s">
        <v>299</v>
      </c>
      <c r="B2" s="342"/>
      <c r="C2" s="342"/>
      <c r="D2" s="342"/>
      <c r="E2" s="342"/>
      <c r="F2" s="342"/>
    </row>
    <row r="3" spans="1:8" ht="14.4" customHeight="1" thickBot="1" x14ac:dyDescent="0.35">
      <c r="A3" s="106" t="s">
        <v>0</v>
      </c>
      <c r="B3" s="107" t="s">
        <v>1</v>
      </c>
      <c r="C3" s="210" t="s">
        <v>2</v>
      </c>
      <c r="D3" s="211" t="s">
        <v>213</v>
      </c>
      <c r="E3" s="211" t="s">
        <v>4</v>
      </c>
      <c r="F3" s="211" t="s">
        <v>5</v>
      </c>
      <c r="G3" s="212" t="s">
        <v>188</v>
      </c>
    </row>
    <row r="4" spans="1:8" ht="14.4" customHeight="1" x14ac:dyDescent="0.3">
      <c r="A4" s="621" t="s">
        <v>507</v>
      </c>
      <c r="B4" s="622" t="s">
        <v>508</v>
      </c>
      <c r="C4" s="623" t="s">
        <v>509</v>
      </c>
      <c r="D4" s="623" t="s">
        <v>508</v>
      </c>
      <c r="E4" s="623" t="s">
        <v>508</v>
      </c>
      <c r="F4" s="624" t="s">
        <v>508</v>
      </c>
      <c r="G4" s="623" t="s">
        <v>508</v>
      </c>
      <c r="H4" s="623" t="s">
        <v>77</v>
      </c>
    </row>
    <row r="5" spans="1:8" ht="14.4" customHeight="1" x14ac:dyDescent="0.3">
      <c r="A5" s="621" t="s">
        <v>507</v>
      </c>
      <c r="B5" s="622" t="s">
        <v>510</v>
      </c>
      <c r="C5" s="623" t="s">
        <v>511</v>
      </c>
      <c r="D5" s="623">
        <v>99415.358682622085</v>
      </c>
      <c r="E5" s="623">
        <v>93461.978838990006</v>
      </c>
      <c r="F5" s="624">
        <v>0.94011609551560427</v>
      </c>
      <c r="G5" s="623">
        <v>-5953.3798436320794</v>
      </c>
      <c r="H5" s="623" t="s">
        <v>2</v>
      </c>
    </row>
    <row r="6" spans="1:8" ht="14.4" customHeight="1" x14ac:dyDescent="0.3">
      <c r="A6" s="621" t="s">
        <v>507</v>
      </c>
      <c r="B6" s="622" t="s">
        <v>512</v>
      </c>
      <c r="C6" s="623" t="s">
        <v>513</v>
      </c>
      <c r="D6" s="623">
        <v>5952.8031166328501</v>
      </c>
      <c r="E6" s="623">
        <v>8648.1694027525737</v>
      </c>
      <c r="F6" s="624">
        <v>1.4527894226147922</v>
      </c>
      <c r="G6" s="623">
        <v>2695.3662861197236</v>
      </c>
      <c r="H6" s="623" t="s">
        <v>2</v>
      </c>
    </row>
    <row r="7" spans="1:8" ht="14.4" customHeight="1" x14ac:dyDescent="0.3">
      <c r="A7" s="621" t="s">
        <v>507</v>
      </c>
      <c r="B7" s="622" t="s">
        <v>514</v>
      </c>
      <c r="C7" s="623" t="s">
        <v>515</v>
      </c>
      <c r="D7" s="623">
        <v>8333.3333333333339</v>
      </c>
      <c r="E7" s="623">
        <v>4445.99</v>
      </c>
      <c r="F7" s="624">
        <v>0.53351879999999996</v>
      </c>
      <c r="G7" s="623">
        <v>-3887.3433333333342</v>
      </c>
      <c r="H7" s="623" t="s">
        <v>2</v>
      </c>
    </row>
    <row r="8" spans="1:8" ht="14.4" customHeight="1" x14ac:dyDescent="0.3">
      <c r="A8" s="621" t="s">
        <v>507</v>
      </c>
      <c r="B8" s="622" t="s">
        <v>516</v>
      </c>
      <c r="C8" s="623" t="s">
        <v>517</v>
      </c>
      <c r="D8" s="623">
        <v>24576.587362909664</v>
      </c>
      <c r="E8" s="623">
        <v>21243.923951632267</v>
      </c>
      <c r="F8" s="624">
        <v>0.86439681953943837</v>
      </c>
      <c r="G8" s="623">
        <v>-3332.6634112773972</v>
      </c>
      <c r="H8" s="623" t="s">
        <v>2</v>
      </c>
    </row>
    <row r="9" spans="1:8" ht="14.4" customHeight="1" x14ac:dyDescent="0.3">
      <c r="A9" s="621" t="s">
        <v>507</v>
      </c>
      <c r="B9" s="622" t="s">
        <v>518</v>
      </c>
      <c r="C9" s="623" t="s">
        <v>519</v>
      </c>
      <c r="D9" s="623">
        <v>333.35593435983668</v>
      </c>
      <c r="E9" s="623">
        <v>315.89999999999998</v>
      </c>
      <c r="F9" s="624">
        <v>0.94763574737807388</v>
      </c>
      <c r="G9" s="623">
        <v>-17.455934359836704</v>
      </c>
      <c r="H9" s="623" t="s">
        <v>2</v>
      </c>
    </row>
    <row r="10" spans="1:8" ht="14.4" customHeight="1" x14ac:dyDescent="0.3">
      <c r="A10" s="621" t="s">
        <v>507</v>
      </c>
      <c r="B10" s="622" t="s">
        <v>6</v>
      </c>
      <c r="C10" s="623" t="s">
        <v>509</v>
      </c>
      <c r="D10" s="623">
        <v>138845.94066954954</v>
      </c>
      <c r="E10" s="623">
        <v>128115.96219337484</v>
      </c>
      <c r="F10" s="624">
        <v>0.92272025797490309</v>
      </c>
      <c r="G10" s="623">
        <v>-10729.9784761747</v>
      </c>
      <c r="H10" s="623" t="s">
        <v>520</v>
      </c>
    </row>
    <row r="12" spans="1:8" ht="14.4" customHeight="1" x14ac:dyDescent="0.3">
      <c r="A12" s="621" t="s">
        <v>507</v>
      </c>
      <c r="B12" s="622" t="s">
        <v>508</v>
      </c>
      <c r="C12" s="623" t="s">
        <v>509</v>
      </c>
      <c r="D12" s="623" t="s">
        <v>508</v>
      </c>
      <c r="E12" s="623" t="s">
        <v>508</v>
      </c>
      <c r="F12" s="624" t="s">
        <v>508</v>
      </c>
      <c r="G12" s="623" t="s">
        <v>508</v>
      </c>
      <c r="H12" s="623" t="s">
        <v>77</v>
      </c>
    </row>
    <row r="13" spans="1:8" ht="14.4" customHeight="1" x14ac:dyDescent="0.3">
      <c r="A13" s="621" t="s">
        <v>521</v>
      </c>
      <c r="B13" s="622" t="s">
        <v>510</v>
      </c>
      <c r="C13" s="623" t="s">
        <v>511</v>
      </c>
      <c r="D13" s="623">
        <v>33498.069746257665</v>
      </c>
      <c r="E13" s="623">
        <v>22135.49579769732</v>
      </c>
      <c r="F13" s="624">
        <v>0.66079914351394087</v>
      </c>
      <c r="G13" s="623">
        <v>-11362.573948560344</v>
      </c>
      <c r="H13" s="623" t="s">
        <v>2</v>
      </c>
    </row>
    <row r="14" spans="1:8" ht="14.4" customHeight="1" x14ac:dyDescent="0.3">
      <c r="A14" s="621" t="s">
        <v>521</v>
      </c>
      <c r="B14" s="622" t="s">
        <v>512</v>
      </c>
      <c r="C14" s="623" t="s">
        <v>513</v>
      </c>
      <c r="D14" s="623">
        <v>5952.8031166328501</v>
      </c>
      <c r="E14" s="623">
        <v>8648.1694027525737</v>
      </c>
      <c r="F14" s="624">
        <v>1.4527894226147922</v>
      </c>
      <c r="G14" s="623">
        <v>2695.3662861197236</v>
      </c>
      <c r="H14" s="623" t="s">
        <v>2</v>
      </c>
    </row>
    <row r="15" spans="1:8" ht="14.4" customHeight="1" x14ac:dyDescent="0.3">
      <c r="A15" s="621" t="s">
        <v>521</v>
      </c>
      <c r="B15" s="622" t="s">
        <v>514</v>
      </c>
      <c r="C15" s="623" t="s">
        <v>515</v>
      </c>
      <c r="D15" s="623">
        <v>8333.3333333333339</v>
      </c>
      <c r="E15" s="623">
        <v>4445.99</v>
      </c>
      <c r="F15" s="624">
        <v>0.53351879999999996</v>
      </c>
      <c r="G15" s="623">
        <v>-3887.3433333333342</v>
      </c>
      <c r="H15" s="623" t="s">
        <v>2</v>
      </c>
    </row>
    <row r="16" spans="1:8" ht="14.4" customHeight="1" x14ac:dyDescent="0.3">
      <c r="A16" s="621" t="s">
        <v>521</v>
      </c>
      <c r="B16" s="622" t="s">
        <v>516</v>
      </c>
      <c r="C16" s="623" t="s">
        <v>517</v>
      </c>
      <c r="D16" s="623">
        <v>21664.583872999166</v>
      </c>
      <c r="E16" s="623">
        <v>19291.252981923019</v>
      </c>
      <c r="F16" s="624">
        <v>0.89045112036358753</v>
      </c>
      <c r="G16" s="623">
        <v>-2373.330891076148</v>
      </c>
      <c r="H16" s="623" t="s">
        <v>2</v>
      </c>
    </row>
    <row r="17" spans="1:8" ht="14.4" customHeight="1" x14ac:dyDescent="0.3">
      <c r="A17" s="621" t="s">
        <v>521</v>
      </c>
      <c r="B17" s="622" t="s">
        <v>518</v>
      </c>
      <c r="C17" s="623" t="s">
        <v>519</v>
      </c>
      <c r="D17" s="623">
        <v>333.35593435983668</v>
      </c>
      <c r="E17" s="623">
        <v>315.89999999999998</v>
      </c>
      <c r="F17" s="624">
        <v>0.94763574737807388</v>
      </c>
      <c r="G17" s="623">
        <v>-17.455934359836704</v>
      </c>
      <c r="H17" s="623" t="s">
        <v>2</v>
      </c>
    </row>
    <row r="18" spans="1:8" ht="14.4" customHeight="1" x14ac:dyDescent="0.3">
      <c r="A18" s="621" t="s">
        <v>521</v>
      </c>
      <c r="B18" s="622" t="s">
        <v>6</v>
      </c>
      <c r="C18" s="623" t="s">
        <v>522</v>
      </c>
      <c r="D18" s="623">
        <v>70016.648243274627</v>
      </c>
      <c r="E18" s="623">
        <v>54836.808182372915</v>
      </c>
      <c r="F18" s="624">
        <v>0.78319670475857439</v>
      </c>
      <c r="G18" s="623">
        <v>-15179.840060901712</v>
      </c>
      <c r="H18" s="623" t="s">
        <v>523</v>
      </c>
    </row>
    <row r="19" spans="1:8" ht="14.4" customHeight="1" x14ac:dyDescent="0.3">
      <c r="A19" s="621" t="s">
        <v>508</v>
      </c>
      <c r="B19" s="622" t="s">
        <v>508</v>
      </c>
      <c r="C19" s="623" t="s">
        <v>508</v>
      </c>
      <c r="D19" s="623" t="s">
        <v>508</v>
      </c>
      <c r="E19" s="623" t="s">
        <v>508</v>
      </c>
      <c r="F19" s="624" t="s">
        <v>508</v>
      </c>
      <c r="G19" s="623" t="s">
        <v>508</v>
      </c>
      <c r="H19" s="623" t="s">
        <v>524</v>
      </c>
    </row>
    <row r="20" spans="1:8" ht="14.4" customHeight="1" x14ac:dyDescent="0.3">
      <c r="A20" s="621" t="s">
        <v>525</v>
      </c>
      <c r="B20" s="622" t="s">
        <v>510</v>
      </c>
      <c r="C20" s="623" t="s">
        <v>511</v>
      </c>
      <c r="D20" s="623">
        <v>27912.692599918166</v>
      </c>
      <c r="E20" s="623">
        <v>28454.043929174237</v>
      </c>
      <c r="F20" s="624">
        <v>1.0193944502959795</v>
      </c>
      <c r="G20" s="623">
        <v>541.35132925607104</v>
      </c>
      <c r="H20" s="623" t="s">
        <v>2</v>
      </c>
    </row>
    <row r="21" spans="1:8" ht="14.4" customHeight="1" x14ac:dyDescent="0.3">
      <c r="A21" s="621" t="s">
        <v>525</v>
      </c>
      <c r="B21" s="622" t="s">
        <v>516</v>
      </c>
      <c r="C21" s="623" t="s">
        <v>517</v>
      </c>
      <c r="D21" s="623">
        <v>855.77322534612324</v>
      </c>
      <c r="E21" s="623">
        <v>173.48071421797053</v>
      </c>
      <c r="F21" s="624">
        <v>0.20271809058738088</v>
      </c>
      <c r="G21" s="623">
        <v>-682.29251112815268</v>
      </c>
      <c r="H21" s="623" t="s">
        <v>2</v>
      </c>
    </row>
    <row r="22" spans="1:8" ht="14.4" customHeight="1" x14ac:dyDescent="0.3">
      <c r="A22" s="621" t="s">
        <v>525</v>
      </c>
      <c r="B22" s="622" t="s">
        <v>6</v>
      </c>
      <c r="C22" s="623" t="s">
        <v>526</v>
      </c>
      <c r="D22" s="623">
        <v>28768.465825264288</v>
      </c>
      <c r="E22" s="623">
        <v>28627.524643392208</v>
      </c>
      <c r="F22" s="624">
        <v>0.99510084469821447</v>
      </c>
      <c r="G22" s="623">
        <v>-140.94118187208005</v>
      </c>
      <c r="H22" s="623" t="s">
        <v>523</v>
      </c>
    </row>
    <row r="23" spans="1:8" ht="14.4" customHeight="1" x14ac:dyDescent="0.3">
      <c r="A23" s="621" t="s">
        <v>508</v>
      </c>
      <c r="B23" s="622" t="s">
        <v>508</v>
      </c>
      <c r="C23" s="623" t="s">
        <v>508</v>
      </c>
      <c r="D23" s="623" t="s">
        <v>508</v>
      </c>
      <c r="E23" s="623" t="s">
        <v>508</v>
      </c>
      <c r="F23" s="624" t="s">
        <v>508</v>
      </c>
      <c r="G23" s="623" t="s">
        <v>508</v>
      </c>
      <c r="H23" s="623" t="s">
        <v>524</v>
      </c>
    </row>
    <row r="24" spans="1:8" ht="14.4" customHeight="1" x14ac:dyDescent="0.3">
      <c r="A24" s="621" t="s">
        <v>527</v>
      </c>
      <c r="B24" s="622" t="s">
        <v>510</v>
      </c>
      <c r="C24" s="623" t="s">
        <v>511</v>
      </c>
      <c r="D24" s="623">
        <v>24918.854845662001</v>
      </c>
      <c r="E24" s="623">
        <v>25074.113486806564</v>
      </c>
      <c r="F24" s="624">
        <v>1.006230568864668</v>
      </c>
      <c r="G24" s="623">
        <v>155.25864114456272</v>
      </c>
      <c r="H24" s="623" t="s">
        <v>2</v>
      </c>
    </row>
    <row r="25" spans="1:8" ht="14.4" customHeight="1" x14ac:dyDescent="0.3">
      <c r="A25" s="621" t="s">
        <v>527</v>
      </c>
      <c r="B25" s="622" t="s">
        <v>516</v>
      </c>
      <c r="C25" s="623" t="s">
        <v>517</v>
      </c>
      <c r="D25" s="623">
        <v>1964.3009729570333</v>
      </c>
      <c r="E25" s="623">
        <v>1609.5602554912721</v>
      </c>
      <c r="F25" s="624">
        <v>0.81940612851617178</v>
      </c>
      <c r="G25" s="623">
        <v>-354.74071746576124</v>
      </c>
      <c r="H25" s="623" t="s">
        <v>2</v>
      </c>
    </row>
    <row r="26" spans="1:8" ht="14.4" customHeight="1" x14ac:dyDescent="0.3">
      <c r="A26" s="621" t="s">
        <v>527</v>
      </c>
      <c r="B26" s="622" t="s">
        <v>6</v>
      </c>
      <c r="C26" s="623" t="s">
        <v>528</v>
      </c>
      <c r="D26" s="623">
        <v>26883.155818619034</v>
      </c>
      <c r="E26" s="623">
        <v>26683.673742297837</v>
      </c>
      <c r="F26" s="624">
        <v>0.99257966298052558</v>
      </c>
      <c r="G26" s="623">
        <v>-199.48207632119738</v>
      </c>
      <c r="H26" s="623" t="s">
        <v>523</v>
      </c>
    </row>
    <row r="27" spans="1:8" ht="14.4" customHeight="1" x14ac:dyDescent="0.3">
      <c r="A27" s="621" t="s">
        <v>508</v>
      </c>
      <c r="B27" s="622" t="s">
        <v>508</v>
      </c>
      <c r="C27" s="623" t="s">
        <v>508</v>
      </c>
      <c r="D27" s="623" t="s">
        <v>508</v>
      </c>
      <c r="E27" s="623" t="s">
        <v>508</v>
      </c>
      <c r="F27" s="624" t="s">
        <v>508</v>
      </c>
      <c r="G27" s="623" t="s">
        <v>508</v>
      </c>
      <c r="H27" s="623" t="s">
        <v>524</v>
      </c>
    </row>
    <row r="28" spans="1:8" ht="14.4" customHeight="1" x14ac:dyDescent="0.3">
      <c r="A28" s="621" t="s">
        <v>529</v>
      </c>
      <c r="B28" s="622" t="s">
        <v>510</v>
      </c>
      <c r="C28" s="623" t="s">
        <v>511</v>
      </c>
      <c r="D28" s="623">
        <v>13085.741490784249</v>
      </c>
      <c r="E28" s="623">
        <v>17798.325625311842</v>
      </c>
      <c r="F28" s="624">
        <v>1.3601312266367536</v>
      </c>
      <c r="G28" s="623">
        <v>4712.5841345275931</v>
      </c>
      <c r="H28" s="623" t="s">
        <v>2</v>
      </c>
    </row>
    <row r="29" spans="1:8" ht="14.4" customHeight="1" x14ac:dyDescent="0.3">
      <c r="A29" s="621" t="s">
        <v>529</v>
      </c>
      <c r="B29" s="622" t="s">
        <v>516</v>
      </c>
      <c r="C29" s="623" t="s">
        <v>517</v>
      </c>
      <c r="D29" s="623">
        <v>91.929291607339664</v>
      </c>
      <c r="E29" s="623">
        <v>169.63</v>
      </c>
      <c r="F29" s="624">
        <v>1.8452225295561473</v>
      </c>
      <c r="G29" s="623">
        <v>77.700708392660331</v>
      </c>
      <c r="H29" s="623" t="s">
        <v>2</v>
      </c>
    </row>
    <row r="30" spans="1:8" ht="14.4" customHeight="1" x14ac:dyDescent="0.3">
      <c r="A30" s="621" t="s">
        <v>529</v>
      </c>
      <c r="B30" s="622" t="s">
        <v>6</v>
      </c>
      <c r="C30" s="623" t="s">
        <v>530</v>
      </c>
      <c r="D30" s="623">
        <v>13177.670782391588</v>
      </c>
      <c r="E30" s="623">
        <v>17967.955625311843</v>
      </c>
      <c r="F30" s="624">
        <v>1.3635152920439613</v>
      </c>
      <c r="G30" s="623">
        <v>4790.284842920255</v>
      </c>
      <c r="H30" s="623" t="s">
        <v>523</v>
      </c>
    </row>
    <row r="31" spans="1:8" ht="14.4" customHeight="1" x14ac:dyDescent="0.3">
      <c r="A31" s="621" t="s">
        <v>508</v>
      </c>
      <c r="B31" s="622" t="s">
        <v>508</v>
      </c>
      <c r="C31" s="623" t="s">
        <v>508</v>
      </c>
      <c r="D31" s="623" t="s">
        <v>508</v>
      </c>
      <c r="E31" s="623" t="s">
        <v>508</v>
      </c>
      <c r="F31" s="624" t="s">
        <v>508</v>
      </c>
      <c r="G31" s="623" t="s">
        <v>508</v>
      </c>
      <c r="H31" s="623" t="s">
        <v>524</v>
      </c>
    </row>
    <row r="32" spans="1:8" ht="14.4" customHeight="1" x14ac:dyDescent="0.3">
      <c r="A32" s="621" t="s">
        <v>507</v>
      </c>
      <c r="B32" s="622" t="s">
        <v>6</v>
      </c>
      <c r="C32" s="623" t="s">
        <v>509</v>
      </c>
      <c r="D32" s="623">
        <v>138845.94066954954</v>
      </c>
      <c r="E32" s="623">
        <v>128115.9621933748</v>
      </c>
      <c r="F32" s="624">
        <v>0.92272025797490276</v>
      </c>
      <c r="G32" s="623">
        <v>-10729.978476174743</v>
      </c>
      <c r="H32" s="623" t="s">
        <v>520</v>
      </c>
    </row>
  </sheetData>
  <autoFilter ref="A3:G3"/>
  <mergeCells count="1">
    <mergeCell ref="A1:G1"/>
  </mergeCells>
  <conditionalFormatting sqref="F11 F33:F65536">
    <cfRule type="cellIs" dxfId="65" priority="15" stopIfTrue="1" operator="greaterThan">
      <formula>1</formula>
    </cfRule>
  </conditionalFormatting>
  <conditionalFormatting sqref="B4:B10">
    <cfRule type="expression" dxfId="64" priority="12">
      <formula>AND(LEFT(H4,6)&lt;&gt;"mezera",H4&lt;&gt;"")</formula>
    </cfRule>
  </conditionalFormatting>
  <conditionalFormatting sqref="A4:A10">
    <cfRule type="expression" dxfId="63" priority="10">
      <formula>AND(H4&lt;&gt;"",H4&lt;&gt;"mezeraKL")</formula>
    </cfRule>
  </conditionalFormatting>
  <conditionalFormatting sqref="G4:G10">
    <cfRule type="cellIs" dxfId="62" priority="9" operator="greaterThan">
      <formula>0</formula>
    </cfRule>
  </conditionalFormatting>
  <conditionalFormatting sqref="F4:F10">
    <cfRule type="cellIs" dxfId="61" priority="8" operator="greaterThan">
      <formula>1</formula>
    </cfRule>
  </conditionalFormatting>
  <conditionalFormatting sqref="B4:G10">
    <cfRule type="expression" dxfId="60" priority="11">
      <formula>OR($H4="KL",$H4="SumaKL")</formula>
    </cfRule>
    <cfRule type="expression" dxfId="59" priority="13">
      <formula>$H4="SumaNS"</formula>
    </cfRule>
  </conditionalFormatting>
  <conditionalFormatting sqref="A4:G10">
    <cfRule type="expression" dxfId="58" priority="14">
      <formula>$H4&lt;&gt;""</formula>
    </cfRule>
  </conditionalFormatting>
  <conditionalFormatting sqref="F12:F32">
    <cfRule type="cellIs" dxfId="57" priority="3" operator="greaterThan">
      <formula>1</formula>
    </cfRule>
  </conditionalFormatting>
  <conditionalFormatting sqref="B12:B32">
    <cfRule type="expression" dxfId="56" priority="6">
      <formula>AND(LEFT(H12,6)&lt;&gt;"mezera",H12&lt;&gt;"")</formula>
    </cfRule>
  </conditionalFormatting>
  <conditionalFormatting sqref="A12:A32">
    <cfRule type="expression" dxfId="55" priority="4">
      <formula>AND(H12&lt;&gt;"",H12&lt;&gt;"mezeraKL")</formula>
    </cfRule>
  </conditionalFormatting>
  <conditionalFormatting sqref="G12:G32">
    <cfRule type="cellIs" dxfId="54" priority="2" operator="greaterThan">
      <formula>0</formula>
    </cfRule>
  </conditionalFormatting>
  <conditionalFormatting sqref="B12:G32">
    <cfRule type="expression" dxfId="53" priority="5">
      <formula>OR($H12="KL",$H12="SumaKL")</formula>
    </cfRule>
    <cfRule type="expression" dxfId="52" priority="7">
      <formula>$H12="SumaNS"</formula>
    </cfRule>
  </conditionalFormatting>
  <conditionalFormatting sqref="A12:G32">
    <cfRule type="expression" dxfId="51" priority="1">
      <formula>$H12&lt;&gt;""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57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60" hidden="1" customWidth="1" outlineLevel="1"/>
    <col min="2" max="2" width="28.33203125" style="260" hidden="1" customWidth="1" outlineLevel="1"/>
    <col min="3" max="3" width="5.33203125" style="345" bestFit="1" customWidth="1" collapsed="1"/>
    <col min="4" max="4" width="18.77734375" style="349" customWidth="1"/>
    <col min="5" max="5" width="9" style="345" bestFit="1" customWidth="1"/>
    <col min="6" max="6" width="18.77734375" style="349" customWidth="1"/>
    <col min="7" max="7" width="5" style="345" customWidth="1"/>
    <col min="8" max="8" width="12.44140625" style="345" hidden="1" customWidth="1" outlineLevel="1"/>
    <col min="9" max="9" width="8.5546875" style="345" hidden="1" customWidth="1" outlineLevel="1"/>
    <col min="10" max="10" width="25.77734375" style="345" customWidth="1" collapsed="1"/>
    <col min="11" max="11" width="8.77734375" style="345" customWidth="1"/>
    <col min="12" max="13" width="7.77734375" style="343" customWidth="1"/>
    <col min="14" max="14" width="11.109375" style="343" customWidth="1"/>
    <col min="15" max="16384" width="8.88671875" style="260"/>
  </cols>
  <sheetData>
    <row r="1" spans="1:14" ht="18.600000000000001" customHeight="1" thickBot="1" x14ac:dyDescent="0.4">
      <c r="A1" s="492" t="s">
        <v>212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  <c r="L1" s="463"/>
      <c r="M1" s="463"/>
      <c r="N1" s="463"/>
    </row>
    <row r="2" spans="1:14" ht="14.4" customHeight="1" thickBot="1" x14ac:dyDescent="0.35">
      <c r="A2" s="389" t="s">
        <v>299</v>
      </c>
      <c r="B2" s="66"/>
      <c r="C2" s="347"/>
      <c r="D2" s="347"/>
      <c r="E2" s="347"/>
      <c r="F2" s="347"/>
      <c r="G2" s="347"/>
      <c r="H2" s="347"/>
      <c r="I2" s="347"/>
      <c r="J2" s="347"/>
      <c r="K2" s="347"/>
      <c r="L2" s="348"/>
      <c r="M2" s="348"/>
      <c r="N2" s="348"/>
    </row>
    <row r="3" spans="1:14" ht="14.4" customHeight="1" thickBot="1" x14ac:dyDescent="0.35">
      <c r="A3" s="66"/>
      <c r="B3" s="66"/>
      <c r="C3" s="488"/>
      <c r="D3" s="489"/>
      <c r="E3" s="489"/>
      <c r="F3" s="489"/>
      <c r="G3" s="489"/>
      <c r="H3" s="489"/>
      <c r="I3" s="489"/>
      <c r="J3" s="490" t="s">
        <v>163</v>
      </c>
      <c r="K3" s="491"/>
      <c r="L3" s="213">
        <f>IF(M3&lt;&gt;0,N3/M3,0)</f>
        <v>104.97866453078895</v>
      </c>
      <c r="M3" s="213">
        <f>SUBTOTAL(9,M5:M1048576)</f>
        <v>1220.4000000000001</v>
      </c>
      <c r="N3" s="214">
        <f>SUBTOTAL(9,N5:N1048576)</f>
        <v>128115.96219337484</v>
      </c>
    </row>
    <row r="4" spans="1:14" s="344" customFormat="1" ht="14.4" customHeight="1" thickBot="1" x14ac:dyDescent="0.35">
      <c r="A4" s="625" t="s">
        <v>7</v>
      </c>
      <c r="B4" s="626" t="s">
        <v>8</v>
      </c>
      <c r="C4" s="626" t="s">
        <v>0</v>
      </c>
      <c r="D4" s="626" t="s">
        <v>9</v>
      </c>
      <c r="E4" s="626" t="s">
        <v>10</v>
      </c>
      <c r="F4" s="626" t="s">
        <v>2</v>
      </c>
      <c r="G4" s="626" t="s">
        <v>11</v>
      </c>
      <c r="H4" s="626" t="s">
        <v>12</v>
      </c>
      <c r="I4" s="626" t="s">
        <v>13</v>
      </c>
      <c r="J4" s="627" t="s">
        <v>14</v>
      </c>
      <c r="K4" s="627" t="s">
        <v>15</v>
      </c>
      <c r="L4" s="628" t="s">
        <v>189</v>
      </c>
      <c r="M4" s="628" t="s">
        <v>16</v>
      </c>
      <c r="N4" s="629" t="s">
        <v>206</v>
      </c>
    </row>
    <row r="5" spans="1:14" ht="14.4" customHeight="1" x14ac:dyDescent="0.3">
      <c r="A5" s="630" t="s">
        <v>507</v>
      </c>
      <c r="B5" s="631" t="s">
        <v>509</v>
      </c>
      <c r="C5" s="632" t="s">
        <v>521</v>
      </c>
      <c r="D5" s="633" t="s">
        <v>522</v>
      </c>
      <c r="E5" s="632" t="s">
        <v>510</v>
      </c>
      <c r="F5" s="633" t="s">
        <v>511</v>
      </c>
      <c r="G5" s="632" t="s">
        <v>531</v>
      </c>
      <c r="H5" s="632" t="s">
        <v>532</v>
      </c>
      <c r="I5" s="632" t="s">
        <v>532</v>
      </c>
      <c r="J5" s="632" t="s">
        <v>533</v>
      </c>
      <c r="K5" s="632" t="s">
        <v>534</v>
      </c>
      <c r="L5" s="634">
        <v>179.4</v>
      </c>
      <c r="M5" s="634">
        <v>8</v>
      </c>
      <c r="N5" s="635">
        <v>1435.2</v>
      </c>
    </row>
    <row r="6" spans="1:14" ht="14.4" customHeight="1" x14ac:dyDescent="0.3">
      <c r="A6" s="636" t="s">
        <v>507</v>
      </c>
      <c r="B6" s="637" t="s">
        <v>509</v>
      </c>
      <c r="C6" s="638" t="s">
        <v>521</v>
      </c>
      <c r="D6" s="639" t="s">
        <v>522</v>
      </c>
      <c r="E6" s="638" t="s">
        <v>510</v>
      </c>
      <c r="F6" s="639" t="s">
        <v>511</v>
      </c>
      <c r="G6" s="638" t="s">
        <v>531</v>
      </c>
      <c r="H6" s="638" t="s">
        <v>535</v>
      </c>
      <c r="I6" s="638" t="s">
        <v>535</v>
      </c>
      <c r="J6" s="638" t="s">
        <v>533</v>
      </c>
      <c r="K6" s="638" t="s">
        <v>536</v>
      </c>
      <c r="L6" s="640">
        <v>97.75</v>
      </c>
      <c r="M6" s="640">
        <v>9</v>
      </c>
      <c r="N6" s="641">
        <v>879.75</v>
      </c>
    </row>
    <row r="7" spans="1:14" ht="14.4" customHeight="1" x14ac:dyDescent="0.3">
      <c r="A7" s="636" t="s">
        <v>507</v>
      </c>
      <c r="B7" s="637" t="s">
        <v>509</v>
      </c>
      <c r="C7" s="638" t="s">
        <v>521</v>
      </c>
      <c r="D7" s="639" t="s">
        <v>522</v>
      </c>
      <c r="E7" s="638" t="s">
        <v>510</v>
      </c>
      <c r="F7" s="639" t="s">
        <v>511</v>
      </c>
      <c r="G7" s="638" t="s">
        <v>531</v>
      </c>
      <c r="H7" s="638" t="s">
        <v>537</v>
      </c>
      <c r="I7" s="638" t="s">
        <v>538</v>
      </c>
      <c r="J7" s="638" t="s">
        <v>539</v>
      </c>
      <c r="K7" s="638" t="s">
        <v>540</v>
      </c>
      <c r="L7" s="640">
        <v>84.740000000000009</v>
      </c>
      <c r="M7" s="640">
        <v>3</v>
      </c>
      <c r="N7" s="641">
        <v>254.22000000000003</v>
      </c>
    </row>
    <row r="8" spans="1:14" ht="14.4" customHeight="1" x14ac:dyDescent="0.3">
      <c r="A8" s="636" t="s">
        <v>507</v>
      </c>
      <c r="B8" s="637" t="s">
        <v>509</v>
      </c>
      <c r="C8" s="638" t="s">
        <v>521</v>
      </c>
      <c r="D8" s="639" t="s">
        <v>522</v>
      </c>
      <c r="E8" s="638" t="s">
        <v>510</v>
      </c>
      <c r="F8" s="639" t="s">
        <v>511</v>
      </c>
      <c r="G8" s="638" t="s">
        <v>531</v>
      </c>
      <c r="H8" s="638" t="s">
        <v>541</v>
      </c>
      <c r="I8" s="638" t="s">
        <v>542</v>
      </c>
      <c r="J8" s="638" t="s">
        <v>543</v>
      </c>
      <c r="K8" s="638" t="s">
        <v>544</v>
      </c>
      <c r="L8" s="640">
        <v>95.0800956937629</v>
      </c>
      <c r="M8" s="640">
        <v>2</v>
      </c>
      <c r="N8" s="641">
        <v>190.1601913875258</v>
      </c>
    </row>
    <row r="9" spans="1:14" ht="14.4" customHeight="1" x14ac:dyDescent="0.3">
      <c r="A9" s="636" t="s">
        <v>507</v>
      </c>
      <c r="B9" s="637" t="s">
        <v>509</v>
      </c>
      <c r="C9" s="638" t="s">
        <v>521</v>
      </c>
      <c r="D9" s="639" t="s">
        <v>522</v>
      </c>
      <c r="E9" s="638" t="s">
        <v>510</v>
      </c>
      <c r="F9" s="639" t="s">
        <v>511</v>
      </c>
      <c r="G9" s="638" t="s">
        <v>531</v>
      </c>
      <c r="H9" s="638" t="s">
        <v>545</v>
      </c>
      <c r="I9" s="638" t="s">
        <v>546</v>
      </c>
      <c r="J9" s="638" t="s">
        <v>547</v>
      </c>
      <c r="K9" s="638" t="s">
        <v>548</v>
      </c>
      <c r="L9" s="640">
        <v>58.97</v>
      </c>
      <c r="M9" s="640">
        <v>4</v>
      </c>
      <c r="N9" s="641">
        <v>235.88</v>
      </c>
    </row>
    <row r="10" spans="1:14" ht="14.4" customHeight="1" x14ac:dyDescent="0.3">
      <c r="A10" s="636" t="s">
        <v>507</v>
      </c>
      <c r="B10" s="637" t="s">
        <v>509</v>
      </c>
      <c r="C10" s="638" t="s">
        <v>521</v>
      </c>
      <c r="D10" s="639" t="s">
        <v>522</v>
      </c>
      <c r="E10" s="638" t="s">
        <v>510</v>
      </c>
      <c r="F10" s="639" t="s">
        <v>511</v>
      </c>
      <c r="G10" s="638" t="s">
        <v>531</v>
      </c>
      <c r="H10" s="638" t="s">
        <v>549</v>
      </c>
      <c r="I10" s="638" t="s">
        <v>550</v>
      </c>
      <c r="J10" s="638" t="s">
        <v>551</v>
      </c>
      <c r="K10" s="638" t="s">
        <v>552</v>
      </c>
      <c r="L10" s="640">
        <v>89.96505790796482</v>
      </c>
      <c r="M10" s="640">
        <v>2</v>
      </c>
      <c r="N10" s="641">
        <v>179.93011581592964</v>
      </c>
    </row>
    <row r="11" spans="1:14" ht="14.4" customHeight="1" x14ac:dyDescent="0.3">
      <c r="A11" s="636" t="s">
        <v>507</v>
      </c>
      <c r="B11" s="637" t="s">
        <v>509</v>
      </c>
      <c r="C11" s="638" t="s">
        <v>521</v>
      </c>
      <c r="D11" s="639" t="s">
        <v>522</v>
      </c>
      <c r="E11" s="638" t="s">
        <v>510</v>
      </c>
      <c r="F11" s="639" t="s">
        <v>511</v>
      </c>
      <c r="G11" s="638" t="s">
        <v>531</v>
      </c>
      <c r="H11" s="638" t="s">
        <v>553</v>
      </c>
      <c r="I11" s="638" t="s">
        <v>554</v>
      </c>
      <c r="J11" s="638" t="s">
        <v>547</v>
      </c>
      <c r="K11" s="638" t="s">
        <v>555</v>
      </c>
      <c r="L11" s="640">
        <v>65.097104574709405</v>
      </c>
      <c r="M11" s="640">
        <v>3</v>
      </c>
      <c r="N11" s="641">
        <v>195.2913137241282</v>
      </c>
    </row>
    <row r="12" spans="1:14" ht="14.4" customHeight="1" x14ac:dyDescent="0.3">
      <c r="A12" s="636" t="s">
        <v>507</v>
      </c>
      <c r="B12" s="637" t="s">
        <v>509</v>
      </c>
      <c r="C12" s="638" t="s">
        <v>521</v>
      </c>
      <c r="D12" s="639" t="s">
        <v>522</v>
      </c>
      <c r="E12" s="638" t="s">
        <v>510</v>
      </c>
      <c r="F12" s="639" t="s">
        <v>511</v>
      </c>
      <c r="G12" s="638" t="s">
        <v>531</v>
      </c>
      <c r="H12" s="638" t="s">
        <v>556</v>
      </c>
      <c r="I12" s="638" t="s">
        <v>557</v>
      </c>
      <c r="J12" s="638" t="s">
        <v>558</v>
      </c>
      <c r="K12" s="638" t="s">
        <v>559</v>
      </c>
      <c r="L12" s="640">
        <v>42</v>
      </c>
      <c r="M12" s="640">
        <v>1</v>
      </c>
      <c r="N12" s="641">
        <v>42</v>
      </c>
    </row>
    <row r="13" spans="1:14" ht="14.4" customHeight="1" x14ac:dyDescent="0.3">
      <c r="A13" s="636" t="s">
        <v>507</v>
      </c>
      <c r="B13" s="637" t="s">
        <v>509</v>
      </c>
      <c r="C13" s="638" t="s">
        <v>521</v>
      </c>
      <c r="D13" s="639" t="s">
        <v>522</v>
      </c>
      <c r="E13" s="638" t="s">
        <v>510</v>
      </c>
      <c r="F13" s="639" t="s">
        <v>511</v>
      </c>
      <c r="G13" s="638" t="s">
        <v>531</v>
      </c>
      <c r="H13" s="638" t="s">
        <v>560</v>
      </c>
      <c r="I13" s="638" t="s">
        <v>561</v>
      </c>
      <c r="J13" s="638" t="s">
        <v>558</v>
      </c>
      <c r="K13" s="638" t="s">
        <v>562</v>
      </c>
      <c r="L13" s="640">
        <v>81.129999999999981</v>
      </c>
      <c r="M13" s="640">
        <v>2</v>
      </c>
      <c r="N13" s="641">
        <v>162.25999999999996</v>
      </c>
    </row>
    <row r="14" spans="1:14" ht="14.4" customHeight="1" x14ac:dyDescent="0.3">
      <c r="A14" s="636" t="s">
        <v>507</v>
      </c>
      <c r="B14" s="637" t="s">
        <v>509</v>
      </c>
      <c r="C14" s="638" t="s">
        <v>521</v>
      </c>
      <c r="D14" s="639" t="s">
        <v>522</v>
      </c>
      <c r="E14" s="638" t="s">
        <v>510</v>
      </c>
      <c r="F14" s="639" t="s">
        <v>511</v>
      </c>
      <c r="G14" s="638" t="s">
        <v>531</v>
      </c>
      <c r="H14" s="638" t="s">
        <v>563</v>
      </c>
      <c r="I14" s="638" t="s">
        <v>564</v>
      </c>
      <c r="J14" s="638" t="s">
        <v>565</v>
      </c>
      <c r="K14" s="638" t="s">
        <v>566</v>
      </c>
      <c r="L14" s="640">
        <v>61.9</v>
      </c>
      <c r="M14" s="640">
        <v>1</v>
      </c>
      <c r="N14" s="641">
        <v>61.9</v>
      </c>
    </row>
    <row r="15" spans="1:14" ht="14.4" customHeight="1" x14ac:dyDescent="0.3">
      <c r="A15" s="636" t="s">
        <v>507</v>
      </c>
      <c r="B15" s="637" t="s">
        <v>509</v>
      </c>
      <c r="C15" s="638" t="s">
        <v>521</v>
      </c>
      <c r="D15" s="639" t="s">
        <v>522</v>
      </c>
      <c r="E15" s="638" t="s">
        <v>510</v>
      </c>
      <c r="F15" s="639" t="s">
        <v>511</v>
      </c>
      <c r="G15" s="638" t="s">
        <v>531</v>
      </c>
      <c r="H15" s="638" t="s">
        <v>567</v>
      </c>
      <c r="I15" s="638" t="s">
        <v>568</v>
      </c>
      <c r="J15" s="638" t="s">
        <v>569</v>
      </c>
      <c r="K15" s="638" t="s">
        <v>570</v>
      </c>
      <c r="L15" s="640">
        <v>73.738</v>
      </c>
      <c r="M15" s="640">
        <v>1</v>
      </c>
      <c r="N15" s="641">
        <v>73.738</v>
      </c>
    </row>
    <row r="16" spans="1:14" ht="14.4" customHeight="1" x14ac:dyDescent="0.3">
      <c r="A16" s="636" t="s">
        <v>507</v>
      </c>
      <c r="B16" s="637" t="s">
        <v>509</v>
      </c>
      <c r="C16" s="638" t="s">
        <v>521</v>
      </c>
      <c r="D16" s="639" t="s">
        <v>522</v>
      </c>
      <c r="E16" s="638" t="s">
        <v>510</v>
      </c>
      <c r="F16" s="639" t="s">
        <v>511</v>
      </c>
      <c r="G16" s="638" t="s">
        <v>531</v>
      </c>
      <c r="H16" s="638" t="s">
        <v>571</v>
      </c>
      <c r="I16" s="638" t="s">
        <v>572</v>
      </c>
      <c r="J16" s="638" t="s">
        <v>573</v>
      </c>
      <c r="K16" s="638" t="s">
        <v>574</v>
      </c>
      <c r="L16" s="640">
        <v>75.12</v>
      </c>
      <c r="M16" s="640">
        <v>4</v>
      </c>
      <c r="N16" s="641">
        <v>300.48</v>
      </c>
    </row>
    <row r="17" spans="1:14" ht="14.4" customHeight="1" x14ac:dyDescent="0.3">
      <c r="A17" s="636" t="s">
        <v>507</v>
      </c>
      <c r="B17" s="637" t="s">
        <v>509</v>
      </c>
      <c r="C17" s="638" t="s">
        <v>521</v>
      </c>
      <c r="D17" s="639" t="s">
        <v>522</v>
      </c>
      <c r="E17" s="638" t="s">
        <v>510</v>
      </c>
      <c r="F17" s="639" t="s">
        <v>511</v>
      </c>
      <c r="G17" s="638" t="s">
        <v>531</v>
      </c>
      <c r="H17" s="638" t="s">
        <v>575</v>
      </c>
      <c r="I17" s="638" t="s">
        <v>576</v>
      </c>
      <c r="J17" s="638" t="s">
        <v>577</v>
      </c>
      <c r="K17" s="638" t="s">
        <v>578</v>
      </c>
      <c r="L17" s="640">
        <v>44.969999999999985</v>
      </c>
      <c r="M17" s="640">
        <v>1</v>
      </c>
      <c r="N17" s="641">
        <v>44.969999999999985</v>
      </c>
    </row>
    <row r="18" spans="1:14" ht="14.4" customHeight="1" x14ac:dyDescent="0.3">
      <c r="A18" s="636" t="s">
        <v>507</v>
      </c>
      <c r="B18" s="637" t="s">
        <v>509</v>
      </c>
      <c r="C18" s="638" t="s">
        <v>521</v>
      </c>
      <c r="D18" s="639" t="s">
        <v>522</v>
      </c>
      <c r="E18" s="638" t="s">
        <v>510</v>
      </c>
      <c r="F18" s="639" t="s">
        <v>511</v>
      </c>
      <c r="G18" s="638" t="s">
        <v>531</v>
      </c>
      <c r="H18" s="638" t="s">
        <v>579</v>
      </c>
      <c r="I18" s="638" t="s">
        <v>580</v>
      </c>
      <c r="J18" s="638" t="s">
        <v>581</v>
      </c>
      <c r="K18" s="638" t="s">
        <v>582</v>
      </c>
      <c r="L18" s="640">
        <v>22.624999953154749</v>
      </c>
      <c r="M18" s="640">
        <v>2</v>
      </c>
      <c r="N18" s="641">
        <v>45.249999906309498</v>
      </c>
    </row>
    <row r="19" spans="1:14" ht="14.4" customHeight="1" x14ac:dyDescent="0.3">
      <c r="A19" s="636" t="s">
        <v>507</v>
      </c>
      <c r="B19" s="637" t="s">
        <v>509</v>
      </c>
      <c r="C19" s="638" t="s">
        <v>521</v>
      </c>
      <c r="D19" s="639" t="s">
        <v>522</v>
      </c>
      <c r="E19" s="638" t="s">
        <v>510</v>
      </c>
      <c r="F19" s="639" t="s">
        <v>511</v>
      </c>
      <c r="G19" s="638" t="s">
        <v>531</v>
      </c>
      <c r="H19" s="638" t="s">
        <v>583</v>
      </c>
      <c r="I19" s="638" t="s">
        <v>584</v>
      </c>
      <c r="J19" s="638" t="s">
        <v>585</v>
      </c>
      <c r="K19" s="638"/>
      <c r="L19" s="640">
        <v>100.30999999999997</v>
      </c>
      <c r="M19" s="640">
        <v>1</v>
      </c>
      <c r="N19" s="641">
        <v>100.30999999999997</v>
      </c>
    </row>
    <row r="20" spans="1:14" ht="14.4" customHeight="1" x14ac:dyDescent="0.3">
      <c r="A20" s="636" t="s">
        <v>507</v>
      </c>
      <c r="B20" s="637" t="s">
        <v>509</v>
      </c>
      <c r="C20" s="638" t="s">
        <v>521</v>
      </c>
      <c r="D20" s="639" t="s">
        <v>522</v>
      </c>
      <c r="E20" s="638" t="s">
        <v>510</v>
      </c>
      <c r="F20" s="639" t="s">
        <v>511</v>
      </c>
      <c r="G20" s="638" t="s">
        <v>531</v>
      </c>
      <c r="H20" s="638" t="s">
        <v>586</v>
      </c>
      <c r="I20" s="638" t="s">
        <v>587</v>
      </c>
      <c r="J20" s="638" t="s">
        <v>588</v>
      </c>
      <c r="K20" s="638" t="s">
        <v>589</v>
      </c>
      <c r="L20" s="640">
        <v>103.47</v>
      </c>
      <c r="M20" s="640">
        <v>2</v>
      </c>
      <c r="N20" s="641">
        <v>206.94</v>
      </c>
    </row>
    <row r="21" spans="1:14" ht="14.4" customHeight="1" x14ac:dyDescent="0.3">
      <c r="A21" s="636" t="s">
        <v>507</v>
      </c>
      <c r="B21" s="637" t="s">
        <v>509</v>
      </c>
      <c r="C21" s="638" t="s">
        <v>521</v>
      </c>
      <c r="D21" s="639" t="s">
        <v>522</v>
      </c>
      <c r="E21" s="638" t="s">
        <v>510</v>
      </c>
      <c r="F21" s="639" t="s">
        <v>511</v>
      </c>
      <c r="G21" s="638" t="s">
        <v>531</v>
      </c>
      <c r="H21" s="638" t="s">
        <v>590</v>
      </c>
      <c r="I21" s="638" t="s">
        <v>591</v>
      </c>
      <c r="J21" s="638" t="s">
        <v>592</v>
      </c>
      <c r="K21" s="638" t="s">
        <v>593</v>
      </c>
      <c r="L21" s="640">
        <v>87.83</v>
      </c>
      <c r="M21" s="640">
        <v>1</v>
      </c>
      <c r="N21" s="641">
        <v>87.83</v>
      </c>
    </row>
    <row r="22" spans="1:14" ht="14.4" customHeight="1" x14ac:dyDescent="0.3">
      <c r="A22" s="636" t="s">
        <v>507</v>
      </c>
      <c r="B22" s="637" t="s">
        <v>509</v>
      </c>
      <c r="C22" s="638" t="s">
        <v>521</v>
      </c>
      <c r="D22" s="639" t="s">
        <v>522</v>
      </c>
      <c r="E22" s="638" t="s">
        <v>510</v>
      </c>
      <c r="F22" s="639" t="s">
        <v>511</v>
      </c>
      <c r="G22" s="638" t="s">
        <v>531</v>
      </c>
      <c r="H22" s="638" t="s">
        <v>594</v>
      </c>
      <c r="I22" s="638" t="s">
        <v>595</v>
      </c>
      <c r="J22" s="638" t="s">
        <v>596</v>
      </c>
      <c r="K22" s="638" t="s">
        <v>597</v>
      </c>
      <c r="L22" s="640">
        <v>122.74973762721623</v>
      </c>
      <c r="M22" s="640">
        <v>2</v>
      </c>
      <c r="N22" s="641">
        <v>245.49947525443247</v>
      </c>
    </row>
    <row r="23" spans="1:14" ht="14.4" customHeight="1" x14ac:dyDescent="0.3">
      <c r="A23" s="636" t="s">
        <v>507</v>
      </c>
      <c r="B23" s="637" t="s">
        <v>509</v>
      </c>
      <c r="C23" s="638" t="s">
        <v>521</v>
      </c>
      <c r="D23" s="639" t="s">
        <v>522</v>
      </c>
      <c r="E23" s="638" t="s">
        <v>510</v>
      </c>
      <c r="F23" s="639" t="s">
        <v>511</v>
      </c>
      <c r="G23" s="638" t="s">
        <v>531</v>
      </c>
      <c r="H23" s="638" t="s">
        <v>598</v>
      </c>
      <c r="I23" s="638" t="s">
        <v>599</v>
      </c>
      <c r="J23" s="638" t="s">
        <v>600</v>
      </c>
      <c r="K23" s="638" t="s">
        <v>601</v>
      </c>
      <c r="L23" s="640">
        <v>91.569666269515977</v>
      </c>
      <c r="M23" s="640">
        <v>4</v>
      </c>
      <c r="N23" s="641">
        <v>366.27866507806391</v>
      </c>
    </row>
    <row r="24" spans="1:14" ht="14.4" customHeight="1" x14ac:dyDescent="0.3">
      <c r="A24" s="636" t="s">
        <v>507</v>
      </c>
      <c r="B24" s="637" t="s">
        <v>509</v>
      </c>
      <c r="C24" s="638" t="s">
        <v>521</v>
      </c>
      <c r="D24" s="639" t="s">
        <v>522</v>
      </c>
      <c r="E24" s="638" t="s">
        <v>510</v>
      </c>
      <c r="F24" s="639" t="s">
        <v>511</v>
      </c>
      <c r="G24" s="638" t="s">
        <v>531</v>
      </c>
      <c r="H24" s="638" t="s">
        <v>602</v>
      </c>
      <c r="I24" s="638" t="s">
        <v>603</v>
      </c>
      <c r="J24" s="638" t="s">
        <v>604</v>
      </c>
      <c r="K24" s="638" t="s">
        <v>605</v>
      </c>
      <c r="L24" s="640">
        <v>166.91</v>
      </c>
      <c r="M24" s="640">
        <v>1</v>
      </c>
      <c r="N24" s="641">
        <v>166.91</v>
      </c>
    </row>
    <row r="25" spans="1:14" ht="14.4" customHeight="1" x14ac:dyDescent="0.3">
      <c r="A25" s="636" t="s">
        <v>507</v>
      </c>
      <c r="B25" s="637" t="s">
        <v>509</v>
      </c>
      <c r="C25" s="638" t="s">
        <v>521</v>
      </c>
      <c r="D25" s="639" t="s">
        <v>522</v>
      </c>
      <c r="E25" s="638" t="s">
        <v>510</v>
      </c>
      <c r="F25" s="639" t="s">
        <v>511</v>
      </c>
      <c r="G25" s="638" t="s">
        <v>531</v>
      </c>
      <c r="H25" s="638" t="s">
        <v>606</v>
      </c>
      <c r="I25" s="638" t="s">
        <v>246</v>
      </c>
      <c r="J25" s="638" t="s">
        <v>607</v>
      </c>
      <c r="K25" s="638"/>
      <c r="L25" s="640">
        <v>97.32031205820374</v>
      </c>
      <c r="M25" s="640">
        <v>4</v>
      </c>
      <c r="N25" s="641">
        <v>389.28124823281496</v>
      </c>
    </row>
    <row r="26" spans="1:14" ht="14.4" customHeight="1" x14ac:dyDescent="0.3">
      <c r="A26" s="636" t="s">
        <v>507</v>
      </c>
      <c r="B26" s="637" t="s">
        <v>509</v>
      </c>
      <c r="C26" s="638" t="s">
        <v>521</v>
      </c>
      <c r="D26" s="639" t="s">
        <v>522</v>
      </c>
      <c r="E26" s="638" t="s">
        <v>510</v>
      </c>
      <c r="F26" s="639" t="s">
        <v>511</v>
      </c>
      <c r="G26" s="638" t="s">
        <v>531</v>
      </c>
      <c r="H26" s="638" t="s">
        <v>608</v>
      </c>
      <c r="I26" s="638" t="s">
        <v>246</v>
      </c>
      <c r="J26" s="638" t="s">
        <v>609</v>
      </c>
      <c r="K26" s="638"/>
      <c r="L26" s="640">
        <v>22.55</v>
      </c>
      <c r="M26" s="640">
        <v>5</v>
      </c>
      <c r="N26" s="641">
        <v>112.75</v>
      </c>
    </row>
    <row r="27" spans="1:14" ht="14.4" customHeight="1" x14ac:dyDescent="0.3">
      <c r="A27" s="636" t="s">
        <v>507</v>
      </c>
      <c r="B27" s="637" t="s">
        <v>509</v>
      </c>
      <c r="C27" s="638" t="s">
        <v>521</v>
      </c>
      <c r="D27" s="639" t="s">
        <v>522</v>
      </c>
      <c r="E27" s="638" t="s">
        <v>510</v>
      </c>
      <c r="F27" s="639" t="s">
        <v>511</v>
      </c>
      <c r="G27" s="638" t="s">
        <v>531</v>
      </c>
      <c r="H27" s="638" t="s">
        <v>610</v>
      </c>
      <c r="I27" s="638" t="s">
        <v>611</v>
      </c>
      <c r="J27" s="638" t="s">
        <v>612</v>
      </c>
      <c r="K27" s="638" t="s">
        <v>613</v>
      </c>
      <c r="L27" s="640">
        <v>70.219797387664173</v>
      </c>
      <c r="M27" s="640">
        <v>2</v>
      </c>
      <c r="N27" s="641">
        <v>140.43959477532835</v>
      </c>
    </row>
    <row r="28" spans="1:14" ht="14.4" customHeight="1" x14ac:dyDescent="0.3">
      <c r="A28" s="636" t="s">
        <v>507</v>
      </c>
      <c r="B28" s="637" t="s">
        <v>509</v>
      </c>
      <c r="C28" s="638" t="s">
        <v>521</v>
      </c>
      <c r="D28" s="639" t="s">
        <v>522</v>
      </c>
      <c r="E28" s="638" t="s">
        <v>510</v>
      </c>
      <c r="F28" s="639" t="s">
        <v>511</v>
      </c>
      <c r="G28" s="638" t="s">
        <v>531</v>
      </c>
      <c r="H28" s="638" t="s">
        <v>614</v>
      </c>
      <c r="I28" s="638" t="s">
        <v>615</v>
      </c>
      <c r="J28" s="638" t="s">
        <v>616</v>
      </c>
      <c r="K28" s="638" t="s">
        <v>617</v>
      </c>
      <c r="L28" s="640">
        <v>42.419999999999995</v>
      </c>
      <c r="M28" s="640">
        <v>1</v>
      </c>
      <c r="N28" s="641">
        <v>42.419999999999995</v>
      </c>
    </row>
    <row r="29" spans="1:14" ht="14.4" customHeight="1" x14ac:dyDescent="0.3">
      <c r="A29" s="636" t="s">
        <v>507</v>
      </c>
      <c r="B29" s="637" t="s">
        <v>509</v>
      </c>
      <c r="C29" s="638" t="s">
        <v>521</v>
      </c>
      <c r="D29" s="639" t="s">
        <v>522</v>
      </c>
      <c r="E29" s="638" t="s">
        <v>510</v>
      </c>
      <c r="F29" s="639" t="s">
        <v>511</v>
      </c>
      <c r="G29" s="638" t="s">
        <v>531</v>
      </c>
      <c r="H29" s="638" t="s">
        <v>618</v>
      </c>
      <c r="I29" s="638" t="s">
        <v>619</v>
      </c>
      <c r="J29" s="638" t="s">
        <v>620</v>
      </c>
      <c r="K29" s="638" t="s">
        <v>621</v>
      </c>
      <c r="L29" s="640">
        <v>19.079999999999998</v>
      </c>
      <c r="M29" s="640">
        <v>3</v>
      </c>
      <c r="N29" s="641">
        <v>57.239999999999995</v>
      </c>
    </row>
    <row r="30" spans="1:14" ht="14.4" customHeight="1" x14ac:dyDescent="0.3">
      <c r="A30" s="636" t="s">
        <v>507</v>
      </c>
      <c r="B30" s="637" t="s">
        <v>509</v>
      </c>
      <c r="C30" s="638" t="s">
        <v>521</v>
      </c>
      <c r="D30" s="639" t="s">
        <v>522</v>
      </c>
      <c r="E30" s="638" t="s">
        <v>510</v>
      </c>
      <c r="F30" s="639" t="s">
        <v>511</v>
      </c>
      <c r="G30" s="638" t="s">
        <v>531</v>
      </c>
      <c r="H30" s="638" t="s">
        <v>622</v>
      </c>
      <c r="I30" s="638" t="s">
        <v>623</v>
      </c>
      <c r="J30" s="638" t="s">
        <v>620</v>
      </c>
      <c r="K30" s="638" t="s">
        <v>624</v>
      </c>
      <c r="L30" s="640">
        <v>28.2199511098176</v>
      </c>
      <c r="M30" s="640">
        <v>2</v>
      </c>
      <c r="N30" s="641">
        <v>56.439902219635201</v>
      </c>
    </row>
    <row r="31" spans="1:14" ht="14.4" customHeight="1" x14ac:dyDescent="0.3">
      <c r="A31" s="636" t="s">
        <v>507</v>
      </c>
      <c r="B31" s="637" t="s">
        <v>509</v>
      </c>
      <c r="C31" s="638" t="s">
        <v>521</v>
      </c>
      <c r="D31" s="639" t="s">
        <v>522</v>
      </c>
      <c r="E31" s="638" t="s">
        <v>510</v>
      </c>
      <c r="F31" s="639" t="s">
        <v>511</v>
      </c>
      <c r="G31" s="638" t="s">
        <v>531</v>
      </c>
      <c r="H31" s="638" t="s">
        <v>625</v>
      </c>
      <c r="I31" s="638" t="s">
        <v>626</v>
      </c>
      <c r="J31" s="638" t="s">
        <v>627</v>
      </c>
      <c r="K31" s="638" t="s">
        <v>628</v>
      </c>
      <c r="L31" s="640">
        <v>69.66</v>
      </c>
      <c r="M31" s="640">
        <v>1</v>
      </c>
      <c r="N31" s="641">
        <v>69.66</v>
      </c>
    </row>
    <row r="32" spans="1:14" ht="14.4" customHeight="1" x14ac:dyDescent="0.3">
      <c r="A32" s="636" t="s">
        <v>507</v>
      </c>
      <c r="B32" s="637" t="s">
        <v>509</v>
      </c>
      <c r="C32" s="638" t="s">
        <v>521</v>
      </c>
      <c r="D32" s="639" t="s">
        <v>522</v>
      </c>
      <c r="E32" s="638" t="s">
        <v>510</v>
      </c>
      <c r="F32" s="639" t="s">
        <v>511</v>
      </c>
      <c r="G32" s="638" t="s">
        <v>531</v>
      </c>
      <c r="H32" s="638" t="s">
        <v>629</v>
      </c>
      <c r="I32" s="638" t="s">
        <v>630</v>
      </c>
      <c r="J32" s="638" t="s">
        <v>631</v>
      </c>
      <c r="K32" s="638" t="s">
        <v>632</v>
      </c>
      <c r="L32" s="640">
        <v>91.75</v>
      </c>
      <c r="M32" s="640">
        <v>1</v>
      </c>
      <c r="N32" s="641">
        <v>91.75</v>
      </c>
    </row>
    <row r="33" spans="1:14" ht="14.4" customHeight="1" x14ac:dyDescent="0.3">
      <c r="A33" s="636" t="s">
        <v>507</v>
      </c>
      <c r="B33" s="637" t="s">
        <v>509</v>
      </c>
      <c r="C33" s="638" t="s">
        <v>521</v>
      </c>
      <c r="D33" s="639" t="s">
        <v>522</v>
      </c>
      <c r="E33" s="638" t="s">
        <v>510</v>
      </c>
      <c r="F33" s="639" t="s">
        <v>511</v>
      </c>
      <c r="G33" s="638" t="s">
        <v>531</v>
      </c>
      <c r="H33" s="638" t="s">
        <v>633</v>
      </c>
      <c r="I33" s="638" t="s">
        <v>634</v>
      </c>
      <c r="J33" s="638" t="s">
        <v>581</v>
      </c>
      <c r="K33" s="638" t="s">
        <v>635</v>
      </c>
      <c r="L33" s="640">
        <v>60.35</v>
      </c>
      <c r="M33" s="640">
        <v>1</v>
      </c>
      <c r="N33" s="641">
        <v>60.35</v>
      </c>
    </row>
    <row r="34" spans="1:14" ht="14.4" customHeight="1" x14ac:dyDescent="0.3">
      <c r="A34" s="636" t="s">
        <v>507</v>
      </c>
      <c r="B34" s="637" t="s">
        <v>509</v>
      </c>
      <c r="C34" s="638" t="s">
        <v>521</v>
      </c>
      <c r="D34" s="639" t="s">
        <v>522</v>
      </c>
      <c r="E34" s="638" t="s">
        <v>510</v>
      </c>
      <c r="F34" s="639" t="s">
        <v>511</v>
      </c>
      <c r="G34" s="638" t="s">
        <v>531</v>
      </c>
      <c r="H34" s="638" t="s">
        <v>636</v>
      </c>
      <c r="I34" s="638" t="s">
        <v>637</v>
      </c>
      <c r="J34" s="638" t="s">
        <v>638</v>
      </c>
      <c r="K34" s="638" t="s">
        <v>639</v>
      </c>
      <c r="L34" s="640">
        <v>54.650000000000013</v>
      </c>
      <c r="M34" s="640">
        <v>2</v>
      </c>
      <c r="N34" s="641">
        <v>109.30000000000003</v>
      </c>
    </row>
    <row r="35" spans="1:14" ht="14.4" customHeight="1" x14ac:dyDescent="0.3">
      <c r="A35" s="636" t="s">
        <v>507</v>
      </c>
      <c r="B35" s="637" t="s">
        <v>509</v>
      </c>
      <c r="C35" s="638" t="s">
        <v>521</v>
      </c>
      <c r="D35" s="639" t="s">
        <v>522</v>
      </c>
      <c r="E35" s="638" t="s">
        <v>510</v>
      </c>
      <c r="F35" s="639" t="s">
        <v>511</v>
      </c>
      <c r="G35" s="638" t="s">
        <v>531</v>
      </c>
      <c r="H35" s="638" t="s">
        <v>640</v>
      </c>
      <c r="I35" s="638" t="s">
        <v>246</v>
      </c>
      <c r="J35" s="638" t="s">
        <v>641</v>
      </c>
      <c r="K35" s="638"/>
      <c r="L35" s="640">
        <v>199.35</v>
      </c>
      <c r="M35" s="640">
        <v>1</v>
      </c>
      <c r="N35" s="641">
        <v>199.35</v>
      </c>
    </row>
    <row r="36" spans="1:14" ht="14.4" customHeight="1" x14ac:dyDescent="0.3">
      <c r="A36" s="636" t="s">
        <v>507</v>
      </c>
      <c r="B36" s="637" t="s">
        <v>509</v>
      </c>
      <c r="C36" s="638" t="s">
        <v>521</v>
      </c>
      <c r="D36" s="639" t="s">
        <v>522</v>
      </c>
      <c r="E36" s="638" t="s">
        <v>510</v>
      </c>
      <c r="F36" s="639" t="s">
        <v>511</v>
      </c>
      <c r="G36" s="638" t="s">
        <v>531</v>
      </c>
      <c r="H36" s="638" t="s">
        <v>642</v>
      </c>
      <c r="I36" s="638" t="s">
        <v>643</v>
      </c>
      <c r="J36" s="638" t="s">
        <v>644</v>
      </c>
      <c r="K36" s="638" t="s">
        <v>555</v>
      </c>
      <c r="L36" s="640">
        <v>41.87</v>
      </c>
      <c r="M36" s="640">
        <v>3</v>
      </c>
      <c r="N36" s="641">
        <v>125.60999999999999</v>
      </c>
    </row>
    <row r="37" spans="1:14" ht="14.4" customHeight="1" x14ac:dyDescent="0.3">
      <c r="A37" s="636" t="s">
        <v>507</v>
      </c>
      <c r="B37" s="637" t="s">
        <v>509</v>
      </c>
      <c r="C37" s="638" t="s">
        <v>521</v>
      </c>
      <c r="D37" s="639" t="s">
        <v>522</v>
      </c>
      <c r="E37" s="638" t="s">
        <v>510</v>
      </c>
      <c r="F37" s="639" t="s">
        <v>511</v>
      </c>
      <c r="G37" s="638" t="s">
        <v>531</v>
      </c>
      <c r="H37" s="638" t="s">
        <v>645</v>
      </c>
      <c r="I37" s="638" t="s">
        <v>646</v>
      </c>
      <c r="J37" s="638" t="s">
        <v>647</v>
      </c>
      <c r="K37" s="638" t="s">
        <v>648</v>
      </c>
      <c r="L37" s="640">
        <v>107.5299343312297</v>
      </c>
      <c r="M37" s="640">
        <v>14</v>
      </c>
      <c r="N37" s="641">
        <v>1505.4190806372158</v>
      </c>
    </row>
    <row r="38" spans="1:14" ht="14.4" customHeight="1" x14ac:dyDescent="0.3">
      <c r="A38" s="636" t="s">
        <v>507</v>
      </c>
      <c r="B38" s="637" t="s">
        <v>509</v>
      </c>
      <c r="C38" s="638" t="s">
        <v>521</v>
      </c>
      <c r="D38" s="639" t="s">
        <v>522</v>
      </c>
      <c r="E38" s="638" t="s">
        <v>510</v>
      </c>
      <c r="F38" s="639" t="s">
        <v>511</v>
      </c>
      <c r="G38" s="638" t="s">
        <v>531</v>
      </c>
      <c r="H38" s="638" t="s">
        <v>649</v>
      </c>
      <c r="I38" s="638" t="s">
        <v>246</v>
      </c>
      <c r="J38" s="638" t="s">
        <v>650</v>
      </c>
      <c r="K38" s="638"/>
      <c r="L38" s="640">
        <v>102.63389643181792</v>
      </c>
      <c r="M38" s="640">
        <v>1</v>
      </c>
      <c r="N38" s="641">
        <v>102.63389643181792</v>
      </c>
    </row>
    <row r="39" spans="1:14" ht="14.4" customHeight="1" x14ac:dyDescent="0.3">
      <c r="A39" s="636" t="s">
        <v>507</v>
      </c>
      <c r="B39" s="637" t="s">
        <v>509</v>
      </c>
      <c r="C39" s="638" t="s">
        <v>521</v>
      </c>
      <c r="D39" s="639" t="s">
        <v>522</v>
      </c>
      <c r="E39" s="638" t="s">
        <v>510</v>
      </c>
      <c r="F39" s="639" t="s">
        <v>511</v>
      </c>
      <c r="G39" s="638" t="s">
        <v>531</v>
      </c>
      <c r="H39" s="638" t="s">
        <v>651</v>
      </c>
      <c r="I39" s="638" t="s">
        <v>246</v>
      </c>
      <c r="J39" s="638" t="s">
        <v>652</v>
      </c>
      <c r="K39" s="638" t="s">
        <v>653</v>
      </c>
      <c r="L39" s="640">
        <v>23.7</v>
      </c>
      <c r="M39" s="640">
        <v>24</v>
      </c>
      <c r="N39" s="641">
        <v>568.79999999999995</v>
      </c>
    </row>
    <row r="40" spans="1:14" ht="14.4" customHeight="1" x14ac:dyDescent="0.3">
      <c r="A40" s="636" t="s">
        <v>507</v>
      </c>
      <c r="B40" s="637" t="s">
        <v>509</v>
      </c>
      <c r="C40" s="638" t="s">
        <v>521</v>
      </c>
      <c r="D40" s="639" t="s">
        <v>522</v>
      </c>
      <c r="E40" s="638" t="s">
        <v>510</v>
      </c>
      <c r="F40" s="639" t="s">
        <v>511</v>
      </c>
      <c r="G40" s="638" t="s">
        <v>531</v>
      </c>
      <c r="H40" s="638" t="s">
        <v>654</v>
      </c>
      <c r="I40" s="638" t="s">
        <v>246</v>
      </c>
      <c r="J40" s="638" t="s">
        <v>655</v>
      </c>
      <c r="K40" s="638" t="s">
        <v>653</v>
      </c>
      <c r="L40" s="640">
        <v>24.037194261613497</v>
      </c>
      <c r="M40" s="640">
        <v>6</v>
      </c>
      <c r="N40" s="641">
        <v>144.22316556968099</v>
      </c>
    </row>
    <row r="41" spans="1:14" ht="14.4" customHeight="1" x14ac:dyDescent="0.3">
      <c r="A41" s="636" t="s">
        <v>507</v>
      </c>
      <c r="B41" s="637" t="s">
        <v>509</v>
      </c>
      <c r="C41" s="638" t="s">
        <v>521</v>
      </c>
      <c r="D41" s="639" t="s">
        <v>522</v>
      </c>
      <c r="E41" s="638" t="s">
        <v>510</v>
      </c>
      <c r="F41" s="639" t="s">
        <v>511</v>
      </c>
      <c r="G41" s="638" t="s">
        <v>531</v>
      </c>
      <c r="H41" s="638" t="s">
        <v>656</v>
      </c>
      <c r="I41" s="638" t="s">
        <v>657</v>
      </c>
      <c r="J41" s="638" t="s">
        <v>658</v>
      </c>
      <c r="K41" s="638" t="s">
        <v>659</v>
      </c>
      <c r="L41" s="640">
        <v>38.94</v>
      </c>
      <c r="M41" s="640">
        <v>2</v>
      </c>
      <c r="N41" s="641">
        <v>77.88</v>
      </c>
    </row>
    <row r="42" spans="1:14" ht="14.4" customHeight="1" x14ac:dyDescent="0.3">
      <c r="A42" s="636" t="s">
        <v>507</v>
      </c>
      <c r="B42" s="637" t="s">
        <v>509</v>
      </c>
      <c r="C42" s="638" t="s">
        <v>521</v>
      </c>
      <c r="D42" s="639" t="s">
        <v>522</v>
      </c>
      <c r="E42" s="638" t="s">
        <v>510</v>
      </c>
      <c r="F42" s="639" t="s">
        <v>511</v>
      </c>
      <c r="G42" s="638" t="s">
        <v>531</v>
      </c>
      <c r="H42" s="638" t="s">
        <v>660</v>
      </c>
      <c r="I42" s="638" t="s">
        <v>246</v>
      </c>
      <c r="J42" s="638" t="s">
        <v>661</v>
      </c>
      <c r="K42" s="638"/>
      <c r="L42" s="640">
        <v>50.552</v>
      </c>
      <c r="M42" s="640">
        <v>1</v>
      </c>
      <c r="N42" s="641">
        <v>50.552</v>
      </c>
    </row>
    <row r="43" spans="1:14" ht="14.4" customHeight="1" x14ac:dyDescent="0.3">
      <c r="A43" s="636" t="s">
        <v>507</v>
      </c>
      <c r="B43" s="637" t="s">
        <v>509</v>
      </c>
      <c r="C43" s="638" t="s">
        <v>521</v>
      </c>
      <c r="D43" s="639" t="s">
        <v>522</v>
      </c>
      <c r="E43" s="638" t="s">
        <v>510</v>
      </c>
      <c r="F43" s="639" t="s">
        <v>511</v>
      </c>
      <c r="G43" s="638" t="s">
        <v>531</v>
      </c>
      <c r="H43" s="638" t="s">
        <v>662</v>
      </c>
      <c r="I43" s="638" t="s">
        <v>663</v>
      </c>
      <c r="J43" s="638" t="s">
        <v>664</v>
      </c>
      <c r="K43" s="638" t="s">
        <v>665</v>
      </c>
      <c r="L43" s="640">
        <v>44.88000000000001</v>
      </c>
      <c r="M43" s="640">
        <v>8</v>
      </c>
      <c r="N43" s="641">
        <v>359.04000000000008</v>
      </c>
    </row>
    <row r="44" spans="1:14" ht="14.4" customHeight="1" x14ac:dyDescent="0.3">
      <c r="A44" s="636" t="s">
        <v>507</v>
      </c>
      <c r="B44" s="637" t="s">
        <v>509</v>
      </c>
      <c r="C44" s="638" t="s">
        <v>521</v>
      </c>
      <c r="D44" s="639" t="s">
        <v>522</v>
      </c>
      <c r="E44" s="638" t="s">
        <v>510</v>
      </c>
      <c r="F44" s="639" t="s">
        <v>511</v>
      </c>
      <c r="G44" s="638" t="s">
        <v>531</v>
      </c>
      <c r="H44" s="638" t="s">
        <v>666</v>
      </c>
      <c r="I44" s="638" t="s">
        <v>667</v>
      </c>
      <c r="J44" s="638" t="s">
        <v>668</v>
      </c>
      <c r="K44" s="638" t="s">
        <v>669</v>
      </c>
      <c r="L44" s="640">
        <v>101.89</v>
      </c>
      <c r="M44" s="640">
        <v>5</v>
      </c>
      <c r="N44" s="641">
        <v>509.45</v>
      </c>
    </row>
    <row r="45" spans="1:14" ht="14.4" customHeight="1" x14ac:dyDescent="0.3">
      <c r="A45" s="636" t="s">
        <v>507</v>
      </c>
      <c r="B45" s="637" t="s">
        <v>509</v>
      </c>
      <c r="C45" s="638" t="s">
        <v>521</v>
      </c>
      <c r="D45" s="639" t="s">
        <v>522</v>
      </c>
      <c r="E45" s="638" t="s">
        <v>510</v>
      </c>
      <c r="F45" s="639" t="s">
        <v>511</v>
      </c>
      <c r="G45" s="638" t="s">
        <v>531</v>
      </c>
      <c r="H45" s="638" t="s">
        <v>670</v>
      </c>
      <c r="I45" s="638" t="s">
        <v>671</v>
      </c>
      <c r="J45" s="638" t="s">
        <v>672</v>
      </c>
      <c r="K45" s="638" t="s">
        <v>673</v>
      </c>
      <c r="L45" s="640">
        <v>88.419999999999959</v>
      </c>
      <c r="M45" s="640">
        <v>1</v>
      </c>
      <c r="N45" s="641">
        <v>88.419999999999959</v>
      </c>
    </row>
    <row r="46" spans="1:14" ht="14.4" customHeight="1" x14ac:dyDescent="0.3">
      <c r="A46" s="636" t="s">
        <v>507</v>
      </c>
      <c r="B46" s="637" t="s">
        <v>509</v>
      </c>
      <c r="C46" s="638" t="s">
        <v>521</v>
      </c>
      <c r="D46" s="639" t="s">
        <v>522</v>
      </c>
      <c r="E46" s="638" t="s">
        <v>510</v>
      </c>
      <c r="F46" s="639" t="s">
        <v>511</v>
      </c>
      <c r="G46" s="638" t="s">
        <v>531</v>
      </c>
      <c r="H46" s="638" t="s">
        <v>674</v>
      </c>
      <c r="I46" s="638" t="s">
        <v>675</v>
      </c>
      <c r="J46" s="638" t="s">
        <v>676</v>
      </c>
      <c r="K46" s="638" t="s">
        <v>677</v>
      </c>
      <c r="L46" s="640">
        <v>339.9399366505574</v>
      </c>
      <c r="M46" s="640">
        <v>3</v>
      </c>
      <c r="N46" s="641">
        <v>1019.8198099516721</v>
      </c>
    </row>
    <row r="47" spans="1:14" ht="14.4" customHeight="1" x14ac:dyDescent="0.3">
      <c r="A47" s="636" t="s">
        <v>507</v>
      </c>
      <c r="B47" s="637" t="s">
        <v>509</v>
      </c>
      <c r="C47" s="638" t="s">
        <v>521</v>
      </c>
      <c r="D47" s="639" t="s">
        <v>522</v>
      </c>
      <c r="E47" s="638" t="s">
        <v>510</v>
      </c>
      <c r="F47" s="639" t="s">
        <v>511</v>
      </c>
      <c r="G47" s="638" t="s">
        <v>531</v>
      </c>
      <c r="H47" s="638" t="s">
        <v>678</v>
      </c>
      <c r="I47" s="638" t="s">
        <v>246</v>
      </c>
      <c r="J47" s="638" t="s">
        <v>679</v>
      </c>
      <c r="K47" s="638"/>
      <c r="L47" s="640">
        <v>264.47710627246801</v>
      </c>
      <c r="M47" s="640">
        <v>1</v>
      </c>
      <c r="N47" s="641">
        <v>264.47710627246801</v>
      </c>
    </row>
    <row r="48" spans="1:14" ht="14.4" customHeight="1" x14ac:dyDescent="0.3">
      <c r="A48" s="636" t="s">
        <v>507</v>
      </c>
      <c r="B48" s="637" t="s">
        <v>509</v>
      </c>
      <c r="C48" s="638" t="s">
        <v>521</v>
      </c>
      <c r="D48" s="639" t="s">
        <v>522</v>
      </c>
      <c r="E48" s="638" t="s">
        <v>510</v>
      </c>
      <c r="F48" s="639" t="s">
        <v>511</v>
      </c>
      <c r="G48" s="638" t="s">
        <v>531</v>
      </c>
      <c r="H48" s="638" t="s">
        <v>680</v>
      </c>
      <c r="I48" s="638" t="s">
        <v>246</v>
      </c>
      <c r="J48" s="638" t="s">
        <v>681</v>
      </c>
      <c r="K48" s="638"/>
      <c r="L48" s="640">
        <v>170.03175674443401</v>
      </c>
      <c r="M48" s="640">
        <v>1</v>
      </c>
      <c r="N48" s="641">
        <v>170.03175674443401</v>
      </c>
    </row>
    <row r="49" spans="1:14" ht="14.4" customHeight="1" x14ac:dyDescent="0.3">
      <c r="A49" s="636" t="s">
        <v>507</v>
      </c>
      <c r="B49" s="637" t="s">
        <v>509</v>
      </c>
      <c r="C49" s="638" t="s">
        <v>521</v>
      </c>
      <c r="D49" s="639" t="s">
        <v>522</v>
      </c>
      <c r="E49" s="638" t="s">
        <v>510</v>
      </c>
      <c r="F49" s="639" t="s">
        <v>511</v>
      </c>
      <c r="G49" s="638" t="s">
        <v>531</v>
      </c>
      <c r="H49" s="638" t="s">
        <v>682</v>
      </c>
      <c r="I49" s="638" t="s">
        <v>683</v>
      </c>
      <c r="J49" s="638" t="s">
        <v>684</v>
      </c>
      <c r="K49" s="638" t="s">
        <v>685</v>
      </c>
      <c r="L49" s="640">
        <v>50.15</v>
      </c>
      <c r="M49" s="640">
        <v>3</v>
      </c>
      <c r="N49" s="641">
        <v>150.44999999999999</v>
      </c>
    </row>
    <row r="50" spans="1:14" ht="14.4" customHeight="1" x14ac:dyDescent="0.3">
      <c r="A50" s="636" t="s">
        <v>507</v>
      </c>
      <c r="B50" s="637" t="s">
        <v>509</v>
      </c>
      <c r="C50" s="638" t="s">
        <v>521</v>
      </c>
      <c r="D50" s="639" t="s">
        <v>522</v>
      </c>
      <c r="E50" s="638" t="s">
        <v>510</v>
      </c>
      <c r="F50" s="639" t="s">
        <v>511</v>
      </c>
      <c r="G50" s="638" t="s">
        <v>531</v>
      </c>
      <c r="H50" s="638" t="s">
        <v>686</v>
      </c>
      <c r="I50" s="638" t="s">
        <v>687</v>
      </c>
      <c r="J50" s="638" t="s">
        <v>688</v>
      </c>
      <c r="K50" s="638" t="s">
        <v>689</v>
      </c>
      <c r="L50" s="640">
        <v>73.841599999999801</v>
      </c>
      <c r="M50" s="640">
        <v>2</v>
      </c>
      <c r="N50" s="641">
        <v>147.6831999999996</v>
      </c>
    </row>
    <row r="51" spans="1:14" ht="14.4" customHeight="1" x14ac:dyDescent="0.3">
      <c r="A51" s="636" t="s">
        <v>507</v>
      </c>
      <c r="B51" s="637" t="s">
        <v>509</v>
      </c>
      <c r="C51" s="638" t="s">
        <v>521</v>
      </c>
      <c r="D51" s="639" t="s">
        <v>522</v>
      </c>
      <c r="E51" s="638" t="s">
        <v>510</v>
      </c>
      <c r="F51" s="639" t="s">
        <v>511</v>
      </c>
      <c r="G51" s="638" t="s">
        <v>531</v>
      </c>
      <c r="H51" s="638" t="s">
        <v>690</v>
      </c>
      <c r="I51" s="638" t="s">
        <v>691</v>
      </c>
      <c r="J51" s="638" t="s">
        <v>692</v>
      </c>
      <c r="K51" s="638"/>
      <c r="L51" s="640">
        <v>177.5</v>
      </c>
      <c r="M51" s="640">
        <v>1</v>
      </c>
      <c r="N51" s="641">
        <v>177.5</v>
      </c>
    </row>
    <row r="52" spans="1:14" ht="14.4" customHeight="1" x14ac:dyDescent="0.3">
      <c r="A52" s="636" t="s">
        <v>507</v>
      </c>
      <c r="B52" s="637" t="s">
        <v>509</v>
      </c>
      <c r="C52" s="638" t="s">
        <v>521</v>
      </c>
      <c r="D52" s="639" t="s">
        <v>522</v>
      </c>
      <c r="E52" s="638" t="s">
        <v>510</v>
      </c>
      <c r="F52" s="639" t="s">
        <v>511</v>
      </c>
      <c r="G52" s="638" t="s">
        <v>531</v>
      </c>
      <c r="H52" s="638" t="s">
        <v>693</v>
      </c>
      <c r="I52" s="638" t="s">
        <v>246</v>
      </c>
      <c r="J52" s="638" t="s">
        <v>694</v>
      </c>
      <c r="K52" s="638"/>
      <c r="L52" s="640">
        <v>110.89628691860202</v>
      </c>
      <c r="M52" s="640">
        <v>1</v>
      </c>
      <c r="N52" s="641">
        <v>110.89628691860202</v>
      </c>
    </row>
    <row r="53" spans="1:14" ht="14.4" customHeight="1" x14ac:dyDescent="0.3">
      <c r="A53" s="636" t="s">
        <v>507</v>
      </c>
      <c r="B53" s="637" t="s">
        <v>509</v>
      </c>
      <c r="C53" s="638" t="s">
        <v>521</v>
      </c>
      <c r="D53" s="639" t="s">
        <v>522</v>
      </c>
      <c r="E53" s="638" t="s">
        <v>510</v>
      </c>
      <c r="F53" s="639" t="s">
        <v>511</v>
      </c>
      <c r="G53" s="638" t="s">
        <v>531</v>
      </c>
      <c r="H53" s="638" t="s">
        <v>695</v>
      </c>
      <c r="I53" s="638" t="s">
        <v>246</v>
      </c>
      <c r="J53" s="638" t="s">
        <v>696</v>
      </c>
      <c r="K53" s="638"/>
      <c r="L53" s="640">
        <v>38.7106716763207</v>
      </c>
      <c r="M53" s="640">
        <v>1</v>
      </c>
      <c r="N53" s="641">
        <v>38.7106716763207</v>
      </c>
    </row>
    <row r="54" spans="1:14" ht="14.4" customHeight="1" x14ac:dyDescent="0.3">
      <c r="A54" s="636" t="s">
        <v>507</v>
      </c>
      <c r="B54" s="637" t="s">
        <v>509</v>
      </c>
      <c r="C54" s="638" t="s">
        <v>521</v>
      </c>
      <c r="D54" s="639" t="s">
        <v>522</v>
      </c>
      <c r="E54" s="638" t="s">
        <v>510</v>
      </c>
      <c r="F54" s="639" t="s">
        <v>511</v>
      </c>
      <c r="G54" s="638" t="s">
        <v>531</v>
      </c>
      <c r="H54" s="638" t="s">
        <v>697</v>
      </c>
      <c r="I54" s="638" t="s">
        <v>246</v>
      </c>
      <c r="J54" s="638" t="s">
        <v>698</v>
      </c>
      <c r="K54" s="638"/>
      <c r="L54" s="640">
        <v>83.06203900667758</v>
      </c>
      <c r="M54" s="640">
        <v>2</v>
      </c>
      <c r="N54" s="641">
        <v>166.12407801335516</v>
      </c>
    </row>
    <row r="55" spans="1:14" ht="14.4" customHeight="1" x14ac:dyDescent="0.3">
      <c r="A55" s="636" t="s">
        <v>507</v>
      </c>
      <c r="B55" s="637" t="s">
        <v>509</v>
      </c>
      <c r="C55" s="638" t="s">
        <v>521</v>
      </c>
      <c r="D55" s="639" t="s">
        <v>522</v>
      </c>
      <c r="E55" s="638" t="s">
        <v>510</v>
      </c>
      <c r="F55" s="639" t="s">
        <v>511</v>
      </c>
      <c r="G55" s="638" t="s">
        <v>531</v>
      </c>
      <c r="H55" s="638" t="s">
        <v>699</v>
      </c>
      <c r="I55" s="638" t="s">
        <v>246</v>
      </c>
      <c r="J55" s="638" t="s">
        <v>700</v>
      </c>
      <c r="K55" s="638" t="s">
        <v>701</v>
      </c>
      <c r="L55" s="640">
        <v>147.5628946595146</v>
      </c>
      <c r="M55" s="640">
        <v>5</v>
      </c>
      <c r="N55" s="641">
        <v>737.81447329757304</v>
      </c>
    </row>
    <row r="56" spans="1:14" ht="14.4" customHeight="1" x14ac:dyDescent="0.3">
      <c r="A56" s="636" t="s">
        <v>507</v>
      </c>
      <c r="B56" s="637" t="s">
        <v>509</v>
      </c>
      <c r="C56" s="638" t="s">
        <v>521</v>
      </c>
      <c r="D56" s="639" t="s">
        <v>522</v>
      </c>
      <c r="E56" s="638" t="s">
        <v>510</v>
      </c>
      <c r="F56" s="639" t="s">
        <v>511</v>
      </c>
      <c r="G56" s="638" t="s">
        <v>531</v>
      </c>
      <c r="H56" s="638" t="s">
        <v>702</v>
      </c>
      <c r="I56" s="638" t="s">
        <v>703</v>
      </c>
      <c r="J56" s="638" t="s">
        <v>573</v>
      </c>
      <c r="K56" s="638" t="s">
        <v>704</v>
      </c>
      <c r="L56" s="640">
        <v>135.88203205089525</v>
      </c>
      <c r="M56" s="640">
        <v>10</v>
      </c>
      <c r="N56" s="641">
        <v>1358.8203205089526</v>
      </c>
    </row>
    <row r="57" spans="1:14" ht="14.4" customHeight="1" x14ac:dyDescent="0.3">
      <c r="A57" s="636" t="s">
        <v>507</v>
      </c>
      <c r="B57" s="637" t="s">
        <v>509</v>
      </c>
      <c r="C57" s="638" t="s">
        <v>521</v>
      </c>
      <c r="D57" s="639" t="s">
        <v>522</v>
      </c>
      <c r="E57" s="638" t="s">
        <v>510</v>
      </c>
      <c r="F57" s="639" t="s">
        <v>511</v>
      </c>
      <c r="G57" s="638" t="s">
        <v>531</v>
      </c>
      <c r="H57" s="638" t="s">
        <v>705</v>
      </c>
      <c r="I57" s="638" t="s">
        <v>706</v>
      </c>
      <c r="J57" s="638" t="s">
        <v>707</v>
      </c>
      <c r="K57" s="638" t="s">
        <v>708</v>
      </c>
      <c r="L57" s="640">
        <v>31.09</v>
      </c>
      <c r="M57" s="640">
        <v>12</v>
      </c>
      <c r="N57" s="641">
        <v>373.08</v>
      </c>
    </row>
    <row r="58" spans="1:14" ht="14.4" customHeight="1" x14ac:dyDescent="0.3">
      <c r="A58" s="636" t="s">
        <v>507</v>
      </c>
      <c r="B58" s="637" t="s">
        <v>509</v>
      </c>
      <c r="C58" s="638" t="s">
        <v>521</v>
      </c>
      <c r="D58" s="639" t="s">
        <v>522</v>
      </c>
      <c r="E58" s="638" t="s">
        <v>510</v>
      </c>
      <c r="F58" s="639" t="s">
        <v>511</v>
      </c>
      <c r="G58" s="638" t="s">
        <v>531</v>
      </c>
      <c r="H58" s="638" t="s">
        <v>709</v>
      </c>
      <c r="I58" s="638" t="s">
        <v>710</v>
      </c>
      <c r="J58" s="638" t="s">
        <v>711</v>
      </c>
      <c r="K58" s="638" t="s">
        <v>712</v>
      </c>
      <c r="L58" s="640">
        <v>31</v>
      </c>
      <c r="M58" s="640">
        <v>1</v>
      </c>
      <c r="N58" s="641">
        <v>31</v>
      </c>
    </row>
    <row r="59" spans="1:14" ht="14.4" customHeight="1" x14ac:dyDescent="0.3">
      <c r="A59" s="636" t="s">
        <v>507</v>
      </c>
      <c r="B59" s="637" t="s">
        <v>509</v>
      </c>
      <c r="C59" s="638" t="s">
        <v>521</v>
      </c>
      <c r="D59" s="639" t="s">
        <v>522</v>
      </c>
      <c r="E59" s="638" t="s">
        <v>510</v>
      </c>
      <c r="F59" s="639" t="s">
        <v>511</v>
      </c>
      <c r="G59" s="638" t="s">
        <v>531</v>
      </c>
      <c r="H59" s="638" t="s">
        <v>713</v>
      </c>
      <c r="I59" s="638" t="s">
        <v>246</v>
      </c>
      <c r="J59" s="638" t="s">
        <v>714</v>
      </c>
      <c r="K59" s="638"/>
      <c r="L59" s="640">
        <v>156.92784584821499</v>
      </c>
      <c r="M59" s="640">
        <v>2</v>
      </c>
      <c r="N59" s="641">
        <v>313.85569169642997</v>
      </c>
    </row>
    <row r="60" spans="1:14" ht="14.4" customHeight="1" x14ac:dyDescent="0.3">
      <c r="A60" s="636" t="s">
        <v>507</v>
      </c>
      <c r="B60" s="637" t="s">
        <v>509</v>
      </c>
      <c r="C60" s="638" t="s">
        <v>521</v>
      </c>
      <c r="D60" s="639" t="s">
        <v>522</v>
      </c>
      <c r="E60" s="638" t="s">
        <v>510</v>
      </c>
      <c r="F60" s="639" t="s">
        <v>511</v>
      </c>
      <c r="G60" s="638" t="s">
        <v>531</v>
      </c>
      <c r="H60" s="638" t="s">
        <v>715</v>
      </c>
      <c r="I60" s="638" t="s">
        <v>246</v>
      </c>
      <c r="J60" s="638" t="s">
        <v>716</v>
      </c>
      <c r="K60" s="638"/>
      <c r="L60" s="640">
        <v>265.74</v>
      </c>
      <c r="M60" s="640">
        <v>1</v>
      </c>
      <c r="N60" s="641">
        <v>265.74</v>
      </c>
    </row>
    <row r="61" spans="1:14" ht="14.4" customHeight="1" x14ac:dyDescent="0.3">
      <c r="A61" s="636" t="s">
        <v>507</v>
      </c>
      <c r="B61" s="637" t="s">
        <v>509</v>
      </c>
      <c r="C61" s="638" t="s">
        <v>521</v>
      </c>
      <c r="D61" s="639" t="s">
        <v>522</v>
      </c>
      <c r="E61" s="638" t="s">
        <v>510</v>
      </c>
      <c r="F61" s="639" t="s">
        <v>511</v>
      </c>
      <c r="G61" s="638" t="s">
        <v>531</v>
      </c>
      <c r="H61" s="638" t="s">
        <v>717</v>
      </c>
      <c r="I61" s="638" t="s">
        <v>717</v>
      </c>
      <c r="J61" s="638" t="s">
        <v>547</v>
      </c>
      <c r="K61" s="638" t="s">
        <v>718</v>
      </c>
      <c r="L61" s="640">
        <v>60.259285066813661</v>
      </c>
      <c r="M61" s="640">
        <v>5</v>
      </c>
      <c r="N61" s="641">
        <v>301.29642533406832</v>
      </c>
    </row>
    <row r="62" spans="1:14" ht="14.4" customHeight="1" x14ac:dyDescent="0.3">
      <c r="A62" s="636" t="s">
        <v>507</v>
      </c>
      <c r="B62" s="637" t="s">
        <v>509</v>
      </c>
      <c r="C62" s="638" t="s">
        <v>521</v>
      </c>
      <c r="D62" s="639" t="s">
        <v>522</v>
      </c>
      <c r="E62" s="638" t="s">
        <v>510</v>
      </c>
      <c r="F62" s="639" t="s">
        <v>511</v>
      </c>
      <c r="G62" s="638" t="s">
        <v>719</v>
      </c>
      <c r="H62" s="638" t="s">
        <v>720</v>
      </c>
      <c r="I62" s="638" t="s">
        <v>721</v>
      </c>
      <c r="J62" s="638" t="s">
        <v>722</v>
      </c>
      <c r="K62" s="638" t="s">
        <v>723</v>
      </c>
      <c r="L62" s="640">
        <v>36.40738830156014</v>
      </c>
      <c r="M62" s="640">
        <v>81</v>
      </c>
      <c r="N62" s="641">
        <v>2948.9984524263714</v>
      </c>
    </row>
    <row r="63" spans="1:14" ht="14.4" customHeight="1" x14ac:dyDescent="0.3">
      <c r="A63" s="636" t="s">
        <v>507</v>
      </c>
      <c r="B63" s="637" t="s">
        <v>509</v>
      </c>
      <c r="C63" s="638" t="s">
        <v>521</v>
      </c>
      <c r="D63" s="639" t="s">
        <v>522</v>
      </c>
      <c r="E63" s="638" t="s">
        <v>510</v>
      </c>
      <c r="F63" s="639" t="s">
        <v>511</v>
      </c>
      <c r="G63" s="638" t="s">
        <v>719</v>
      </c>
      <c r="H63" s="638" t="s">
        <v>724</v>
      </c>
      <c r="I63" s="638" t="s">
        <v>725</v>
      </c>
      <c r="J63" s="638" t="s">
        <v>573</v>
      </c>
      <c r="K63" s="638" t="s">
        <v>726</v>
      </c>
      <c r="L63" s="640">
        <v>133.94720786865125</v>
      </c>
      <c r="M63" s="640">
        <v>3</v>
      </c>
      <c r="N63" s="641">
        <v>401.84162360595371</v>
      </c>
    </row>
    <row r="64" spans="1:14" ht="14.4" customHeight="1" x14ac:dyDescent="0.3">
      <c r="A64" s="636" t="s">
        <v>507</v>
      </c>
      <c r="B64" s="637" t="s">
        <v>509</v>
      </c>
      <c r="C64" s="638" t="s">
        <v>521</v>
      </c>
      <c r="D64" s="639" t="s">
        <v>522</v>
      </c>
      <c r="E64" s="638" t="s">
        <v>510</v>
      </c>
      <c r="F64" s="639" t="s">
        <v>511</v>
      </c>
      <c r="G64" s="638" t="s">
        <v>719</v>
      </c>
      <c r="H64" s="638" t="s">
        <v>727</v>
      </c>
      <c r="I64" s="638" t="s">
        <v>728</v>
      </c>
      <c r="J64" s="638" t="s">
        <v>729</v>
      </c>
      <c r="K64" s="638" t="s">
        <v>730</v>
      </c>
      <c r="L64" s="640">
        <v>101.27</v>
      </c>
      <c r="M64" s="640">
        <v>1</v>
      </c>
      <c r="N64" s="641">
        <v>101.27</v>
      </c>
    </row>
    <row r="65" spans="1:14" ht="14.4" customHeight="1" x14ac:dyDescent="0.3">
      <c r="A65" s="636" t="s">
        <v>507</v>
      </c>
      <c r="B65" s="637" t="s">
        <v>509</v>
      </c>
      <c r="C65" s="638" t="s">
        <v>521</v>
      </c>
      <c r="D65" s="639" t="s">
        <v>522</v>
      </c>
      <c r="E65" s="638" t="s">
        <v>510</v>
      </c>
      <c r="F65" s="639" t="s">
        <v>511</v>
      </c>
      <c r="G65" s="638" t="s">
        <v>719</v>
      </c>
      <c r="H65" s="638" t="s">
        <v>731</v>
      </c>
      <c r="I65" s="638" t="s">
        <v>732</v>
      </c>
      <c r="J65" s="638" t="s">
        <v>733</v>
      </c>
      <c r="K65" s="638" t="s">
        <v>734</v>
      </c>
      <c r="L65" s="640">
        <v>99.21</v>
      </c>
      <c r="M65" s="640">
        <v>1</v>
      </c>
      <c r="N65" s="641">
        <v>99.21</v>
      </c>
    </row>
    <row r="66" spans="1:14" ht="14.4" customHeight="1" x14ac:dyDescent="0.3">
      <c r="A66" s="636" t="s">
        <v>507</v>
      </c>
      <c r="B66" s="637" t="s">
        <v>509</v>
      </c>
      <c r="C66" s="638" t="s">
        <v>521</v>
      </c>
      <c r="D66" s="639" t="s">
        <v>522</v>
      </c>
      <c r="E66" s="638" t="s">
        <v>510</v>
      </c>
      <c r="F66" s="639" t="s">
        <v>511</v>
      </c>
      <c r="G66" s="638" t="s">
        <v>719</v>
      </c>
      <c r="H66" s="638" t="s">
        <v>735</v>
      </c>
      <c r="I66" s="638" t="s">
        <v>736</v>
      </c>
      <c r="J66" s="638" t="s">
        <v>737</v>
      </c>
      <c r="K66" s="638" t="s">
        <v>738</v>
      </c>
      <c r="L66" s="640">
        <v>135.21000000000004</v>
      </c>
      <c r="M66" s="640">
        <v>1</v>
      </c>
      <c r="N66" s="641">
        <v>135.21000000000004</v>
      </c>
    </row>
    <row r="67" spans="1:14" ht="14.4" customHeight="1" x14ac:dyDescent="0.3">
      <c r="A67" s="636" t="s">
        <v>507</v>
      </c>
      <c r="B67" s="637" t="s">
        <v>509</v>
      </c>
      <c r="C67" s="638" t="s">
        <v>521</v>
      </c>
      <c r="D67" s="639" t="s">
        <v>522</v>
      </c>
      <c r="E67" s="638" t="s">
        <v>510</v>
      </c>
      <c r="F67" s="639" t="s">
        <v>511</v>
      </c>
      <c r="G67" s="638" t="s">
        <v>719</v>
      </c>
      <c r="H67" s="638" t="s">
        <v>739</v>
      </c>
      <c r="I67" s="638" t="s">
        <v>740</v>
      </c>
      <c r="J67" s="638" t="s">
        <v>741</v>
      </c>
      <c r="K67" s="638" t="s">
        <v>742</v>
      </c>
      <c r="L67" s="640">
        <v>151.12</v>
      </c>
      <c r="M67" s="640">
        <v>1</v>
      </c>
      <c r="N67" s="641">
        <v>151.12</v>
      </c>
    </row>
    <row r="68" spans="1:14" ht="14.4" customHeight="1" x14ac:dyDescent="0.3">
      <c r="A68" s="636" t="s">
        <v>507</v>
      </c>
      <c r="B68" s="637" t="s">
        <v>509</v>
      </c>
      <c r="C68" s="638" t="s">
        <v>521</v>
      </c>
      <c r="D68" s="639" t="s">
        <v>522</v>
      </c>
      <c r="E68" s="638" t="s">
        <v>510</v>
      </c>
      <c r="F68" s="639" t="s">
        <v>511</v>
      </c>
      <c r="G68" s="638" t="s">
        <v>719</v>
      </c>
      <c r="H68" s="638" t="s">
        <v>743</v>
      </c>
      <c r="I68" s="638" t="s">
        <v>744</v>
      </c>
      <c r="J68" s="638" t="s">
        <v>745</v>
      </c>
      <c r="K68" s="638" t="s">
        <v>746</v>
      </c>
      <c r="L68" s="640">
        <v>46.219624648662901</v>
      </c>
      <c r="M68" s="640">
        <v>1</v>
      </c>
      <c r="N68" s="641">
        <v>46.219624648662901</v>
      </c>
    </row>
    <row r="69" spans="1:14" ht="14.4" customHeight="1" x14ac:dyDescent="0.3">
      <c r="A69" s="636" t="s">
        <v>507</v>
      </c>
      <c r="B69" s="637" t="s">
        <v>509</v>
      </c>
      <c r="C69" s="638" t="s">
        <v>521</v>
      </c>
      <c r="D69" s="639" t="s">
        <v>522</v>
      </c>
      <c r="E69" s="638" t="s">
        <v>510</v>
      </c>
      <c r="F69" s="639" t="s">
        <v>511</v>
      </c>
      <c r="G69" s="638" t="s">
        <v>719</v>
      </c>
      <c r="H69" s="638" t="s">
        <v>747</v>
      </c>
      <c r="I69" s="638" t="s">
        <v>748</v>
      </c>
      <c r="J69" s="638" t="s">
        <v>749</v>
      </c>
      <c r="K69" s="638" t="s">
        <v>750</v>
      </c>
      <c r="L69" s="640">
        <v>174.23962756958173</v>
      </c>
      <c r="M69" s="640">
        <v>1</v>
      </c>
      <c r="N69" s="641">
        <v>174.23962756958173</v>
      </c>
    </row>
    <row r="70" spans="1:14" ht="14.4" customHeight="1" x14ac:dyDescent="0.3">
      <c r="A70" s="636" t="s">
        <v>507</v>
      </c>
      <c r="B70" s="637" t="s">
        <v>509</v>
      </c>
      <c r="C70" s="638" t="s">
        <v>521</v>
      </c>
      <c r="D70" s="639" t="s">
        <v>522</v>
      </c>
      <c r="E70" s="638" t="s">
        <v>510</v>
      </c>
      <c r="F70" s="639" t="s">
        <v>511</v>
      </c>
      <c r="G70" s="638" t="s">
        <v>719</v>
      </c>
      <c r="H70" s="638" t="s">
        <v>751</v>
      </c>
      <c r="I70" s="638" t="s">
        <v>752</v>
      </c>
      <c r="J70" s="638" t="s">
        <v>753</v>
      </c>
      <c r="K70" s="638" t="s">
        <v>754</v>
      </c>
      <c r="L70" s="640">
        <v>658.28</v>
      </c>
      <c r="M70" s="640">
        <v>1</v>
      </c>
      <c r="N70" s="641">
        <v>658.28</v>
      </c>
    </row>
    <row r="71" spans="1:14" ht="14.4" customHeight="1" x14ac:dyDescent="0.3">
      <c r="A71" s="636" t="s">
        <v>507</v>
      </c>
      <c r="B71" s="637" t="s">
        <v>509</v>
      </c>
      <c r="C71" s="638" t="s">
        <v>521</v>
      </c>
      <c r="D71" s="639" t="s">
        <v>522</v>
      </c>
      <c r="E71" s="638" t="s">
        <v>510</v>
      </c>
      <c r="F71" s="639" t="s">
        <v>511</v>
      </c>
      <c r="G71" s="638" t="s">
        <v>719</v>
      </c>
      <c r="H71" s="638" t="s">
        <v>755</v>
      </c>
      <c r="I71" s="638" t="s">
        <v>756</v>
      </c>
      <c r="J71" s="638" t="s">
        <v>757</v>
      </c>
      <c r="K71" s="638" t="s">
        <v>758</v>
      </c>
      <c r="L71" s="640">
        <v>413.99999999999994</v>
      </c>
      <c r="M71" s="640">
        <v>4</v>
      </c>
      <c r="N71" s="641">
        <v>1655.9999999999998</v>
      </c>
    </row>
    <row r="72" spans="1:14" ht="14.4" customHeight="1" x14ac:dyDescent="0.3">
      <c r="A72" s="636" t="s">
        <v>507</v>
      </c>
      <c r="B72" s="637" t="s">
        <v>509</v>
      </c>
      <c r="C72" s="638" t="s">
        <v>521</v>
      </c>
      <c r="D72" s="639" t="s">
        <v>522</v>
      </c>
      <c r="E72" s="638" t="s">
        <v>512</v>
      </c>
      <c r="F72" s="639" t="s">
        <v>513</v>
      </c>
      <c r="G72" s="638" t="s">
        <v>719</v>
      </c>
      <c r="H72" s="638" t="s">
        <v>759</v>
      </c>
      <c r="I72" s="638" t="s">
        <v>760</v>
      </c>
      <c r="J72" s="638" t="s">
        <v>761</v>
      </c>
      <c r="K72" s="638" t="s">
        <v>762</v>
      </c>
      <c r="L72" s="640">
        <v>198.26</v>
      </c>
      <c r="M72" s="640">
        <v>2</v>
      </c>
      <c r="N72" s="641">
        <v>396.52</v>
      </c>
    </row>
    <row r="73" spans="1:14" ht="14.4" customHeight="1" x14ac:dyDescent="0.3">
      <c r="A73" s="636" t="s">
        <v>507</v>
      </c>
      <c r="B73" s="637" t="s">
        <v>509</v>
      </c>
      <c r="C73" s="638" t="s">
        <v>521</v>
      </c>
      <c r="D73" s="639" t="s">
        <v>522</v>
      </c>
      <c r="E73" s="638" t="s">
        <v>512</v>
      </c>
      <c r="F73" s="639" t="s">
        <v>513</v>
      </c>
      <c r="G73" s="638" t="s">
        <v>719</v>
      </c>
      <c r="H73" s="638" t="s">
        <v>763</v>
      </c>
      <c r="I73" s="638" t="s">
        <v>763</v>
      </c>
      <c r="J73" s="638" t="s">
        <v>764</v>
      </c>
      <c r="K73" s="638" t="s">
        <v>765</v>
      </c>
      <c r="L73" s="640">
        <v>183.36998672783497</v>
      </c>
      <c r="M73" s="640">
        <v>45</v>
      </c>
      <c r="N73" s="641">
        <v>8251.6494027525732</v>
      </c>
    </row>
    <row r="74" spans="1:14" ht="14.4" customHeight="1" x14ac:dyDescent="0.3">
      <c r="A74" s="636" t="s">
        <v>507</v>
      </c>
      <c r="B74" s="637" t="s">
        <v>509</v>
      </c>
      <c r="C74" s="638" t="s">
        <v>521</v>
      </c>
      <c r="D74" s="639" t="s">
        <v>522</v>
      </c>
      <c r="E74" s="638" t="s">
        <v>516</v>
      </c>
      <c r="F74" s="639" t="s">
        <v>517</v>
      </c>
      <c r="G74" s="638" t="s">
        <v>531</v>
      </c>
      <c r="H74" s="638" t="s">
        <v>766</v>
      </c>
      <c r="I74" s="638" t="s">
        <v>767</v>
      </c>
      <c r="J74" s="638" t="s">
        <v>768</v>
      </c>
      <c r="K74" s="638" t="s">
        <v>769</v>
      </c>
      <c r="L74" s="640">
        <v>39.366</v>
      </c>
      <c r="M74" s="640">
        <v>5</v>
      </c>
      <c r="N74" s="641">
        <v>196.83</v>
      </c>
    </row>
    <row r="75" spans="1:14" ht="14.4" customHeight="1" x14ac:dyDescent="0.3">
      <c r="A75" s="636" t="s">
        <v>507</v>
      </c>
      <c r="B75" s="637" t="s">
        <v>509</v>
      </c>
      <c r="C75" s="638" t="s">
        <v>521</v>
      </c>
      <c r="D75" s="639" t="s">
        <v>522</v>
      </c>
      <c r="E75" s="638" t="s">
        <v>516</v>
      </c>
      <c r="F75" s="639" t="s">
        <v>517</v>
      </c>
      <c r="G75" s="638" t="s">
        <v>531</v>
      </c>
      <c r="H75" s="638" t="s">
        <v>770</v>
      </c>
      <c r="I75" s="638" t="s">
        <v>771</v>
      </c>
      <c r="J75" s="638" t="s">
        <v>772</v>
      </c>
      <c r="K75" s="638" t="s">
        <v>555</v>
      </c>
      <c r="L75" s="640">
        <v>66.130000000000024</v>
      </c>
      <c r="M75" s="640">
        <v>3</v>
      </c>
      <c r="N75" s="641">
        <v>198.39000000000007</v>
      </c>
    </row>
    <row r="76" spans="1:14" ht="14.4" customHeight="1" x14ac:dyDescent="0.3">
      <c r="A76" s="636" t="s">
        <v>507</v>
      </c>
      <c r="B76" s="637" t="s">
        <v>509</v>
      </c>
      <c r="C76" s="638" t="s">
        <v>521</v>
      </c>
      <c r="D76" s="639" t="s">
        <v>522</v>
      </c>
      <c r="E76" s="638" t="s">
        <v>516</v>
      </c>
      <c r="F76" s="639" t="s">
        <v>517</v>
      </c>
      <c r="G76" s="638" t="s">
        <v>531</v>
      </c>
      <c r="H76" s="638" t="s">
        <v>773</v>
      </c>
      <c r="I76" s="638" t="s">
        <v>774</v>
      </c>
      <c r="J76" s="638" t="s">
        <v>775</v>
      </c>
      <c r="K76" s="638" t="s">
        <v>776</v>
      </c>
      <c r="L76" s="640">
        <v>26.8</v>
      </c>
      <c r="M76" s="640">
        <v>3</v>
      </c>
      <c r="N76" s="641">
        <v>80.400000000000006</v>
      </c>
    </row>
    <row r="77" spans="1:14" ht="14.4" customHeight="1" x14ac:dyDescent="0.3">
      <c r="A77" s="636" t="s">
        <v>507</v>
      </c>
      <c r="B77" s="637" t="s">
        <v>509</v>
      </c>
      <c r="C77" s="638" t="s">
        <v>521</v>
      </c>
      <c r="D77" s="639" t="s">
        <v>522</v>
      </c>
      <c r="E77" s="638" t="s">
        <v>516</v>
      </c>
      <c r="F77" s="639" t="s">
        <v>517</v>
      </c>
      <c r="G77" s="638" t="s">
        <v>531</v>
      </c>
      <c r="H77" s="638" t="s">
        <v>777</v>
      </c>
      <c r="I77" s="638" t="s">
        <v>778</v>
      </c>
      <c r="J77" s="638" t="s">
        <v>779</v>
      </c>
      <c r="K77" s="638" t="s">
        <v>780</v>
      </c>
      <c r="L77" s="640">
        <v>428.73154768152153</v>
      </c>
      <c r="M77" s="640">
        <v>1.4999999999999978</v>
      </c>
      <c r="N77" s="641">
        <v>643.09732152228139</v>
      </c>
    </row>
    <row r="78" spans="1:14" ht="14.4" customHeight="1" x14ac:dyDescent="0.3">
      <c r="A78" s="636" t="s">
        <v>507</v>
      </c>
      <c r="B78" s="637" t="s">
        <v>509</v>
      </c>
      <c r="C78" s="638" t="s">
        <v>521</v>
      </c>
      <c r="D78" s="639" t="s">
        <v>522</v>
      </c>
      <c r="E78" s="638" t="s">
        <v>516</v>
      </c>
      <c r="F78" s="639" t="s">
        <v>517</v>
      </c>
      <c r="G78" s="638" t="s">
        <v>531</v>
      </c>
      <c r="H78" s="638" t="s">
        <v>781</v>
      </c>
      <c r="I78" s="638" t="s">
        <v>781</v>
      </c>
      <c r="J78" s="638" t="s">
        <v>782</v>
      </c>
      <c r="K78" s="638" t="s">
        <v>783</v>
      </c>
      <c r="L78" s="640">
        <v>920</v>
      </c>
      <c r="M78" s="640">
        <v>1.5</v>
      </c>
      <c r="N78" s="641">
        <v>1380</v>
      </c>
    </row>
    <row r="79" spans="1:14" ht="14.4" customHeight="1" x14ac:dyDescent="0.3">
      <c r="A79" s="636" t="s">
        <v>507</v>
      </c>
      <c r="B79" s="637" t="s">
        <v>509</v>
      </c>
      <c r="C79" s="638" t="s">
        <v>521</v>
      </c>
      <c r="D79" s="639" t="s">
        <v>522</v>
      </c>
      <c r="E79" s="638" t="s">
        <v>516</v>
      </c>
      <c r="F79" s="639" t="s">
        <v>517</v>
      </c>
      <c r="G79" s="638" t="s">
        <v>719</v>
      </c>
      <c r="H79" s="638" t="s">
        <v>784</v>
      </c>
      <c r="I79" s="638" t="s">
        <v>785</v>
      </c>
      <c r="J79" s="638" t="s">
        <v>786</v>
      </c>
      <c r="K79" s="638" t="s">
        <v>787</v>
      </c>
      <c r="L79" s="640">
        <v>169.62614449495558</v>
      </c>
      <c r="M79" s="640">
        <v>35</v>
      </c>
      <c r="N79" s="641">
        <v>5936.9150573234456</v>
      </c>
    </row>
    <row r="80" spans="1:14" ht="14.4" customHeight="1" x14ac:dyDescent="0.3">
      <c r="A80" s="636" t="s">
        <v>507</v>
      </c>
      <c r="B80" s="637" t="s">
        <v>509</v>
      </c>
      <c r="C80" s="638" t="s">
        <v>521</v>
      </c>
      <c r="D80" s="639" t="s">
        <v>522</v>
      </c>
      <c r="E80" s="638" t="s">
        <v>516</v>
      </c>
      <c r="F80" s="639" t="s">
        <v>517</v>
      </c>
      <c r="G80" s="638" t="s">
        <v>719</v>
      </c>
      <c r="H80" s="638" t="s">
        <v>788</v>
      </c>
      <c r="I80" s="638" t="s">
        <v>789</v>
      </c>
      <c r="J80" s="638" t="s">
        <v>790</v>
      </c>
      <c r="K80" s="638" t="s">
        <v>791</v>
      </c>
      <c r="L80" s="640">
        <v>88.599952461689085</v>
      </c>
      <c r="M80" s="640">
        <v>63</v>
      </c>
      <c r="N80" s="641">
        <v>5581.7970050864124</v>
      </c>
    </row>
    <row r="81" spans="1:14" ht="14.4" customHeight="1" x14ac:dyDescent="0.3">
      <c r="A81" s="636" t="s">
        <v>507</v>
      </c>
      <c r="B81" s="637" t="s">
        <v>509</v>
      </c>
      <c r="C81" s="638" t="s">
        <v>521</v>
      </c>
      <c r="D81" s="639" t="s">
        <v>522</v>
      </c>
      <c r="E81" s="638" t="s">
        <v>516</v>
      </c>
      <c r="F81" s="639" t="s">
        <v>517</v>
      </c>
      <c r="G81" s="638" t="s">
        <v>719</v>
      </c>
      <c r="H81" s="638" t="s">
        <v>792</v>
      </c>
      <c r="I81" s="638" t="s">
        <v>793</v>
      </c>
      <c r="J81" s="638" t="s">
        <v>794</v>
      </c>
      <c r="K81" s="638" t="s">
        <v>795</v>
      </c>
      <c r="L81" s="640">
        <v>138.359978861229</v>
      </c>
      <c r="M81" s="640">
        <v>6</v>
      </c>
      <c r="N81" s="641">
        <v>830.15987316737403</v>
      </c>
    </row>
    <row r="82" spans="1:14" ht="14.4" customHeight="1" x14ac:dyDescent="0.3">
      <c r="A82" s="636" t="s">
        <v>507</v>
      </c>
      <c r="B82" s="637" t="s">
        <v>509</v>
      </c>
      <c r="C82" s="638" t="s">
        <v>521</v>
      </c>
      <c r="D82" s="639" t="s">
        <v>522</v>
      </c>
      <c r="E82" s="638" t="s">
        <v>516</v>
      </c>
      <c r="F82" s="639" t="s">
        <v>517</v>
      </c>
      <c r="G82" s="638" t="s">
        <v>719</v>
      </c>
      <c r="H82" s="638" t="s">
        <v>796</v>
      </c>
      <c r="I82" s="638" t="s">
        <v>797</v>
      </c>
      <c r="J82" s="638" t="s">
        <v>798</v>
      </c>
      <c r="K82" s="638" t="s">
        <v>799</v>
      </c>
      <c r="L82" s="640">
        <v>123.66478287663222</v>
      </c>
      <c r="M82" s="640">
        <v>33.399999999999984</v>
      </c>
      <c r="N82" s="641">
        <v>4130.4037480795141</v>
      </c>
    </row>
    <row r="83" spans="1:14" ht="14.4" customHeight="1" x14ac:dyDescent="0.3">
      <c r="A83" s="636" t="s">
        <v>507</v>
      </c>
      <c r="B83" s="637" t="s">
        <v>509</v>
      </c>
      <c r="C83" s="638" t="s">
        <v>521</v>
      </c>
      <c r="D83" s="639" t="s">
        <v>522</v>
      </c>
      <c r="E83" s="638" t="s">
        <v>516</v>
      </c>
      <c r="F83" s="639" t="s">
        <v>517</v>
      </c>
      <c r="G83" s="638" t="s">
        <v>719</v>
      </c>
      <c r="H83" s="638" t="s">
        <v>800</v>
      </c>
      <c r="I83" s="638" t="s">
        <v>801</v>
      </c>
      <c r="J83" s="638" t="s">
        <v>802</v>
      </c>
      <c r="K83" s="638" t="s">
        <v>803</v>
      </c>
      <c r="L83" s="640">
        <v>104.41999224799633</v>
      </c>
      <c r="M83" s="640">
        <v>3</v>
      </c>
      <c r="N83" s="641">
        <v>313.259976743989</v>
      </c>
    </row>
    <row r="84" spans="1:14" ht="14.4" customHeight="1" x14ac:dyDescent="0.3">
      <c r="A84" s="636" t="s">
        <v>507</v>
      </c>
      <c r="B84" s="637" t="s">
        <v>509</v>
      </c>
      <c r="C84" s="638" t="s">
        <v>521</v>
      </c>
      <c r="D84" s="639" t="s">
        <v>522</v>
      </c>
      <c r="E84" s="638" t="s">
        <v>518</v>
      </c>
      <c r="F84" s="639" t="s">
        <v>519</v>
      </c>
      <c r="G84" s="638" t="s">
        <v>719</v>
      </c>
      <c r="H84" s="638" t="s">
        <v>804</v>
      </c>
      <c r="I84" s="638" t="s">
        <v>805</v>
      </c>
      <c r="J84" s="638" t="s">
        <v>806</v>
      </c>
      <c r="K84" s="638"/>
      <c r="L84" s="640">
        <v>31.589999999999996</v>
      </c>
      <c r="M84" s="640">
        <v>10</v>
      </c>
      <c r="N84" s="641">
        <v>315.89999999999998</v>
      </c>
    </row>
    <row r="85" spans="1:14" ht="14.4" customHeight="1" x14ac:dyDescent="0.3">
      <c r="A85" s="636" t="s">
        <v>507</v>
      </c>
      <c r="B85" s="637" t="s">
        <v>509</v>
      </c>
      <c r="C85" s="638" t="s">
        <v>521</v>
      </c>
      <c r="D85" s="639" t="s">
        <v>522</v>
      </c>
      <c r="E85" s="638" t="s">
        <v>514</v>
      </c>
      <c r="F85" s="639" t="s">
        <v>515</v>
      </c>
      <c r="G85" s="638"/>
      <c r="H85" s="638"/>
      <c r="I85" s="638" t="s">
        <v>807</v>
      </c>
      <c r="J85" s="638" t="s">
        <v>808</v>
      </c>
      <c r="K85" s="638"/>
      <c r="L85" s="640">
        <v>4445.99</v>
      </c>
      <c r="M85" s="640">
        <v>1</v>
      </c>
      <c r="N85" s="641">
        <v>4445.99</v>
      </c>
    </row>
    <row r="86" spans="1:14" ht="14.4" customHeight="1" x14ac:dyDescent="0.3">
      <c r="A86" s="636" t="s">
        <v>507</v>
      </c>
      <c r="B86" s="637" t="s">
        <v>509</v>
      </c>
      <c r="C86" s="638" t="s">
        <v>525</v>
      </c>
      <c r="D86" s="639" t="s">
        <v>526</v>
      </c>
      <c r="E86" s="638" t="s">
        <v>510</v>
      </c>
      <c r="F86" s="639" t="s">
        <v>511</v>
      </c>
      <c r="G86" s="638" t="s">
        <v>531</v>
      </c>
      <c r="H86" s="638" t="s">
        <v>532</v>
      </c>
      <c r="I86" s="638" t="s">
        <v>532</v>
      </c>
      <c r="J86" s="638" t="s">
        <v>533</v>
      </c>
      <c r="K86" s="638" t="s">
        <v>534</v>
      </c>
      <c r="L86" s="640">
        <v>179.4</v>
      </c>
      <c r="M86" s="640">
        <v>1</v>
      </c>
      <c r="N86" s="641">
        <v>179.4</v>
      </c>
    </row>
    <row r="87" spans="1:14" ht="14.4" customHeight="1" x14ac:dyDescent="0.3">
      <c r="A87" s="636" t="s">
        <v>507</v>
      </c>
      <c r="B87" s="637" t="s">
        <v>509</v>
      </c>
      <c r="C87" s="638" t="s">
        <v>525</v>
      </c>
      <c r="D87" s="639" t="s">
        <v>526</v>
      </c>
      <c r="E87" s="638" t="s">
        <v>510</v>
      </c>
      <c r="F87" s="639" t="s">
        <v>511</v>
      </c>
      <c r="G87" s="638" t="s">
        <v>531</v>
      </c>
      <c r="H87" s="638" t="s">
        <v>537</v>
      </c>
      <c r="I87" s="638" t="s">
        <v>538</v>
      </c>
      <c r="J87" s="638" t="s">
        <v>539</v>
      </c>
      <c r="K87" s="638" t="s">
        <v>540</v>
      </c>
      <c r="L87" s="640">
        <v>84.569695235517386</v>
      </c>
      <c r="M87" s="640">
        <v>2</v>
      </c>
      <c r="N87" s="641">
        <v>169.13939047103477</v>
      </c>
    </row>
    <row r="88" spans="1:14" ht="14.4" customHeight="1" x14ac:dyDescent="0.3">
      <c r="A88" s="636" t="s">
        <v>507</v>
      </c>
      <c r="B88" s="637" t="s">
        <v>509</v>
      </c>
      <c r="C88" s="638" t="s">
        <v>525</v>
      </c>
      <c r="D88" s="639" t="s">
        <v>526</v>
      </c>
      <c r="E88" s="638" t="s">
        <v>510</v>
      </c>
      <c r="F88" s="639" t="s">
        <v>511</v>
      </c>
      <c r="G88" s="638" t="s">
        <v>531</v>
      </c>
      <c r="H88" s="638" t="s">
        <v>590</v>
      </c>
      <c r="I88" s="638" t="s">
        <v>591</v>
      </c>
      <c r="J88" s="638" t="s">
        <v>592</v>
      </c>
      <c r="K88" s="638" t="s">
        <v>593</v>
      </c>
      <c r="L88" s="640">
        <v>87.830418920919797</v>
      </c>
      <c r="M88" s="640">
        <v>1</v>
      </c>
      <c r="N88" s="641">
        <v>87.830418920919797</v>
      </c>
    </row>
    <row r="89" spans="1:14" ht="14.4" customHeight="1" x14ac:dyDescent="0.3">
      <c r="A89" s="636" t="s">
        <v>507</v>
      </c>
      <c r="B89" s="637" t="s">
        <v>509</v>
      </c>
      <c r="C89" s="638" t="s">
        <v>525</v>
      </c>
      <c r="D89" s="639" t="s">
        <v>526</v>
      </c>
      <c r="E89" s="638" t="s">
        <v>510</v>
      </c>
      <c r="F89" s="639" t="s">
        <v>511</v>
      </c>
      <c r="G89" s="638" t="s">
        <v>531</v>
      </c>
      <c r="H89" s="638" t="s">
        <v>809</v>
      </c>
      <c r="I89" s="638" t="s">
        <v>246</v>
      </c>
      <c r="J89" s="638" t="s">
        <v>810</v>
      </c>
      <c r="K89" s="638"/>
      <c r="L89" s="640">
        <v>42.70999999999998</v>
      </c>
      <c r="M89" s="640">
        <v>4</v>
      </c>
      <c r="N89" s="641">
        <v>170.83999999999992</v>
      </c>
    </row>
    <row r="90" spans="1:14" ht="14.4" customHeight="1" x14ac:dyDescent="0.3">
      <c r="A90" s="636" t="s">
        <v>507</v>
      </c>
      <c r="B90" s="637" t="s">
        <v>509</v>
      </c>
      <c r="C90" s="638" t="s">
        <v>525</v>
      </c>
      <c r="D90" s="639" t="s">
        <v>526</v>
      </c>
      <c r="E90" s="638" t="s">
        <v>510</v>
      </c>
      <c r="F90" s="639" t="s">
        <v>511</v>
      </c>
      <c r="G90" s="638" t="s">
        <v>531</v>
      </c>
      <c r="H90" s="638" t="s">
        <v>618</v>
      </c>
      <c r="I90" s="638" t="s">
        <v>619</v>
      </c>
      <c r="J90" s="638" t="s">
        <v>620</v>
      </c>
      <c r="K90" s="638" t="s">
        <v>621</v>
      </c>
      <c r="L90" s="640">
        <v>19.139999999999997</v>
      </c>
      <c r="M90" s="640">
        <v>3</v>
      </c>
      <c r="N90" s="641">
        <v>57.419999999999987</v>
      </c>
    </row>
    <row r="91" spans="1:14" ht="14.4" customHeight="1" x14ac:dyDescent="0.3">
      <c r="A91" s="636" t="s">
        <v>507</v>
      </c>
      <c r="B91" s="637" t="s">
        <v>509</v>
      </c>
      <c r="C91" s="638" t="s">
        <v>525</v>
      </c>
      <c r="D91" s="639" t="s">
        <v>526</v>
      </c>
      <c r="E91" s="638" t="s">
        <v>510</v>
      </c>
      <c r="F91" s="639" t="s">
        <v>511</v>
      </c>
      <c r="G91" s="638" t="s">
        <v>531</v>
      </c>
      <c r="H91" s="638" t="s">
        <v>811</v>
      </c>
      <c r="I91" s="638" t="s">
        <v>812</v>
      </c>
      <c r="J91" s="638" t="s">
        <v>813</v>
      </c>
      <c r="K91" s="638" t="s">
        <v>540</v>
      </c>
      <c r="L91" s="640">
        <v>121.969639569306</v>
      </c>
      <c r="M91" s="640">
        <v>1</v>
      </c>
      <c r="N91" s="641">
        <v>121.969639569306</v>
      </c>
    </row>
    <row r="92" spans="1:14" ht="14.4" customHeight="1" x14ac:dyDescent="0.3">
      <c r="A92" s="636" t="s">
        <v>507</v>
      </c>
      <c r="B92" s="637" t="s">
        <v>509</v>
      </c>
      <c r="C92" s="638" t="s">
        <v>525</v>
      </c>
      <c r="D92" s="639" t="s">
        <v>526</v>
      </c>
      <c r="E92" s="638" t="s">
        <v>510</v>
      </c>
      <c r="F92" s="639" t="s">
        <v>511</v>
      </c>
      <c r="G92" s="638" t="s">
        <v>531</v>
      </c>
      <c r="H92" s="638" t="s">
        <v>645</v>
      </c>
      <c r="I92" s="638" t="s">
        <v>646</v>
      </c>
      <c r="J92" s="638" t="s">
        <v>647</v>
      </c>
      <c r="K92" s="638" t="s">
        <v>648</v>
      </c>
      <c r="L92" s="640">
        <v>107.54347819131716</v>
      </c>
      <c r="M92" s="640">
        <v>146</v>
      </c>
      <c r="N92" s="641">
        <v>15701.347815932306</v>
      </c>
    </row>
    <row r="93" spans="1:14" ht="14.4" customHeight="1" x14ac:dyDescent="0.3">
      <c r="A93" s="636" t="s">
        <v>507</v>
      </c>
      <c r="B93" s="637" t="s">
        <v>509</v>
      </c>
      <c r="C93" s="638" t="s">
        <v>525</v>
      </c>
      <c r="D93" s="639" t="s">
        <v>526</v>
      </c>
      <c r="E93" s="638" t="s">
        <v>510</v>
      </c>
      <c r="F93" s="639" t="s">
        <v>511</v>
      </c>
      <c r="G93" s="638" t="s">
        <v>531</v>
      </c>
      <c r="H93" s="638" t="s">
        <v>814</v>
      </c>
      <c r="I93" s="638" t="s">
        <v>246</v>
      </c>
      <c r="J93" s="638" t="s">
        <v>815</v>
      </c>
      <c r="K93" s="638"/>
      <c r="L93" s="640">
        <v>39.11999999999999</v>
      </c>
      <c r="M93" s="640">
        <v>2</v>
      </c>
      <c r="N93" s="641">
        <v>78.239999999999981</v>
      </c>
    </row>
    <row r="94" spans="1:14" ht="14.4" customHeight="1" x14ac:dyDescent="0.3">
      <c r="A94" s="636" t="s">
        <v>507</v>
      </c>
      <c r="B94" s="637" t="s">
        <v>509</v>
      </c>
      <c r="C94" s="638" t="s">
        <v>525</v>
      </c>
      <c r="D94" s="639" t="s">
        <v>526</v>
      </c>
      <c r="E94" s="638" t="s">
        <v>510</v>
      </c>
      <c r="F94" s="639" t="s">
        <v>511</v>
      </c>
      <c r="G94" s="638" t="s">
        <v>531</v>
      </c>
      <c r="H94" s="638" t="s">
        <v>816</v>
      </c>
      <c r="I94" s="638" t="s">
        <v>817</v>
      </c>
      <c r="J94" s="638" t="s">
        <v>818</v>
      </c>
      <c r="K94" s="638" t="s">
        <v>819</v>
      </c>
      <c r="L94" s="640">
        <v>109.11</v>
      </c>
      <c r="M94" s="640">
        <v>2</v>
      </c>
      <c r="N94" s="641">
        <v>218.22</v>
      </c>
    </row>
    <row r="95" spans="1:14" ht="14.4" customHeight="1" x14ac:dyDescent="0.3">
      <c r="A95" s="636" t="s">
        <v>507</v>
      </c>
      <c r="B95" s="637" t="s">
        <v>509</v>
      </c>
      <c r="C95" s="638" t="s">
        <v>525</v>
      </c>
      <c r="D95" s="639" t="s">
        <v>526</v>
      </c>
      <c r="E95" s="638" t="s">
        <v>510</v>
      </c>
      <c r="F95" s="639" t="s">
        <v>511</v>
      </c>
      <c r="G95" s="638" t="s">
        <v>531</v>
      </c>
      <c r="H95" s="638" t="s">
        <v>678</v>
      </c>
      <c r="I95" s="638" t="s">
        <v>246</v>
      </c>
      <c r="J95" s="638" t="s">
        <v>679</v>
      </c>
      <c r="K95" s="638"/>
      <c r="L95" s="640">
        <v>264.47697696610902</v>
      </c>
      <c r="M95" s="640">
        <v>1</v>
      </c>
      <c r="N95" s="641">
        <v>264.47697696610902</v>
      </c>
    </row>
    <row r="96" spans="1:14" ht="14.4" customHeight="1" x14ac:dyDescent="0.3">
      <c r="A96" s="636" t="s">
        <v>507</v>
      </c>
      <c r="B96" s="637" t="s">
        <v>509</v>
      </c>
      <c r="C96" s="638" t="s">
        <v>525</v>
      </c>
      <c r="D96" s="639" t="s">
        <v>526</v>
      </c>
      <c r="E96" s="638" t="s">
        <v>510</v>
      </c>
      <c r="F96" s="639" t="s">
        <v>511</v>
      </c>
      <c r="G96" s="638" t="s">
        <v>531</v>
      </c>
      <c r="H96" s="638" t="s">
        <v>820</v>
      </c>
      <c r="I96" s="638" t="s">
        <v>246</v>
      </c>
      <c r="J96" s="638" t="s">
        <v>821</v>
      </c>
      <c r="K96" s="638"/>
      <c r="L96" s="640">
        <v>36.583622485089577</v>
      </c>
      <c r="M96" s="640">
        <v>1</v>
      </c>
      <c r="N96" s="641">
        <v>36.583622485089577</v>
      </c>
    </row>
    <row r="97" spans="1:14" ht="14.4" customHeight="1" x14ac:dyDescent="0.3">
      <c r="A97" s="636" t="s">
        <v>507</v>
      </c>
      <c r="B97" s="637" t="s">
        <v>509</v>
      </c>
      <c r="C97" s="638" t="s">
        <v>525</v>
      </c>
      <c r="D97" s="639" t="s">
        <v>526</v>
      </c>
      <c r="E97" s="638" t="s">
        <v>510</v>
      </c>
      <c r="F97" s="639" t="s">
        <v>511</v>
      </c>
      <c r="G97" s="638" t="s">
        <v>531</v>
      </c>
      <c r="H97" s="638" t="s">
        <v>822</v>
      </c>
      <c r="I97" s="638" t="s">
        <v>823</v>
      </c>
      <c r="J97" s="638" t="s">
        <v>824</v>
      </c>
      <c r="K97" s="638" t="s">
        <v>825</v>
      </c>
      <c r="L97" s="640">
        <v>292.07999999999993</v>
      </c>
      <c r="M97" s="640">
        <v>4</v>
      </c>
      <c r="N97" s="641">
        <v>1168.3199999999997</v>
      </c>
    </row>
    <row r="98" spans="1:14" ht="14.4" customHeight="1" x14ac:dyDescent="0.3">
      <c r="A98" s="636" t="s">
        <v>507</v>
      </c>
      <c r="B98" s="637" t="s">
        <v>509</v>
      </c>
      <c r="C98" s="638" t="s">
        <v>525</v>
      </c>
      <c r="D98" s="639" t="s">
        <v>526</v>
      </c>
      <c r="E98" s="638" t="s">
        <v>510</v>
      </c>
      <c r="F98" s="639" t="s">
        <v>511</v>
      </c>
      <c r="G98" s="638" t="s">
        <v>531</v>
      </c>
      <c r="H98" s="638" t="s">
        <v>826</v>
      </c>
      <c r="I98" s="638" t="s">
        <v>827</v>
      </c>
      <c r="J98" s="638" t="s">
        <v>828</v>
      </c>
      <c r="K98" s="638" t="s">
        <v>829</v>
      </c>
      <c r="L98" s="640">
        <v>267.79000000000002</v>
      </c>
      <c r="M98" s="640">
        <v>3</v>
      </c>
      <c r="N98" s="641">
        <v>803.37000000000012</v>
      </c>
    </row>
    <row r="99" spans="1:14" ht="14.4" customHeight="1" x14ac:dyDescent="0.3">
      <c r="A99" s="636" t="s">
        <v>507</v>
      </c>
      <c r="B99" s="637" t="s">
        <v>509</v>
      </c>
      <c r="C99" s="638" t="s">
        <v>525</v>
      </c>
      <c r="D99" s="639" t="s">
        <v>526</v>
      </c>
      <c r="E99" s="638" t="s">
        <v>510</v>
      </c>
      <c r="F99" s="639" t="s">
        <v>511</v>
      </c>
      <c r="G99" s="638" t="s">
        <v>531</v>
      </c>
      <c r="H99" s="638" t="s">
        <v>686</v>
      </c>
      <c r="I99" s="638" t="s">
        <v>687</v>
      </c>
      <c r="J99" s="638" t="s">
        <v>688</v>
      </c>
      <c r="K99" s="638" t="s">
        <v>689</v>
      </c>
      <c r="L99" s="640">
        <v>74.913279999999872</v>
      </c>
      <c r="M99" s="640">
        <v>5</v>
      </c>
      <c r="N99" s="641">
        <v>374.56639999999936</v>
      </c>
    </row>
    <row r="100" spans="1:14" ht="14.4" customHeight="1" x14ac:dyDescent="0.3">
      <c r="A100" s="636" t="s">
        <v>507</v>
      </c>
      <c r="B100" s="637" t="s">
        <v>509</v>
      </c>
      <c r="C100" s="638" t="s">
        <v>525</v>
      </c>
      <c r="D100" s="639" t="s">
        <v>526</v>
      </c>
      <c r="E100" s="638" t="s">
        <v>510</v>
      </c>
      <c r="F100" s="639" t="s">
        <v>511</v>
      </c>
      <c r="G100" s="638" t="s">
        <v>531</v>
      </c>
      <c r="H100" s="638" t="s">
        <v>830</v>
      </c>
      <c r="I100" s="638" t="s">
        <v>246</v>
      </c>
      <c r="J100" s="638" t="s">
        <v>831</v>
      </c>
      <c r="K100" s="638"/>
      <c r="L100" s="640">
        <v>348.12916309848464</v>
      </c>
      <c r="M100" s="640">
        <v>3</v>
      </c>
      <c r="N100" s="641">
        <v>1044.3874892954539</v>
      </c>
    </row>
    <row r="101" spans="1:14" ht="14.4" customHeight="1" x14ac:dyDescent="0.3">
      <c r="A101" s="636" t="s">
        <v>507</v>
      </c>
      <c r="B101" s="637" t="s">
        <v>509</v>
      </c>
      <c r="C101" s="638" t="s">
        <v>525</v>
      </c>
      <c r="D101" s="639" t="s">
        <v>526</v>
      </c>
      <c r="E101" s="638" t="s">
        <v>510</v>
      </c>
      <c r="F101" s="639" t="s">
        <v>511</v>
      </c>
      <c r="G101" s="638" t="s">
        <v>531</v>
      </c>
      <c r="H101" s="638" t="s">
        <v>832</v>
      </c>
      <c r="I101" s="638" t="s">
        <v>833</v>
      </c>
      <c r="J101" s="638" t="s">
        <v>834</v>
      </c>
      <c r="K101" s="638" t="s">
        <v>835</v>
      </c>
      <c r="L101" s="640">
        <v>202.16533860771841</v>
      </c>
      <c r="M101" s="640">
        <v>5</v>
      </c>
      <c r="N101" s="641">
        <v>1010.8266930385921</v>
      </c>
    </row>
    <row r="102" spans="1:14" ht="14.4" customHeight="1" x14ac:dyDescent="0.3">
      <c r="A102" s="636" t="s">
        <v>507</v>
      </c>
      <c r="B102" s="637" t="s">
        <v>509</v>
      </c>
      <c r="C102" s="638" t="s">
        <v>525</v>
      </c>
      <c r="D102" s="639" t="s">
        <v>526</v>
      </c>
      <c r="E102" s="638" t="s">
        <v>510</v>
      </c>
      <c r="F102" s="639" t="s">
        <v>511</v>
      </c>
      <c r="G102" s="638" t="s">
        <v>531</v>
      </c>
      <c r="H102" s="638" t="s">
        <v>836</v>
      </c>
      <c r="I102" s="638" t="s">
        <v>246</v>
      </c>
      <c r="J102" s="638" t="s">
        <v>837</v>
      </c>
      <c r="K102" s="638"/>
      <c r="L102" s="640">
        <v>87.888518850496354</v>
      </c>
      <c r="M102" s="640">
        <v>23</v>
      </c>
      <c r="N102" s="641">
        <v>2021.4359335614163</v>
      </c>
    </row>
    <row r="103" spans="1:14" ht="14.4" customHeight="1" x14ac:dyDescent="0.3">
      <c r="A103" s="636" t="s">
        <v>507</v>
      </c>
      <c r="B103" s="637" t="s">
        <v>509</v>
      </c>
      <c r="C103" s="638" t="s">
        <v>525</v>
      </c>
      <c r="D103" s="639" t="s">
        <v>526</v>
      </c>
      <c r="E103" s="638" t="s">
        <v>510</v>
      </c>
      <c r="F103" s="639" t="s">
        <v>511</v>
      </c>
      <c r="G103" s="638" t="s">
        <v>531</v>
      </c>
      <c r="H103" s="638" t="s">
        <v>838</v>
      </c>
      <c r="I103" s="638" t="s">
        <v>246</v>
      </c>
      <c r="J103" s="638" t="s">
        <v>839</v>
      </c>
      <c r="K103" s="638"/>
      <c r="L103" s="640">
        <v>94.508168698726962</v>
      </c>
      <c r="M103" s="640">
        <v>21</v>
      </c>
      <c r="N103" s="641">
        <v>1984.6715426732662</v>
      </c>
    </row>
    <row r="104" spans="1:14" ht="14.4" customHeight="1" x14ac:dyDescent="0.3">
      <c r="A104" s="636" t="s">
        <v>507</v>
      </c>
      <c r="B104" s="637" t="s">
        <v>509</v>
      </c>
      <c r="C104" s="638" t="s">
        <v>525</v>
      </c>
      <c r="D104" s="639" t="s">
        <v>526</v>
      </c>
      <c r="E104" s="638" t="s">
        <v>510</v>
      </c>
      <c r="F104" s="639" t="s">
        <v>511</v>
      </c>
      <c r="G104" s="638" t="s">
        <v>531</v>
      </c>
      <c r="H104" s="638" t="s">
        <v>840</v>
      </c>
      <c r="I104" s="638" t="s">
        <v>246</v>
      </c>
      <c r="J104" s="638" t="s">
        <v>841</v>
      </c>
      <c r="K104" s="638"/>
      <c r="L104" s="640">
        <v>101.79938001145405</v>
      </c>
      <c r="M104" s="640">
        <v>2</v>
      </c>
      <c r="N104" s="641">
        <v>203.5987600229081</v>
      </c>
    </row>
    <row r="105" spans="1:14" ht="14.4" customHeight="1" x14ac:dyDescent="0.3">
      <c r="A105" s="636" t="s">
        <v>507</v>
      </c>
      <c r="B105" s="637" t="s">
        <v>509</v>
      </c>
      <c r="C105" s="638" t="s">
        <v>525</v>
      </c>
      <c r="D105" s="639" t="s">
        <v>526</v>
      </c>
      <c r="E105" s="638" t="s">
        <v>510</v>
      </c>
      <c r="F105" s="639" t="s">
        <v>511</v>
      </c>
      <c r="G105" s="638" t="s">
        <v>531</v>
      </c>
      <c r="H105" s="638" t="s">
        <v>842</v>
      </c>
      <c r="I105" s="638" t="s">
        <v>246</v>
      </c>
      <c r="J105" s="638" t="s">
        <v>843</v>
      </c>
      <c r="K105" s="638" t="s">
        <v>701</v>
      </c>
      <c r="L105" s="640">
        <v>81.914283023355964</v>
      </c>
      <c r="M105" s="640">
        <v>27</v>
      </c>
      <c r="N105" s="641">
        <v>2211.6856416306109</v>
      </c>
    </row>
    <row r="106" spans="1:14" ht="14.4" customHeight="1" x14ac:dyDescent="0.3">
      <c r="A106" s="636" t="s">
        <v>507</v>
      </c>
      <c r="B106" s="637" t="s">
        <v>509</v>
      </c>
      <c r="C106" s="638" t="s">
        <v>525</v>
      </c>
      <c r="D106" s="639" t="s">
        <v>526</v>
      </c>
      <c r="E106" s="638" t="s">
        <v>510</v>
      </c>
      <c r="F106" s="639" t="s">
        <v>511</v>
      </c>
      <c r="G106" s="638" t="s">
        <v>531</v>
      </c>
      <c r="H106" s="638" t="s">
        <v>844</v>
      </c>
      <c r="I106" s="638" t="s">
        <v>246</v>
      </c>
      <c r="J106" s="638" t="s">
        <v>845</v>
      </c>
      <c r="K106" s="638"/>
      <c r="L106" s="640">
        <v>103.52453486907264</v>
      </c>
      <c r="M106" s="640">
        <v>3</v>
      </c>
      <c r="N106" s="641">
        <v>310.57360460721793</v>
      </c>
    </row>
    <row r="107" spans="1:14" ht="14.4" customHeight="1" x14ac:dyDescent="0.3">
      <c r="A107" s="636" t="s">
        <v>507</v>
      </c>
      <c r="B107" s="637" t="s">
        <v>509</v>
      </c>
      <c r="C107" s="638" t="s">
        <v>525</v>
      </c>
      <c r="D107" s="639" t="s">
        <v>526</v>
      </c>
      <c r="E107" s="638" t="s">
        <v>510</v>
      </c>
      <c r="F107" s="639" t="s">
        <v>511</v>
      </c>
      <c r="G107" s="638" t="s">
        <v>719</v>
      </c>
      <c r="H107" s="638" t="s">
        <v>846</v>
      </c>
      <c r="I107" s="638" t="s">
        <v>847</v>
      </c>
      <c r="J107" s="638" t="s">
        <v>848</v>
      </c>
      <c r="K107" s="638" t="s">
        <v>849</v>
      </c>
      <c r="L107" s="640">
        <v>39.19</v>
      </c>
      <c r="M107" s="640">
        <v>6</v>
      </c>
      <c r="N107" s="641">
        <v>235.14</v>
      </c>
    </row>
    <row r="108" spans="1:14" ht="14.4" customHeight="1" x14ac:dyDescent="0.3">
      <c r="A108" s="636" t="s">
        <v>507</v>
      </c>
      <c r="B108" s="637" t="s">
        <v>509</v>
      </c>
      <c r="C108" s="638" t="s">
        <v>525</v>
      </c>
      <c r="D108" s="639" t="s">
        <v>526</v>
      </c>
      <c r="E108" s="638" t="s">
        <v>516</v>
      </c>
      <c r="F108" s="639" t="s">
        <v>517</v>
      </c>
      <c r="G108" s="638" t="s">
        <v>531</v>
      </c>
      <c r="H108" s="638" t="s">
        <v>850</v>
      </c>
      <c r="I108" s="638" t="s">
        <v>851</v>
      </c>
      <c r="J108" s="638" t="s">
        <v>852</v>
      </c>
      <c r="K108" s="638" t="s">
        <v>853</v>
      </c>
      <c r="L108" s="640">
        <v>86.740357108985265</v>
      </c>
      <c r="M108" s="640">
        <v>2</v>
      </c>
      <c r="N108" s="641">
        <v>173.48071421797053</v>
      </c>
    </row>
    <row r="109" spans="1:14" ht="14.4" customHeight="1" x14ac:dyDescent="0.3">
      <c r="A109" s="636" t="s">
        <v>507</v>
      </c>
      <c r="B109" s="637" t="s">
        <v>509</v>
      </c>
      <c r="C109" s="638" t="s">
        <v>527</v>
      </c>
      <c r="D109" s="639" t="s">
        <v>528</v>
      </c>
      <c r="E109" s="638" t="s">
        <v>510</v>
      </c>
      <c r="F109" s="639" t="s">
        <v>511</v>
      </c>
      <c r="G109" s="638" t="s">
        <v>531</v>
      </c>
      <c r="H109" s="638" t="s">
        <v>537</v>
      </c>
      <c r="I109" s="638" t="s">
        <v>538</v>
      </c>
      <c r="J109" s="638" t="s">
        <v>539</v>
      </c>
      <c r="K109" s="638" t="s">
        <v>540</v>
      </c>
      <c r="L109" s="640">
        <v>84.569999999999979</v>
      </c>
      <c r="M109" s="640">
        <v>2</v>
      </c>
      <c r="N109" s="641">
        <v>169.13999999999996</v>
      </c>
    </row>
    <row r="110" spans="1:14" ht="14.4" customHeight="1" x14ac:dyDescent="0.3">
      <c r="A110" s="636" t="s">
        <v>507</v>
      </c>
      <c r="B110" s="637" t="s">
        <v>509</v>
      </c>
      <c r="C110" s="638" t="s">
        <v>527</v>
      </c>
      <c r="D110" s="639" t="s">
        <v>528</v>
      </c>
      <c r="E110" s="638" t="s">
        <v>510</v>
      </c>
      <c r="F110" s="639" t="s">
        <v>511</v>
      </c>
      <c r="G110" s="638" t="s">
        <v>531</v>
      </c>
      <c r="H110" s="638" t="s">
        <v>545</v>
      </c>
      <c r="I110" s="638" t="s">
        <v>546</v>
      </c>
      <c r="J110" s="638" t="s">
        <v>547</v>
      </c>
      <c r="K110" s="638" t="s">
        <v>548</v>
      </c>
      <c r="L110" s="640">
        <v>58.97</v>
      </c>
      <c r="M110" s="640">
        <v>1</v>
      </c>
      <c r="N110" s="641">
        <v>58.97</v>
      </c>
    </row>
    <row r="111" spans="1:14" ht="14.4" customHeight="1" x14ac:dyDescent="0.3">
      <c r="A111" s="636" t="s">
        <v>507</v>
      </c>
      <c r="B111" s="637" t="s">
        <v>509</v>
      </c>
      <c r="C111" s="638" t="s">
        <v>527</v>
      </c>
      <c r="D111" s="639" t="s">
        <v>528</v>
      </c>
      <c r="E111" s="638" t="s">
        <v>510</v>
      </c>
      <c r="F111" s="639" t="s">
        <v>511</v>
      </c>
      <c r="G111" s="638" t="s">
        <v>531</v>
      </c>
      <c r="H111" s="638" t="s">
        <v>590</v>
      </c>
      <c r="I111" s="638" t="s">
        <v>591</v>
      </c>
      <c r="J111" s="638" t="s">
        <v>592</v>
      </c>
      <c r="K111" s="638" t="s">
        <v>593</v>
      </c>
      <c r="L111" s="640">
        <v>87.83</v>
      </c>
      <c r="M111" s="640">
        <v>1</v>
      </c>
      <c r="N111" s="641">
        <v>87.83</v>
      </c>
    </row>
    <row r="112" spans="1:14" ht="14.4" customHeight="1" x14ac:dyDescent="0.3">
      <c r="A112" s="636" t="s">
        <v>507</v>
      </c>
      <c r="B112" s="637" t="s">
        <v>509</v>
      </c>
      <c r="C112" s="638" t="s">
        <v>527</v>
      </c>
      <c r="D112" s="639" t="s">
        <v>528</v>
      </c>
      <c r="E112" s="638" t="s">
        <v>510</v>
      </c>
      <c r="F112" s="639" t="s">
        <v>511</v>
      </c>
      <c r="G112" s="638" t="s">
        <v>531</v>
      </c>
      <c r="H112" s="638" t="s">
        <v>854</v>
      </c>
      <c r="I112" s="638" t="s">
        <v>246</v>
      </c>
      <c r="J112" s="638" t="s">
        <v>855</v>
      </c>
      <c r="K112" s="638"/>
      <c r="L112" s="640">
        <v>41.04</v>
      </c>
      <c r="M112" s="640">
        <v>5</v>
      </c>
      <c r="N112" s="641">
        <v>205.2</v>
      </c>
    </row>
    <row r="113" spans="1:14" ht="14.4" customHeight="1" x14ac:dyDescent="0.3">
      <c r="A113" s="636" t="s">
        <v>507</v>
      </c>
      <c r="B113" s="637" t="s">
        <v>509</v>
      </c>
      <c r="C113" s="638" t="s">
        <v>527</v>
      </c>
      <c r="D113" s="639" t="s">
        <v>528</v>
      </c>
      <c r="E113" s="638" t="s">
        <v>510</v>
      </c>
      <c r="F113" s="639" t="s">
        <v>511</v>
      </c>
      <c r="G113" s="638" t="s">
        <v>531</v>
      </c>
      <c r="H113" s="638" t="s">
        <v>809</v>
      </c>
      <c r="I113" s="638" t="s">
        <v>246</v>
      </c>
      <c r="J113" s="638" t="s">
        <v>810</v>
      </c>
      <c r="K113" s="638"/>
      <c r="L113" s="640">
        <v>42.710105230738797</v>
      </c>
      <c r="M113" s="640">
        <v>2</v>
      </c>
      <c r="N113" s="641">
        <v>85.420210461477595</v>
      </c>
    </row>
    <row r="114" spans="1:14" ht="14.4" customHeight="1" x14ac:dyDescent="0.3">
      <c r="A114" s="636" t="s">
        <v>507</v>
      </c>
      <c r="B114" s="637" t="s">
        <v>509</v>
      </c>
      <c r="C114" s="638" t="s">
        <v>527</v>
      </c>
      <c r="D114" s="639" t="s">
        <v>528</v>
      </c>
      <c r="E114" s="638" t="s">
        <v>510</v>
      </c>
      <c r="F114" s="639" t="s">
        <v>511</v>
      </c>
      <c r="G114" s="638" t="s">
        <v>531</v>
      </c>
      <c r="H114" s="638" t="s">
        <v>618</v>
      </c>
      <c r="I114" s="638" t="s">
        <v>619</v>
      </c>
      <c r="J114" s="638" t="s">
        <v>620</v>
      </c>
      <c r="K114" s="638" t="s">
        <v>621</v>
      </c>
      <c r="L114" s="640">
        <v>19.139862273998101</v>
      </c>
      <c r="M114" s="640">
        <v>3</v>
      </c>
      <c r="N114" s="641">
        <v>57.419586821994301</v>
      </c>
    </row>
    <row r="115" spans="1:14" ht="14.4" customHeight="1" x14ac:dyDescent="0.3">
      <c r="A115" s="636" t="s">
        <v>507</v>
      </c>
      <c r="B115" s="637" t="s">
        <v>509</v>
      </c>
      <c r="C115" s="638" t="s">
        <v>527</v>
      </c>
      <c r="D115" s="639" t="s">
        <v>528</v>
      </c>
      <c r="E115" s="638" t="s">
        <v>510</v>
      </c>
      <c r="F115" s="639" t="s">
        <v>511</v>
      </c>
      <c r="G115" s="638" t="s">
        <v>531</v>
      </c>
      <c r="H115" s="638" t="s">
        <v>811</v>
      </c>
      <c r="I115" s="638" t="s">
        <v>812</v>
      </c>
      <c r="J115" s="638" t="s">
        <v>813</v>
      </c>
      <c r="K115" s="638" t="s">
        <v>540</v>
      </c>
      <c r="L115" s="640">
        <v>121.969639569306</v>
      </c>
      <c r="M115" s="640">
        <v>1</v>
      </c>
      <c r="N115" s="641">
        <v>121.969639569306</v>
      </c>
    </row>
    <row r="116" spans="1:14" ht="14.4" customHeight="1" x14ac:dyDescent="0.3">
      <c r="A116" s="636" t="s">
        <v>507</v>
      </c>
      <c r="B116" s="637" t="s">
        <v>509</v>
      </c>
      <c r="C116" s="638" t="s">
        <v>527</v>
      </c>
      <c r="D116" s="639" t="s">
        <v>528</v>
      </c>
      <c r="E116" s="638" t="s">
        <v>510</v>
      </c>
      <c r="F116" s="639" t="s">
        <v>511</v>
      </c>
      <c r="G116" s="638" t="s">
        <v>531</v>
      </c>
      <c r="H116" s="638" t="s">
        <v>645</v>
      </c>
      <c r="I116" s="638" t="s">
        <v>646</v>
      </c>
      <c r="J116" s="638" t="s">
        <v>647</v>
      </c>
      <c r="K116" s="638" t="s">
        <v>648</v>
      </c>
      <c r="L116" s="640">
        <v>107.56076061404541</v>
      </c>
      <c r="M116" s="640">
        <v>129</v>
      </c>
      <c r="N116" s="641">
        <v>13875.338119211858</v>
      </c>
    </row>
    <row r="117" spans="1:14" ht="14.4" customHeight="1" x14ac:dyDescent="0.3">
      <c r="A117" s="636" t="s">
        <v>507</v>
      </c>
      <c r="B117" s="637" t="s">
        <v>509</v>
      </c>
      <c r="C117" s="638" t="s">
        <v>527</v>
      </c>
      <c r="D117" s="639" t="s">
        <v>528</v>
      </c>
      <c r="E117" s="638" t="s">
        <v>510</v>
      </c>
      <c r="F117" s="639" t="s">
        <v>511</v>
      </c>
      <c r="G117" s="638" t="s">
        <v>531</v>
      </c>
      <c r="H117" s="638" t="s">
        <v>814</v>
      </c>
      <c r="I117" s="638" t="s">
        <v>246</v>
      </c>
      <c r="J117" s="638" t="s">
        <v>815</v>
      </c>
      <c r="K117" s="638"/>
      <c r="L117" s="640">
        <v>39.119749345953501</v>
      </c>
      <c r="M117" s="640">
        <v>2</v>
      </c>
      <c r="N117" s="641">
        <v>78.239498691907002</v>
      </c>
    </row>
    <row r="118" spans="1:14" ht="14.4" customHeight="1" x14ac:dyDescent="0.3">
      <c r="A118" s="636" t="s">
        <v>507</v>
      </c>
      <c r="B118" s="637" t="s">
        <v>509</v>
      </c>
      <c r="C118" s="638" t="s">
        <v>527</v>
      </c>
      <c r="D118" s="639" t="s">
        <v>528</v>
      </c>
      <c r="E118" s="638" t="s">
        <v>510</v>
      </c>
      <c r="F118" s="639" t="s">
        <v>511</v>
      </c>
      <c r="G118" s="638" t="s">
        <v>531</v>
      </c>
      <c r="H118" s="638" t="s">
        <v>856</v>
      </c>
      <c r="I118" s="638" t="s">
        <v>857</v>
      </c>
      <c r="J118" s="638" t="s">
        <v>858</v>
      </c>
      <c r="K118" s="638" t="s">
        <v>859</v>
      </c>
      <c r="L118" s="640">
        <v>182.99999999999991</v>
      </c>
      <c r="M118" s="640">
        <v>1</v>
      </c>
      <c r="N118" s="641">
        <v>182.99999999999991</v>
      </c>
    </row>
    <row r="119" spans="1:14" ht="14.4" customHeight="1" x14ac:dyDescent="0.3">
      <c r="A119" s="636" t="s">
        <v>507</v>
      </c>
      <c r="B119" s="637" t="s">
        <v>509</v>
      </c>
      <c r="C119" s="638" t="s">
        <v>527</v>
      </c>
      <c r="D119" s="639" t="s">
        <v>528</v>
      </c>
      <c r="E119" s="638" t="s">
        <v>510</v>
      </c>
      <c r="F119" s="639" t="s">
        <v>511</v>
      </c>
      <c r="G119" s="638" t="s">
        <v>531</v>
      </c>
      <c r="H119" s="638" t="s">
        <v>822</v>
      </c>
      <c r="I119" s="638" t="s">
        <v>823</v>
      </c>
      <c r="J119" s="638" t="s">
        <v>824</v>
      </c>
      <c r="K119" s="638" t="s">
        <v>825</v>
      </c>
      <c r="L119" s="640">
        <v>292.08</v>
      </c>
      <c r="M119" s="640">
        <v>2</v>
      </c>
      <c r="N119" s="641">
        <v>584.16</v>
      </c>
    </row>
    <row r="120" spans="1:14" ht="14.4" customHeight="1" x14ac:dyDescent="0.3">
      <c r="A120" s="636" t="s">
        <v>507</v>
      </c>
      <c r="B120" s="637" t="s">
        <v>509</v>
      </c>
      <c r="C120" s="638" t="s">
        <v>527</v>
      </c>
      <c r="D120" s="639" t="s">
        <v>528</v>
      </c>
      <c r="E120" s="638" t="s">
        <v>510</v>
      </c>
      <c r="F120" s="639" t="s">
        <v>511</v>
      </c>
      <c r="G120" s="638" t="s">
        <v>531</v>
      </c>
      <c r="H120" s="638" t="s">
        <v>860</v>
      </c>
      <c r="I120" s="638" t="s">
        <v>861</v>
      </c>
      <c r="J120" s="638" t="s">
        <v>862</v>
      </c>
      <c r="K120" s="638" t="s">
        <v>863</v>
      </c>
      <c r="L120" s="640">
        <v>47.239959079159853</v>
      </c>
      <c r="M120" s="640">
        <v>2</v>
      </c>
      <c r="N120" s="641">
        <v>94.479918158319705</v>
      </c>
    </row>
    <row r="121" spans="1:14" ht="14.4" customHeight="1" x14ac:dyDescent="0.3">
      <c r="A121" s="636" t="s">
        <v>507</v>
      </c>
      <c r="B121" s="637" t="s">
        <v>509</v>
      </c>
      <c r="C121" s="638" t="s">
        <v>527</v>
      </c>
      <c r="D121" s="639" t="s">
        <v>528</v>
      </c>
      <c r="E121" s="638" t="s">
        <v>510</v>
      </c>
      <c r="F121" s="639" t="s">
        <v>511</v>
      </c>
      <c r="G121" s="638" t="s">
        <v>531</v>
      </c>
      <c r="H121" s="638" t="s">
        <v>686</v>
      </c>
      <c r="I121" s="638" t="s">
        <v>687</v>
      </c>
      <c r="J121" s="638" t="s">
        <v>688</v>
      </c>
      <c r="K121" s="638" t="s">
        <v>689</v>
      </c>
      <c r="L121" s="640">
        <v>74.436977777777614</v>
      </c>
      <c r="M121" s="640">
        <v>9</v>
      </c>
      <c r="N121" s="641">
        <v>669.93279999999856</v>
      </c>
    </row>
    <row r="122" spans="1:14" ht="14.4" customHeight="1" x14ac:dyDescent="0.3">
      <c r="A122" s="636" t="s">
        <v>507</v>
      </c>
      <c r="B122" s="637" t="s">
        <v>509</v>
      </c>
      <c r="C122" s="638" t="s">
        <v>527</v>
      </c>
      <c r="D122" s="639" t="s">
        <v>528</v>
      </c>
      <c r="E122" s="638" t="s">
        <v>510</v>
      </c>
      <c r="F122" s="639" t="s">
        <v>511</v>
      </c>
      <c r="G122" s="638" t="s">
        <v>531</v>
      </c>
      <c r="H122" s="638" t="s">
        <v>836</v>
      </c>
      <c r="I122" s="638" t="s">
        <v>246</v>
      </c>
      <c r="J122" s="638" t="s">
        <v>837</v>
      </c>
      <c r="K122" s="638"/>
      <c r="L122" s="640">
        <v>93.510281137453987</v>
      </c>
      <c r="M122" s="640">
        <v>12</v>
      </c>
      <c r="N122" s="641">
        <v>1122.1233736494478</v>
      </c>
    </row>
    <row r="123" spans="1:14" ht="14.4" customHeight="1" x14ac:dyDescent="0.3">
      <c r="A123" s="636" t="s">
        <v>507</v>
      </c>
      <c r="B123" s="637" t="s">
        <v>509</v>
      </c>
      <c r="C123" s="638" t="s">
        <v>527</v>
      </c>
      <c r="D123" s="639" t="s">
        <v>528</v>
      </c>
      <c r="E123" s="638" t="s">
        <v>510</v>
      </c>
      <c r="F123" s="639" t="s">
        <v>511</v>
      </c>
      <c r="G123" s="638" t="s">
        <v>531</v>
      </c>
      <c r="H123" s="638" t="s">
        <v>838</v>
      </c>
      <c r="I123" s="638" t="s">
        <v>246</v>
      </c>
      <c r="J123" s="638" t="s">
        <v>839</v>
      </c>
      <c r="K123" s="638"/>
      <c r="L123" s="640">
        <v>98.414538038449322</v>
      </c>
      <c r="M123" s="640">
        <v>11</v>
      </c>
      <c r="N123" s="641">
        <v>1082.5599184229425</v>
      </c>
    </row>
    <row r="124" spans="1:14" ht="14.4" customHeight="1" x14ac:dyDescent="0.3">
      <c r="A124" s="636" t="s">
        <v>507</v>
      </c>
      <c r="B124" s="637" t="s">
        <v>509</v>
      </c>
      <c r="C124" s="638" t="s">
        <v>527</v>
      </c>
      <c r="D124" s="639" t="s">
        <v>528</v>
      </c>
      <c r="E124" s="638" t="s">
        <v>510</v>
      </c>
      <c r="F124" s="639" t="s">
        <v>511</v>
      </c>
      <c r="G124" s="638" t="s">
        <v>531</v>
      </c>
      <c r="H124" s="638" t="s">
        <v>840</v>
      </c>
      <c r="I124" s="638" t="s">
        <v>246</v>
      </c>
      <c r="J124" s="638" t="s">
        <v>841</v>
      </c>
      <c r="K124" s="638"/>
      <c r="L124" s="640">
        <v>101.79938001145405</v>
      </c>
      <c r="M124" s="640">
        <v>4</v>
      </c>
      <c r="N124" s="641">
        <v>407.19752004581619</v>
      </c>
    </row>
    <row r="125" spans="1:14" ht="14.4" customHeight="1" x14ac:dyDescent="0.3">
      <c r="A125" s="636" t="s">
        <v>507</v>
      </c>
      <c r="B125" s="637" t="s">
        <v>509</v>
      </c>
      <c r="C125" s="638" t="s">
        <v>527</v>
      </c>
      <c r="D125" s="639" t="s">
        <v>528</v>
      </c>
      <c r="E125" s="638" t="s">
        <v>510</v>
      </c>
      <c r="F125" s="639" t="s">
        <v>511</v>
      </c>
      <c r="G125" s="638" t="s">
        <v>531</v>
      </c>
      <c r="H125" s="638" t="s">
        <v>842</v>
      </c>
      <c r="I125" s="638" t="s">
        <v>246</v>
      </c>
      <c r="J125" s="638" t="s">
        <v>843</v>
      </c>
      <c r="K125" s="638" t="s">
        <v>701</v>
      </c>
      <c r="L125" s="640">
        <v>82.716033805918116</v>
      </c>
      <c r="M125" s="640">
        <v>24</v>
      </c>
      <c r="N125" s="641">
        <v>1985.1848113420349</v>
      </c>
    </row>
    <row r="126" spans="1:14" ht="14.4" customHeight="1" x14ac:dyDescent="0.3">
      <c r="A126" s="636" t="s">
        <v>507</v>
      </c>
      <c r="B126" s="637" t="s">
        <v>509</v>
      </c>
      <c r="C126" s="638" t="s">
        <v>527</v>
      </c>
      <c r="D126" s="639" t="s">
        <v>528</v>
      </c>
      <c r="E126" s="638" t="s">
        <v>510</v>
      </c>
      <c r="F126" s="639" t="s">
        <v>511</v>
      </c>
      <c r="G126" s="638" t="s">
        <v>531</v>
      </c>
      <c r="H126" s="638" t="s">
        <v>864</v>
      </c>
      <c r="I126" s="638" t="s">
        <v>246</v>
      </c>
      <c r="J126" s="638" t="s">
        <v>865</v>
      </c>
      <c r="K126" s="638"/>
      <c r="L126" s="640">
        <v>273.56015918089707</v>
      </c>
      <c r="M126" s="640">
        <v>14</v>
      </c>
      <c r="N126" s="641">
        <v>3829.8422285325587</v>
      </c>
    </row>
    <row r="127" spans="1:14" ht="14.4" customHeight="1" x14ac:dyDescent="0.3">
      <c r="A127" s="636" t="s">
        <v>507</v>
      </c>
      <c r="B127" s="637" t="s">
        <v>509</v>
      </c>
      <c r="C127" s="638" t="s">
        <v>527</v>
      </c>
      <c r="D127" s="639" t="s">
        <v>528</v>
      </c>
      <c r="E127" s="638" t="s">
        <v>510</v>
      </c>
      <c r="F127" s="639" t="s">
        <v>511</v>
      </c>
      <c r="G127" s="638" t="s">
        <v>531</v>
      </c>
      <c r="H127" s="638" t="s">
        <v>713</v>
      </c>
      <c r="I127" s="638" t="s">
        <v>246</v>
      </c>
      <c r="J127" s="638" t="s">
        <v>714</v>
      </c>
      <c r="K127" s="638"/>
      <c r="L127" s="640">
        <v>157.92293094945279</v>
      </c>
      <c r="M127" s="640">
        <v>2</v>
      </c>
      <c r="N127" s="641">
        <v>315.84586189890558</v>
      </c>
    </row>
    <row r="128" spans="1:14" ht="14.4" customHeight="1" x14ac:dyDescent="0.3">
      <c r="A128" s="636" t="s">
        <v>507</v>
      </c>
      <c r="B128" s="637" t="s">
        <v>509</v>
      </c>
      <c r="C128" s="638" t="s">
        <v>527</v>
      </c>
      <c r="D128" s="639" t="s">
        <v>528</v>
      </c>
      <c r="E128" s="638" t="s">
        <v>510</v>
      </c>
      <c r="F128" s="639" t="s">
        <v>511</v>
      </c>
      <c r="G128" s="638" t="s">
        <v>531</v>
      </c>
      <c r="H128" s="638" t="s">
        <v>717</v>
      </c>
      <c r="I128" s="638" t="s">
        <v>717</v>
      </c>
      <c r="J128" s="638" t="s">
        <v>547</v>
      </c>
      <c r="K128" s="638" t="s">
        <v>718</v>
      </c>
      <c r="L128" s="640">
        <v>60.259999999999984</v>
      </c>
      <c r="M128" s="640">
        <v>1</v>
      </c>
      <c r="N128" s="641">
        <v>60.259999999999984</v>
      </c>
    </row>
    <row r="129" spans="1:14" ht="14.4" customHeight="1" x14ac:dyDescent="0.3">
      <c r="A129" s="636" t="s">
        <v>507</v>
      </c>
      <c r="B129" s="637" t="s">
        <v>509</v>
      </c>
      <c r="C129" s="638" t="s">
        <v>527</v>
      </c>
      <c r="D129" s="639" t="s">
        <v>528</v>
      </c>
      <c r="E129" s="638" t="s">
        <v>516</v>
      </c>
      <c r="F129" s="639" t="s">
        <v>517</v>
      </c>
      <c r="G129" s="638" t="s">
        <v>531</v>
      </c>
      <c r="H129" s="638" t="s">
        <v>850</v>
      </c>
      <c r="I129" s="638" t="s">
        <v>851</v>
      </c>
      <c r="J129" s="638" t="s">
        <v>852</v>
      </c>
      <c r="K129" s="638" t="s">
        <v>853</v>
      </c>
      <c r="L129" s="640">
        <v>86.570174257657854</v>
      </c>
      <c r="M129" s="640">
        <v>2</v>
      </c>
      <c r="N129" s="641">
        <v>173.14034851531571</v>
      </c>
    </row>
    <row r="130" spans="1:14" ht="14.4" customHeight="1" x14ac:dyDescent="0.3">
      <c r="A130" s="636" t="s">
        <v>507</v>
      </c>
      <c r="B130" s="637" t="s">
        <v>509</v>
      </c>
      <c r="C130" s="638" t="s">
        <v>527</v>
      </c>
      <c r="D130" s="639" t="s">
        <v>528</v>
      </c>
      <c r="E130" s="638" t="s">
        <v>516</v>
      </c>
      <c r="F130" s="639" t="s">
        <v>517</v>
      </c>
      <c r="G130" s="638" t="s">
        <v>719</v>
      </c>
      <c r="H130" s="638" t="s">
        <v>784</v>
      </c>
      <c r="I130" s="638" t="s">
        <v>785</v>
      </c>
      <c r="J130" s="638" t="s">
        <v>786</v>
      </c>
      <c r="K130" s="638" t="s">
        <v>787</v>
      </c>
      <c r="L130" s="640">
        <v>169.79000000000002</v>
      </c>
      <c r="M130" s="640">
        <v>6</v>
      </c>
      <c r="N130" s="641">
        <v>1018.7400000000001</v>
      </c>
    </row>
    <row r="131" spans="1:14" ht="14.4" customHeight="1" x14ac:dyDescent="0.3">
      <c r="A131" s="636" t="s">
        <v>507</v>
      </c>
      <c r="B131" s="637" t="s">
        <v>509</v>
      </c>
      <c r="C131" s="638" t="s">
        <v>527</v>
      </c>
      <c r="D131" s="639" t="s">
        <v>528</v>
      </c>
      <c r="E131" s="638" t="s">
        <v>516</v>
      </c>
      <c r="F131" s="639" t="s">
        <v>517</v>
      </c>
      <c r="G131" s="638" t="s">
        <v>719</v>
      </c>
      <c r="H131" s="638" t="s">
        <v>800</v>
      </c>
      <c r="I131" s="638" t="s">
        <v>801</v>
      </c>
      <c r="J131" s="638" t="s">
        <v>802</v>
      </c>
      <c r="K131" s="638" t="s">
        <v>803</v>
      </c>
      <c r="L131" s="640">
        <v>104.41997674398911</v>
      </c>
      <c r="M131" s="640">
        <v>4</v>
      </c>
      <c r="N131" s="641">
        <v>417.67990697595644</v>
      </c>
    </row>
    <row r="132" spans="1:14" ht="14.4" customHeight="1" x14ac:dyDescent="0.3">
      <c r="A132" s="636" t="s">
        <v>507</v>
      </c>
      <c r="B132" s="637" t="s">
        <v>509</v>
      </c>
      <c r="C132" s="638" t="s">
        <v>529</v>
      </c>
      <c r="D132" s="639" t="s">
        <v>530</v>
      </c>
      <c r="E132" s="638" t="s">
        <v>510</v>
      </c>
      <c r="F132" s="639" t="s">
        <v>511</v>
      </c>
      <c r="G132" s="638" t="s">
        <v>531</v>
      </c>
      <c r="H132" s="638" t="s">
        <v>535</v>
      </c>
      <c r="I132" s="638" t="s">
        <v>535</v>
      </c>
      <c r="J132" s="638" t="s">
        <v>533</v>
      </c>
      <c r="K132" s="638" t="s">
        <v>536</v>
      </c>
      <c r="L132" s="640">
        <v>97.75</v>
      </c>
      <c r="M132" s="640">
        <v>1</v>
      </c>
      <c r="N132" s="641">
        <v>97.75</v>
      </c>
    </row>
    <row r="133" spans="1:14" ht="14.4" customHeight="1" x14ac:dyDescent="0.3">
      <c r="A133" s="636" t="s">
        <v>507</v>
      </c>
      <c r="B133" s="637" t="s">
        <v>509</v>
      </c>
      <c r="C133" s="638" t="s">
        <v>529</v>
      </c>
      <c r="D133" s="639" t="s">
        <v>530</v>
      </c>
      <c r="E133" s="638" t="s">
        <v>510</v>
      </c>
      <c r="F133" s="639" t="s">
        <v>511</v>
      </c>
      <c r="G133" s="638" t="s">
        <v>531</v>
      </c>
      <c r="H133" s="638" t="s">
        <v>537</v>
      </c>
      <c r="I133" s="638" t="s">
        <v>538</v>
      </c>
      <c r="J133" s="638" t="s">
        <v>539</v>
      </c>
      <c r="K133" s="638" t="s">
        <v>540</v>
      </c>
      <c r="L133" s="640">
        <v>84.57</v>
      </c>
      <c r="M133" s="640">
        <v>1</v>
      </c>
      <c r="N133" s="641">
        <v>84.57</v>
      </c>
    </row>
    <row r="134" spans="1:14" ht="14.4" customHeight="1" x14ac:dyDescent="0.3">
      <c r="A134" s="636" t="s">
        <v>507</v>
      </c>
      <c r="B134" s="637" t="s">
        <v>509</v>
      </c>
      <c r="C134" s="638" t="s">
        <v>529</v>
      </c>
      <c r="D134" s="639" t="s">
        <v>530</v>
      </c>
      <c r="E134" s="638" t="s">
        <v>510</v>
      </c>
      <c r="F134" s="639" t="s">
        <v>511</v>
      </c>
      <c r="G134" s="638" t="s">
        <v>531</v>
      </c>
      <c r="H134" s="638" t="s">
        <v>594</v>
      </c>
      <c r="I134" s="638" t="s">
        <v>595</v>
      </c>
      <c r="J134" s="638" t="s">
        <v>596</v>
      </c>
      <c r="K134" s="638" t="s">
        <v>597</v>
      </c>
      <c r="L134" s="640">
        <v>122.98</v>
      </c>
      <c r="M134" s="640">
        <v>1</v>
      </c>
      <c r="N134" s="641">
        <v>122.98</v>
      </c>
    </row>
    <row r="135" spans="1:14" ht="14.4" customHeight="1" x14ac:dyDescent="0.3">
      <c r="A135" s="636" t="s">
        <v>507</v>
      </c>
      <c r="B135" s="637" t="s">
        <v>509</v>
      </c>
      <c r="C135" s="638" t="s">
        <v>529</v>
      </c>
      <c r="D135" s="639" t="s">
        <v>530</v>
      </c>
      <c r="E135" s="638" t="s">
        <v>510</v>
      </c>
      <c r="F135" s="639" t="s">
        <v>511</v>
      </c>
      <c r="G135" s="638" t="s">
        <v>531</v>
      </c>
      <c r="H135" s="638" t="s">
        <v>866</v>
      </c>
      <c r="I135" s="638" t="s">
        <v>246</v>
      </c>
      <c r="J135" s="638" t="s">
        <v>867</v>
      </c>
      <c r="K135" s="638"/>
      <c r="L135" s="640">
        <v>48.1</v>
      </c>
      <c r="M135" s="640">
        <v>2</v>
      </c>
      <c r="N135" s="641">
        <v>96.2</v>
      </c>
    </row>
    <row r="136" spans="1:14" ht="14.4" customHeight="1" x14ac:dyDescent="0.3">
      <c r="A136" s="636" t="s">
        <v>507</v>
      </c>
      <c r="B136" s="637" t="s">
        <v>509</v>
      </c>
      <c r="C136" s="638" t="s">
        <v>529</v>
      </c>
      <c r="D136" s="639" t="s">
        <v>530</v>
      </c>
      <c r="E136" s="638" t="s">
        <v>510</v>
      </c>
      <c r="F136" s="639" t="s">
        <v>511</v>
      </c>
      <c r="G136" s="638" t="s">
        <v>531</v>
      </c>
      <c r="H136" s="638" t="s">
        <v>809</v>
      </c>
      <c r="I136" s="638" t="s">
        <v>246</v>
      </c>
      <c r="J136" s="638" t="s">
        <v>810</v>
      </c>
      <c r="K136" s="638"/>
      <c r="L136" s="640">
        <v>42.71</v>
      </c>
      <c r="M136" s="640">
        <v>2</v>
      </c>
      <c r="N136" s="641">
        <v>85.42</v>
      </c>
    </row>
    <row r="137" spans="1:14" ht="14.4" customHeight="1" x14ac:dyDescent="0.3">
      <c r="A137" s="636" t="s">
        <v>507</v>
      </c>
      <c r="B137" s="637" t="s">
        <v>509</v>
      </c>
      <c r="C137" s="638" t="s">
        <v>529</v>
      </c>
      <c r="D137" s="639" t="s">
        <v>530</v>
      </c>
      <c r="E137" s="638" t="s">
        <v>510</v>
      </c>
      <c r="F137" s="639" t="s">
        <v>511</v>
      </c>
      <c r="G137" s="638" t="s">
        <v>531</v>
      </c>
      <c r="H137" s="638" t="s">
        <v>868</v>
      </c>
      <c r="I137" s="638" t="s">
        <v>869</v>
      </c>
      <c r="J137" s="638" t="s">
        <v>870</v>
      </c>
      <c r="K137" s="638" t="s">
        <v>871</v>
      </c>
      <c r="L137" s="640">
        <v>177.79904955949439</v>
      </c>
      <c r="M137" s="640">
        <v>1</v>
      </c>
      <c r="N137" s="641">
        <v>177.79904955949439</v>
      </c>
    </row>
    <row r="138" spans="1:14" ht="14.4" customHeight="1" x14ac:dyDescent="0.3">
      <c r="A138" s="636" t="s">
        <v>507</v>
      </c>
      <c r="B138" s="637" t="s">
        <v>509</v>
      </c>
      <c r="C138" s="638" t="s">
        <v>529</v>
      </c>
      <c r="D138" s="639" t="s">
        <v>530</v>
      </c>
      <c r="E138" s="638" t="s">
        <v>510</v>
      </c>
      <c r="F138" s="639" t="s">
        <v>511</v>
      </c>
      <c r="G138" s="638" t="s">
        <v>531</v>
      </c>
      <c r="H138" s="638" t="s">
        <v>645</v>
      </c>
      <c r="I138" s="638" t="s">
        <v>646</v>
      </c>
      <c r="J138" s="638" t="s">
        <v>647</v>
      </c>
      <c r="K138" s="638" t="s">
        <v>648</v>
      </c>
      <c r="L138" s="640">
        <v>107.56611500801942</v>
      </c>
      <c r="M138" s="640">
        <v>55</v>
      </c>
      <c r="N138" s="641">
        <v>5916.136325441068</v>
      </c>
    </row>
    <row r="139" spans="1:14" ht="14.4" customHeight="1" x14ac:dyDescent="0.3">
      <c r="A139" s="636" t="s">
        <v>507</v>
      </c>
      <c r="B139" s="637" t="s">
        <v>509</v>
      </c>
      <c r="C139" s="638" t="s">
        <v>529</v>
      </c>
      <c r="D139" s="639" t="s">
        <v>530</v>
      </c>
      <c r="E139" s="638" t="s">
        <v>510</v>
      </c>
      <c r="F139" s="639" t="s">
        <v>511</v>
      </c>
      <c r="G139" s="638" t="s">
        <v>531</v>
      </c>
      <c r="H139" s="638" t="s">
        <v>872</v>
      </c>
      <c r="I139" s="638" t="s">
        <v>246</v>
      </c>
      <c r="J139" s="638" t="s">
        <v>873</v>
      </c>
      <c r="K139" s="638"/>
      <c r="L139" s="640">
        <v>354.51955062965737</v>
      </c>
      <c r="M139" s="640">
        <v>8</v>
      </c>
      <c r="N139" s="641">
        <v>2836.156405037259</v>
      </c>
    </row>
    <row r="140" spans="1:14" ht="14.4" customHeight="1" x14ac:dyDescent="0.3">
      <c r="A140" s="636" t="s">
        <v>507</v>
      </c>
      <c r="B140" s="637" t="s">
        <v>509</v>
      </c>
      <c r="C140" s="638" t="s">
        <v>529</v>
      </c>
      <c r="D140" s="639" t="s">
        <v>530</v>
      </c>
      <c r="E140" s="638" t="s">
        <v>510</v>
      </c>
      <c r="F140" s="639" t="s">
        <v>511</v>
      </c>
      <c r="G140" s="638" t="s">
        <v>531</v>
      </c>
      <c r="H140" s="638" t="s">
        <v>874</v>
      </c>
      <c r="I140" s="638" t="s">
        <v>246</v>
      </c>
      <c r="J140" s="638" t="s">
        <v>875</v>
      </c>
      <c r="K140" s="638"/>
      <c r="L140" s="640">
        <v>356.14672085535102</v>
      </c>
      <c r="M140" s="640">
        <v>1</v>
      </c>
      <c r="N140" s="641">
        <v>356.14672085535102</v>
      </c>
    </row>
    <row r="141" spans="1:14" ht="14.4" customHeight="1" x14ac:dyDescent="0.3">
      <c r="A141" s="636" t="s">
        <v>507</v>
      </c>
      <c r="B141" s="637" t="s">
        <v>509</v>
      </c>
      <c r="C141" s="638" t="s">
        <v>529</v>
      </c>
      <c r="D141" s="639" t="s">
        <v>530</v>
      </c>
      <c r="E141" s="638" t="s">
        <v>510</v>
      </c>
      <c r="F141" s="639" t="s">
        <v>511</v>
      </c>
      <c r="G141" s="638" t="s">
        <v>531</v>
      </c>
      <c r="H141" s="638" t="s">
        <v>816</v>
      </c>
      <c r="I141" s="638" t="s">
        <v>817</v>
      </c>
      <c r="J141" s="638" t="s">
        <v>818</v>
      </c>
      <c r="K141" s="638" t="s">
        <v>819</v>
      </c>
      <c r="L141" s="640">
        <v>111.19</v>
      </c>
      <c r="M141" s="640">
        <v>2</v>
      </c>
      <c r="N141" s="641">
        <v>222.38</v>
      </c>
    </row>
    <row r="142" spans="1:14" ht="14.4" customHeight="1" x14ac:dyDescent="0.3">
      <c r="A142" s="636" t="s">
        <v>507</v>
      </c>
      <c r="B142" s="637" t="s">
        <v>509</v>
      </c>
      <c r="C142" s="638" t="s">
        <v>529</v>
      </c>
      <c r="D142" s="639" t="s">
        <v>530</v>
      </c>
      <c r="E142" s="638" t="s">
        <v>510</v>
      </c>
      <c r="F142" s="639" t="s">
        <v>511</v>
      </c>
      <c r="G142" s="638" t="s">
        <v>531</v>
      </c>
      <c r="H142" s="638" t="s">
        <v>651</v>
      </c>
      <c r="I142" s="638" t="s">
        <v>246</v>
      </c>
      <c r="J142" s="638" t="s">
        <v>652</v>
      </c>
      <c r="K142" s="638" t="s">
        <v>653</v>
      </c>
      <c r="L142" s="640">
        <v>23.7</v>
      </c>
      <c r="M142" s="640">
        <v>54</v>
      </c>
      <c r="N142" s="641">
        <v>1279.8</v>
      </c>
    </row>
    <row r="143" spans="1:14" ht="14.4" customHeight="1" x14ac:dyDescent="0.3">
      <c r="A143" s="636" t="s">
        <v>507</v>
      </c>
      <c r="B143" s="637" t="s">
        <v>509</v>
      </c>
      <c r="C143" s="638" t="s">
        <v>529</v>
      </c>
      <c r="D143" s="639" t="s">
        <v>530</v>
      </c>
      <c r="E143" s="638" t="s">
        <v>510</v>
      </c>
      <c r="F143" s="639" t="s">
        <v>511</v>
      </c>
      <c r="G143" s="638" t="s">
        <v>531</v>
      </c>
      <c r="H143" s="638" t="s">
        <v>654</v>
      </c>
      <c r="I143" s="638" t="s">
        <v>246</v>
      </c>
      <c r="J143" s="638" t="s">
        <v>655</v>
      </c>
      <c r="K143" s="638" t="s">
        <v>653</v>
      </c>
      <c r="L143" s="640">
        <v>24.037194261613507</v>
      </c>
      <c r="M143" s="640">
        <v>36</v>
      </c>
      <c r="N143" s="641">
        <v>865.33899341808626</v>
      </c>
    </row>
    <row r="144" spans="1:14" ht="14.4" customHeight="1" x14ac:dyDescent="0.3">
      <c r="A144" s="636" t="s">
        <v>507</v>
      </c>
      <c r="B144" s="637" t="s">
        <v>509</v>
      </c>
      <c r="C144" s="638" t="s">
        <v>529</v>
      </c>
      <c r="D144" s="639" t="s">
        <v>530</v>
      </c>
      <c r="E144" s="638" t="s">
        <v>510</v>
      </c>
      <c r="F144" s="639" t="s">
        <v>511</v>
      </c>
      <c r="G144" s="638" t="s">
        <v>531</v>
      </c>
      <c r="H144" s="638" t="s">
        <v>876</v>
      </c>
      <c r="I144" s="638" t="s">
        <v>246</v>
      </c>
      <c r="J144" s="638" t="s">
        <v>877</v>
      </c>
      <c r="K144" s="638"/>
      <c r="L144" s="640">
        <v>60.562599384630552</v>
      </c>
      <c r="M144" s="640">
        <v>1</v>
      </c>
      <c r="N144" s="641">
        <v>60.562599384630552</v>
      </c>
    </row>
    <row r="145" spans="1:14" ht="14.4" customHeight="1" x14ac:dyDescent="0.3">
      <c r="A145" s="636" t="s">
        <v>507</v>
      </c>
      <c r="B145" s="637" t="s">
        <v>509</v>
      </c>
      <c r="C145" s="638" t="s">
        <v>529</v>
      </c>
      <c r="D145" s="639" t="s">
        <v>530</v>
      </c>
      <c r="E145" s="638" t="s">
        <v>510</v>
      </c>
      <c r="F145" s="639" t="s">
        <v>511</v>
      </c>
      <c r="G145" s="638" t="s">
        <v>531</v>
      </c>
      <c r="H145" s="638" t="s">
        <v>878</v>
      </c>
      <c r="I145" s="638" t="s">
        <v>246</v>
      </c>
      <c r="J145" s="638" t="s">
        <v>879</v>
      </c>
      <c r="K145" s="638"/>
      <c r="L145" s="640">
        <v>235.32075535556501</v>
      </c>
      <c r="M145" s="640">
        <v>3</v>
      </c>
      <c r="N145" s="641">
        <v>705.96226606669507</v>
      </c>
    </row>
    <row r="146" spans="1:14" ht="14.4" customHeight="1" x14ac:dyDescent="0.3">
      <c r="A146" s="636" t="s">
        <v>507</v>
      </c>
      <c r="B146" s="637" t="s">
        <v>509</v>
      </c>
      <c r="C146" s="638" t="s">
        <v>529</v>
      </c>
      <c r="D146" s="639" t="s">
        <v>530</v>
      </c>
      <c r="E146" s="638" t="s">
        <v>510</v>
      </c>
      <c r="F146" s="639" t="s">
        <v>511</v>
      </c>
      <c r="G146" s="638" t="s">
        <v>531</v>
      </c>
      <c r="H146" s="638" t="s">
        <v>880</v>
      </c>
      <c r="I146" s="638" t="s">
        <v>246</v>
      </c>
      <c r="J146" s="638" t="s">
        <v>881</v>
      </c>
      <c r="K146" s="638"/>
      <c r="L146" s="640">
        <v>234.34044395924153</v>
      </c>
      <c r="M146" s="640">
        <v>2</v>
      </c>
      <c r="N146" s="641">
        <v>468.68088791848305</v>
      </c>
    </row>
    <row r="147" spans="1:14" ht="14.4" customHeight="1" x14ac:dyDescent="0.3">
      <c r="A147" s="636" t="s">
        <v>507</v>
      </c>
      <c r="B147" s="637" t="s">
        <v>509</v>
      </c>
      <c r="C147" s="638" t="s">
        <v>529</v>
      </c>
      <c r="D147" s="639" t="s">
        <v>530</v>
      </c>
      <c r="E147" s="638" t="s">
        <v>510</v>
      </c>
      <c r="F147" s="639" t="s">
        <v>511</v>
      </c>
      <c r="G147" s="638" t="s">
        <v>531</v>
      </c>
      <c r="H147" s="638" t="s">
        <v>882</v>
      </c>
      <c r="I147" s="638" t="s">
        <v>246</v>
      </c>
      <c r="J147" s="638" t="s">
        <v>883</v>
      </c>
      <c r="K147" s="638"/>
      <c r="L147" s="640">
        <v>162.85948602214199</v>
      </c>
      <c r="M147" s="640">
        <v>1</v>
      </c>
      <c r="N147" s="641">
        <v>162.85948602214199</v>
      </c>
    </row>
    <row r="148" spans="1:14" ht="14.4" customHeight="1" x14ac:dyDescent="0.3">
      <c r="A148" s="636" t="s">
        <v>507</v>
      </c>
      <c r="B148" s="637" t="s">
        <v>509</v>
      </c>
      <c r="C148" s="638" t="s">
        <v>529</v>
      </c>
      <c r="D148" s="639" t="s">
        <v>530</v>
      </c>
      <c r="E148" s="638" t="s">
        <v>510</v>
      </c>
      <c r="F148" s="639" t="s">
        <v>511</v>
      </c>
      <c r="G148" s="638" t="s">
        <v>531</v>
      </c>
      <c r="H148" s="638" t="s">
        <v>686</v>
      </c>
      <c r="I148" s="638" t="s">
        <v>687</v>
      </c>
      <c r="J148" s="638" t="s">
        <v>688</v>
      </c>
      <c r="K148" s="638" t="s">
        <v>689</v>
      </c>
      <c r="L148" s="640">
        <v>75.449119999999908</v>
      </c>
      <c r="M148" s="640">
        <v>5</v>
      </c>
      <c r="N148" s="641">
        <v>377.24559999999957</v>
      </c>
    </row>
    <row r="149" spans="1:14" ht="14.4" customHeight="1" x14ac:dyDescent="0.3">
      <c r="A149" s="636" t="s">
        <v>507</v>
      </c>
      <c r="B149" s="637" t="s">
        <v>509</v>
      </c>
      <c r="C149" s="638" t="s">
        <v>529</v>
      </c>
      <c r="D149" s="639" t="s">
        <v>530</v>
      </c>
      <c r="E149" s="638" t="s">
        <v>510</v>
      </c>
      <c r="F149" s="639" t="s">
        <v>511</v>
      </c>
      <c r="G149" s="638" t="s">
        <v>531</v>
      </c>
      <c r="H149" s="638" t="s">
        <v>884</v>
      </c>
      <c r="I149" s="638" t="s">
        <v>246</v>
      </c>
      <c r="J149" s="638" t="s">
        <v>885</v>
      </c>
      <c r="K149" s="638" t="s">
        <v>886</v>
      </c>
      <c r="L149" s="640">
        <v>85.873665785757197</v>
      </c>
      <c r="M149" s="640">
        <v>1</v>
      </c>
      <c r="N149" s="641">
        <v>85.873665785757197</v>
      </c>
    </row>
    <row r="150" spans="1:14" ht="14.4" customHeight="1" x14ac:dyDescent="0.3">
      <c r="A150" s="636" t="s">
        <v>507</v>
      </c>
      <c r="B150" s="637" t="s">
        <v>509</v>
      </c>
      <c r="C150" s="638" t="s">
        <v>529</v>
      </c>
      <c r="D150" s="639" t="s">
        <v>530</v>
      </c>
      <c r="E150" s="638" t="s">
        <v>510</v>
      </c>
      <c r="F150" s="639" t="s">
        <v>511</v>
      </c>
      <c r="G150" s="638" t="s">
        <v>531</v>
      </c>
      <c r="H150" s="638" t="s">
        <v>832</v>
      </c>
      <c r="I150" s="638" t="s">
        <v>833</v>
      </c>
      <c r="J150" s="638" t="s">
        <v>834</v>
      </c>
      <c r="K150" s="638" t="s">
        <v>835</v>
      </c>
      <c r="L150" s="640">
        <v>201.78023806337498</v>
      </c>
      <c r="M150" s="640">
        <v>1</v>
      </c>
      <c r="N150" s="641">
        <v>201.78023806337498</v>
      </c>
    </row>
    <row r="151" spans="1:14" ht="14.4" customHeight="1" x14ac:dyDescent="0.3">
      <c r="A151" s="636" t="s">
        <v>507</v>
      </c>
      <c r="B151" s="637" t="s">
        <v>509</v>
      </c>
      <c r="C151" s="638" t="s">
        <v>529</v>
      </c>
      <c r="D151" s="639" t="s">
        <v>530</v>
      </c>
      <c r="E151" s="638" t="s">
        <v>510</v>
      </c>
      <c r="F151" s="639" t="s">
        <v>511</v>
      </c>
      <c r="G151" s="638" t="s">
        <v>531</v>
      </c>
      <c r="H151" s="638" t="s">
        <v>836</v>
      </c>
      <c r="I151" s="638" t="s">
        <v>246</v>
      </c>
      <c r="J151" s="638" t="s">
        <v>837</v>
      </c>
      <c r="K151" s="638"/>
      <c r="L151" s="640">
        <v>96.669440015155303</v>
      </c>
      <c r="M151" s="640">
        <v>1</v>
      </c>
      <c r="N151" s="641">
        <v>96.669440015155303</v>
      </c>
    </row>
    <row r="152" spans="1:14" ht="14.4" customHeight="1" x14ac:dyDescent="0.3">
      <c r="A152" s="636" t="s">
        <v>507</v>
      </c>
      <c r="B152" s="637" t="s">
        <v>509</v>
      </c>
      <c r="C152" s="638" t="s">
        <v>529</v>
      </c>
      <c r="D152" s="639" t="s">
        <v>530</v>
      </c>
      <c r="E152" s="638" t="s">
        <v>510</v>
      </c>
      <c r="F152" s="639" t="s">
        <v>511</v>
      </c>
      <c r="G152" s="638" t="s">
        <v>531</v>
      </c>
      <c r="H152" s="638" t="s">
        <v>842</v>
      </c>
      <c r="I152" s="638" t="s">
        <v>246</v>
      </c>
      <c r="J152" s="638" t="s">
        <v>843</v>
      </c>
      <c r="K152" s="638" t="s">
        <v>701</v>
      </c>
      <c r="L152" s="640">
        <v>90.858706669180151</v>
      </c>
      <c r="M152" s="640">
        <v>2</v>
      </c>
      <c r="N152" s="641">
        <v>181.7174133383603</v>
      </c>
    </row>
    <row r="153" spans="1:14" ht="14.4" customHeight="1" x14ac:dyDescent="0.3">
      <c r="A153" s="636" t="s">
        <v>507</v>
      </c>
      <c r="B153" s="637" t="s">
        <v>509</v>
      </c>
      <c r="C153" s="638" t="s">
        <v>529</v>
      </c>
      <c r="D153" s="639" t="s">
        <v>530</v>
      </c>
      <c r="E153" s="638" t="s">
        <v>510</v>
      </c>
      <c r="F153" s="639" t="s">
        <v>511</v>
      </c>
      <c r="G153" s="638" t="s">
        <v>531</v>
      </c>
      <c r="H153" s="638" t="s">
        <v>887</v>
      </c>
      <c r="I153" s="638" t="s">
        <v>246</v>
      </c>
      <c r="J153" s="638" t="s">
        <v>888</v>
      </c>
      <c r="K153" s="638" t="s">
        <v>889</v>
      </c>
      <c r="L153" s="640">
        <v>204.31390978930779</v>
      </c>
      <c r="M153" s="640">
        <v>1</v>
      </c>
      <c r="N153" s="641">
        <v>204.31390978930779</v>
      </c>
    </row>
    <row r="154" spans="1:14" ht="14.4" customHeight="1" x14ac:dyDescent="0.3">
      <c r="A154" s="636" t="s">
        <v>507</v>
      </c>
      <c r="B154" s="637" t="s">
        <v>509</v>
      </c>
      <c r="C154" s="638" t="s">
        <v>529</v>
      </c>
      <c r="D154" s="639" t="s">
        <v>530</v>
      </c>
      <c r="E154" s="638" t="s">
        <v>510</v>
      </c>
      <c r="F154" s="639" t="s">
        <v>511</v>
      </c>
      <c r="G154" s="638" t="s">
        <v>531</v>
      </c>
      <c r="H154" s="638" t="s">
        <v>890</v>
      </c>
      <c r="I154" s="638" t="s">
        <v>246</v>
      </c>
      <c r="J154" s="638" t="s">
        <v>891</v>
      </c>
      <c r="K154" s="638"/>
      <c r="L154" s="640">
        <v>138.08266329400431</v>
      </c>
      <c r="M154" s="640">
        <v>3</v>
      </c>
      <c r="N154" s="641">
        <v>414.24798988201292</v>
      </c>
    </row>
    <row r="155" spans="1:14" ht="14.4" customHeight="1" x14ac:dyDescent="0.3">
      <c r="A155" s="636" t="s">
        <v>507</v>
      </c>
      <c r="B155" s="637" t="s">
        <v>509</v>
      </c>
      <c r="C155" s="638" t="s">
        <v>529</v>
      </c>
      <c r="D155" s="639" t="s">
        <v>530</v>
      </c>
      <c r="E155" s="638" t="s">
        <v>510</v>
      </c>
      <c r="F155" s="639" t="s">
        <v>511</v>
      </c>
      <c r="G155" s="638" t="s">
        <v>531</v>
      </c>
      <c r="H155" s="638" t="s">
        <v>892</v>
      </c>
      <c r="I155" s="638" t="s">
        <v>246</v>
      </c>
      <c r="J155" s="638" t="s">
        <v>893</v>
      </c>
      <c r="K155" s="638"/>
      <c r="L155" s="640">
        <v>328.52261383302471</v>
      </c>
      <c r="M155" s="640">
        <v>6</v>
      </c>
      <c r="N155" s="641">
        <v>1971.1356829981482</v>
      </c>
    </row>
    <row r="156" spans="1:14" ht="14.4" customHeight="1" x14ac:dyDescent="0.3">
      <c r="A156" s="636" t="s">
        <v>507</v>
      </c>
      <c r="B156" s="637" t="s">
        <v>509</v>
      </c>
      <c r="C156" s="638" t="s">
        <v>529</v>
      </c>
      <c r="D156" s="639" t="s">
        <v>530</v>
      </c>
      <c r="E156" s="638" t="s">
        <v>510</v>
      </c>
      <c r="F156" s="639" t="s">
        <v>511</v>
      </c>
      <c r="G156" s="638" t="s">
        <v>719</v>
      </c>
      <c r="H156" s="638" t="s">
        <v>720</v>
      </c>
      <c r="I156" s="638" t="s">
        <v>721</v>
      </c>
      <c r="J156" s="638" t="s">
        <v>722</v>
      </c>
      <c r="K156" s="638" t="s">
        <v>723</v>
      </c>
      <c r="L156" s="640">
        <v>36.329947586825973</v>
      </c>
      <c r="M156" s="640">
        <v>20</v>
      </c>
      <c r="N156" s="641">
        <v>726.59895173651944</v>
      </c>
    </row>
    <row r="157" spans="1:14" ht="14.4" customHeight="1" thickBot="1" x14ac:dyDescent="0.35">
      <c r="A157" s="642" t="s">
        <v>507</v>
      </c>
      <c r="B157" s="643" t="s">
        <v>509</v>
      </c>
      <c r="C157" s="644" t="s">
        <v>529</v>
      </c>
      <c r="D157" s="645" t="s">
        <v>530</v>
      </c>
      <c r="E157" s="644" t="s">
        <v>516</v>
      </c>
      <c r="F157" s="645" t="s">
        <v>517</v>
      </c>
      <c r="G157" s="644" t="s">
        <v>719</v>
      </c>
      <c r="H157" s="644" t="s">
        <v>784</v>
      </c>
      <c r="I157" s="644" t="s">
        <v>785</v>
      </c>
      <c r="J157" s="644" t="s">
        <v>786</v>
      </c>
      <c r="K157" s="644" t="s">
        <v>787</v>
      </c>
      <c r="L157" s="646">
        <v>169.63</v>
      </c>
      <c r="M157" s="646">
        <v>1</v>
      </c>
      <c r="N157" s="647">
        <v>169.63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26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60" customWidth="1"/>
    <col min="2" max="2" width="10" style="343" customWidth="1"/>
    <col min="3" max="3" width="5.5546875" style="346" customWidth="1"/>
    <col min="4" max="4" width="10" style="343" customWidth="1"/>
    <col min="5" max="5" width="5.5546875" style="346" customWidth="1"/>
    <col min="6" max="6" width="10" style="343" customWidth="1"/>
    <col min="7" max="16384" width="8.88671875" style="260"/>
  </cols>
  <sheetData>
    <row r="1" spans="1:6" ht="37.200000000000003" customHeight="1" thickBot="1" x14ac:dyDescent="0.4">
      <c r="A1" s="493" t="s">
        <v>214</v>
      </c>
      <c r="B1" s="494"/>
      <c r="C1" s="494"/>
      <c r="D1" s="494"/>
      <c r="E1" s="494"/>
      <c r="F1" s="494"/>
    </row>
    <row r="2" spans="1:6" ht="14.4" customHeight="1" thickBot="1" x14ac:dyDescent="0.35">
      <c r="A2" s="389" t="s">
        <v>299</v>
      </c>
      <c r="B2" s="67"/>
      <c r="C2" s="68"/>
      <c r="D2" s="69"/>
      <c r="E2" s="68"/>
      <c r="F2" s="69"/>
    </row>
    <row r="3" spans="1:6" ht="14.4" customHeight="1" thickBot="1" x14ac:dyDescent="0.35">
      <c r="A3" s="215"/>
      <c r="B3" s="495" t="s">
        <v>165</v>
      </c>
      <c r="C3" s="496"/>
      <c r="D3" s="497" t="s">
        <v>164</v>
      </c>
      <c r="E3" s="496"/>
      <c r="F3" s="105" t="s">
        <v>6</v>
      </c>
    </row>
    <row r="4" spans="1:6" ht="14.4" customHeight="1" thickBot="1" x14ac:dyDescent="0.35">
      <c r="A4" s="648" t="s">
        <v>190</v>
      </c>
      <c r="B4" s="649" t="s">
        <v>17</v>
      </c>
      <c r="C4" s="650" t="s">
        <v>5</v>
      </c>
      <c r="D4" s="649" t="s">
        <v>17</v>
      </c>
      <c r="E4" s="650" t="s">
        <v>5</v>
      </c>
      <c r="F4" s="651" t="s">
        <v>17</v>
      </c>
    </row>
    <row r="5" spans="1:6" ht="14.4" customHeight="1" x14ac:dyDescent="0.3">
      <c r="A5" s="663" t="s">
        <v>894</v>
      </c>
      <c r="B5" s="634"/>
      <c r="C5" s="652">
        <v>0</v>
      </c>
      <c r="D5" s="634">
        <v>896.22895173651943</v>
      </c>
      <c r="E5" s="652">
        <v>1</v>
      </c>
      <c r="F5" s="635">
        <v>896.22895173651943</v>
      </c>
    </row>
    <row r="6" spans="1:6" ht="14.4" customHeight="1" x14ac:dyDescent="0.3">
      <c r="A6" s="664" t="s">
        <v>895</v>
      </c>
      <c r="B6" s="640"/>
      <c r="C6" s="653">
        <v>0</v>
      </c>
      <c r="D6" s="640">
        <v>1436.4199069759566</v>
      </c>
      <c r="E6" s="653">
        <v>1</v>
      </c>
      <c r="F6" s="641">
        <v>1436.4199069759566</v>
      </c>
    </row>
    <row r="7" spans="1:6" ht="14.4" customHeight="1" x14ac:dyDescent="0.3">
      <c r="A7" s="664" t="s">
        <v>896</v>
      </c>
      <c r="B7" s="640"/>
      <c r="C7" s="653">
        <v>0</v>
      </c>
      <c r="D7" s="640">
        <v>32128.994391403881</v>
      </c>
      <c r="E7" s="653">
        <v>1</v>
      </c>
      <c r="F7" s="641">
        <v>32128.994391403881</v>
      </c>
    </row>
    <row r="8" spans="1:6" ht="14.4" customHeight="1" thickBot="1" x14ac:dyDescent="0.35">
      <c r="A8" s="665" t="s">
        <v>897</v>
      </c>
      <c r="B8" s="655"/>
      <c r="C8" s="656">
        <v>0</v>
      </c>
      <c r="D8" s="655">
        <v>235.14</v>
      </c>
      <c r="E8" s="656">
        <v>1</v>
      </c>
      <c r="F8" s="657">
        <v>235.14</v>
      </c>
    </row>
    <row r="9" spans="1:6" ht="14.4" customHeight="1" thickBot="1" x14ac:dyDescent="0.35">
      <c r="A9" s="659" t="s">
        <v>6</v>
      </c>
      <c r="B9" s="660"/>
      <c r="C9" s="661">
        <v>0</v>
      </c>
      <c r="D9" s="660">
        <v>34696.783250116358</v>
      </c>
      <c r="E9" s="661">
        <v>1</v>
      </c>
      <c r="F9" s="662">
        <v>34696.783250116358</v>
      </c>
    </row>
    <row r="10" spans="1:6" ht="14.4" customHeight="1" thickBot="1" x14ac:dyDescent="0.35"/>
    <row r="11" spans="1:6" ht="14.4" customHeight="1" x14ac:dyDescent="0.3">
      <c r="A11" s="663" t="s">
        <v>898</v>
      </c>
      <c r="B11" s="634"/>
      <c r="C11" s="652">
        <v>0</v>
      </c>
      <c r="D11" s="634">
        <v>658.28</v>
      </c>
      <c r="E11" s="652">
        <v>1</v>
      </c>
      <c r="F11" s="635">
        <v>658.28</v>
      </c>
    </row>
    <row r="12" spans="1:6" ht="14.4" customHeight="1" x14ac:dyDescent="0.3">
      <c r="A12" s="664" t="s">
        <v>899</v>
      </c>
      <c r="B12" s="640"/>
      <c r="C12" s="653">
        <v>0</v>
      </c>
      <c r="D12" s="640">
        <v>401.84162360595371</v>
      </c>
      <c r="E12" s="653">
        <v>1</v>
      </c>
      <c r="F12" s="641">
        <v>401.84162360595371</v>
      </c>
    </row>
    <row r="13" spans="1:6" ht="14.4" customHeight="1" x14ac:dyDescent="0.3">
      <c r="A13" s="664" t="s">
        <v>900</v>
      </c>
      <c r="B13" s="640"/>
      <c r="C13" s="653">
        <v>0</v>
      </c>
      <c r="D13" s="640">
        <v>6312.7368888063584</v>
      </c>
      <c r="E13" s="653">
        <v>1</v>
      </c>
      <c r="F13" s="641">
        <v>6312.7368888063584</v>
      </c>
    </row>
    <row r="14" spans="1:6" ht="14.4" customHeight="1" x14ac:dyDescent="0.3">
      <c r="A14" s="664" t="s">
        <v>901</v>
      </c>
      <c r="B14" s="640"/>
      <c r="C14" s="653">
        <v>0</v>
      </c>
      <c r="D14" s="640">
        <v>1655.9999999999998</v>
      </c>
      <c r="E14" s="653">
        <v>1</v>
      </c>
      <c r="F14" s="641">
        <v>1655.9999999999998</v>
      </c>
    </row>
    <row r="15" spans="1:6" ht="14.4" customHeight="1" x14ac:dyDescent="0.3">
      <c r="A15" s="664" t="s">
        <v>902</v>
      </c>
      <c r="B15" s="640"/>
      <c r="C15" s="653">
        <v>0</v>
      </c>
      <c r="D15" s="640">
        <v>174.23962756958173</v>
      </c>
      <c r="E15" s="653">
        <v>1</v>
      </c>
      <c r="F15" s="641">
        <v>174.23962756958173</v>
      </c>
    </row>
    <row r="16" spans="1:6" ht="14.4" customHeight="1" x14ac:dyDescent="0.3">
      <c r="A16" s="664" t="s">
        <v>903</v>
      </c>
      <c r="B16" s="640"/>
      <c r="C16" s="653">
        <v>0</v>
      </c>
      <c r="D16" s="640">
        <v>135.21000000000004</v>
      </c>
      <c r="E16" s="653">
        <v>1</v>
      </c>
      <c r="F16" s="641">
        <v>135.21000000000004</v>
      </c>
    </row>
    <row r="17" spans="1:6" ht="14.4" customHeight="1" x14ac:dyDescent="0.3">
      <c r="A17" s="664" t="s">
        <v>904</v>
      </c>
      <c r="B17" s="640"/>
      <c r="C17" s="653">
        <v>0</v>
      </c>
      <c r="D17" s="640">
        <v>830.15987316737403</v>
      </c>
      <c r="E17" s="653">
        <v>1</v>
      </c>
      <c r="F17" s="641">
        <v>830.15987316737403</v>
      </c>
    </row>
    <row r="18" spans="1:6" ht="14.4" customHeight="1" x14ac:dyDescent="0.3">
      <c r="A18" s="664" t="s">
        <v>905</v>
      </c>
      <c r="B18" s="640"/>
      <c r="C18" s="653">
        <v>0</v>
      </c>
      <c r="D18" s="640">
        <v>46.219624648662901</v>
      </c>
      <c r="E18" s="653">
        <v>1</v>
      </c>
      <c r="F18" s="641">
        <v>46.219624648662901</v>
      </c>
    </row>
    <row r="19" spans="1:6" ht="14.4" customHeight="1" x14ac:dyDescent="0.3">
      <c r="A19" s="664" t="s">
        <v>906</v>
      </c>
      <c r="B19" s="640"/>
      <c r="C19" s="653">
        <v>0</v>
      </c>
      <c r="D19" s="640">
        <v>315.89999999999998</v>
      </c>
      <c r="E19" s="653">
        <v>1</v>
      </c>
      <c r="F19" s="641">
        <v>315.89999999999998</v>
      </c>
    </row>
    <row r="20" spans="1:6" ht="14.4" customHeight="1" x14ac:dyDescent="0.3">
      <c r="A20" s="664" t="s">
        <v>907</v>
      </c>
      <c r="B20" s="640"/>
      <c r="C20" s="653">
        <v>0</v>
      </c>
      <c r="D20" s="640">
        <v>151.12</v>
      </c>
      <c r="E20" s="653">
        <v>1</v>
      </c>
      <c r="F20" s="641">
        <v>151.12</v>
      </c>
    </row>
    <row r="21" spans="1:6" ht="14.4" customHeight="1" x14ac:dyDescent="0.3">
      <c r="A21" s="664" t="s">
        <v>908</v>
      </c>
      <c r="B21" s="640"/>
      <c r="C21" s="653">
        <v>0</v>
      </c>
      <c r="D21" s="640">
        <v>99.21</v>
      </c>
      <c r="E21" s="653">
        <v>1</v>
      </c>
      <c r="F21" s="641">
        <v>99.21</v>
      </c>
    </row>
    <row r="22" spans="1:6" ht="14.4" customHeight="1" x14ac:dyDescent="0.3">
      <c r="A22" s="664" t="s">
        <v>909</v>
      </c>
      <c r="B22" s="640"/>
      <c r="C22" s="653">
        <v>0</v>
      </c>
      <c r="D22" s="640">
        <v>101.27</v>
      </c>
      <c r="E22" s="653">
        <v>1</v>
      </c>
      <c r="F22" s="641">
        <v>101.27</v>
      </c>
    </row>
    <row r="23" spans="1:6" ht="14.4" customHeight="1" x14ac:dyDescent="0.3">
      <c r="A23" s="664" t="s">
        <v>910</v>
      </c>
      <c r="B23" s="640"/>
      <c r="C23" s="653">
        <v>0</v>
      </c>
      <c r="D23" s="640">
        <v>8648.1694027525737</v>
      </c>
      <c r="E23" s="653">
        <v>1</v>
      </c>
      <c r="F23" s="641">
        <v>8648.1694027525737</v>
      </c>
    </row>
    <row r="24" spans="1:6" ht="14.4" customHeight="1" x14ac:dyDescent="0.3">
      <c r="A24" s="664" t="s">
        <v>911</v>
      </c>
      <c r="B24" s="640"/>
      <c r="C24" s="653">
        <v>0</v>
      </c>
      <c r="D24" s="640">
        <v>3910.7374041628909</v>
      </c>
      <c r="E24" s="653">
        <v>1</v>
      </c>
      <c r="F24" s="641">
        <v>3910.7374041628909</v>
      </c>
    </row>
    <row r="25" spans="1:6" ht="14.4" customHeight="1" thickBot="1" x14ac:dyDescent="0.35">
      <c r="A25" s="665" t="s">
        <v>912</v>
      </c>
      <c r="B25" s="655"/>
      <c r="C25" s="656">
        <v>0</v>
      </c>
      <c r="D25" s="655">
        <v>11255.688805402962</v>
      </c>
      <c r="E25" s="656">
        <v>1</v>
      </c>
      <c r="F25" s="657">
        <v>11255.688805402962</v>
      </c>
    </row>
    <row r="26" spans="1:6" ht="14.4" customHeight="1" thickBot="1" x14ac:dyDescent="0.35">
      <c r="A26" s="659" t="s">
        <v>6</v>
      </c>
      <c r="B26" s="660"/>
      <c r="C26" s="661">
        <v>0</v>
      </c>
      <c r="D26" s="660">
        <v>34696.783250116358</v>
      </c>
      <c r="E26" s="661">
        <v>1</v>
      </c>
      <c r="F26" s="662">
        <v>34696.783250116358</v>
      </c>
    </row>
  </sheetData>
  <mergeCells count="3">
    <mergeCell ref="A1:F1"/>
    <mergeCell ref="B3:C3"/>
    <mergeCell ref="D3:E3"/>
  </mergeCells>
  <conditionalFormatting sqref="C5:C1048576">
    <cfRule type="cellIs" dxfId="50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29</vt:i4>
      </vt:variant>
      <vt:variant>
        <vt:lpstr>Pojmenované oblasti</vt:lpstr>
      </vt:variant>
      <vt:variant>
        <vt:i4>3</vt:i4>
      </vt:variant>
    </vt:vector>
  </HeadingPairs>
  <TitlesOfParts>
    <vt:vector size="32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Detail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ALOS!Oblast_tisku</vt:lpstr>
      <vt:lpstr>CaseMix!Oblast_tisku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2014-03-27T10:03:47Z</cp:lastPrinted>
  <dcterms:created xsi:type="dcterms:W3CDTF">2013-04-17T20:15:29Z</dcterms:created>
  <dcterms:modified xsi:type="dcterms:W3CDTF">2014-03-27T10:25:51Z</dcterms:modified>
</cp:coreProperties>
</file>