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Lékaři" sheetId="429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10" hidden="1">'Léky Recepty'!$A$4:$M$4</definedName>
    <definedName name="_xlnm._FilterDatabase" localSheetId="5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0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52511"/>
</workbook>
</file>

<file path=xl/calcChain.xml><?xml version="1.0" encoding="utf-8"?>
<calcChain xmlns="http://schemas.openxmlformats.org/spreadsheetml/2006/main">
  <c r="V75" i="371" l="1"/>
  <c r="U75" i="371"/>
  <c r="T75" i="371"/>
  <c r="S75" i="371"/>
  <c r="R75" i="371"/>
  <c r="Q75" i="371"/>
  <c r="U74" i="371"/>
  <c r="T74" i="371"/>
  <c r="V74" i="371" s="1"/>
  <c r="S74" i="371"/>
  <c r="R74" i="371"/>
  <c r="Q74" i="371"/>
  <c r="T73" i="371"/>
  <c r="U73" i="371" s="1"/>
  <c r="S73" i="371"/>
  <c r="V73" i="371" s="1"/>
  <c r="R73" i="371"/>
  <c r="Q73" i="371"/>
  <c r="U72" i="371"/>
  <c r="T72" i="371"/>
  <c r="V72" i="371" s="1"/>
  <c r="S72" i="371"/>
  <c r="R72" i="371"/>
  <c r="Q72" i="371"/>
  <c r="V71" i="371"/>
  <c r="U71" i="371"/>
  <c r="T71" i="371"/>
  <c r="S71" i="371"/>
  <c r="R71" i="371"/>
  <c r="Q71" i="371"/>
  <c r="U70" i="371"/>
  <c r="T70" i="371"/>
  <c r="V70" i="371" s="1"/>
  <c r="S70" i="371"/>
  <c r="R70" i="371"/>
  <c r="Q70" i="371"/>
  <c r="T69" i="371"/>
  <c r="U69" i="371" s="1"/>
  <c r="S69" i="371"/>
  <c r="V69" i="371" s="1"/>
  <c r="R69" i="371"/>
  <c r="Q69" i="371"/>
  <c r="U68" i="371"/>
  <c r="T68" i="37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U65" i="371" s="1"/>
  <c r="S65" i="371"/>
  <c r="V65" i="371" s="1"/>
  <c r="R65" i="371"/>
  <c r="Q65" i="371"/>
  <c r="U64" i="371"/>
  <c r="T64" i="371"/>
  <c r="V64" i="371" s="1"/>
  <c r="S64" i="371"/>
  <c r="R64" i="371"/>
  <c r="Q64" i="371"/>
  <c r="T63" i="371"/>
  <c r="U63" i="371" s="1"/>
  <c r="S63" i="371"/>
  <c r="V63" i="371" s="1"/>
  <c r="R63" i="371"/>
  <c r="Q63" i="371"/>
  <c r="V62" i="371"/>
  <c r="U62" i="371"/>
  <c r="T62" i="371"/>
  <c r="S62" i="371"/>
  <c r="R62" i="371"/>
  <c r="Q62" i="371"/>
  <c r="T61" i="371"/>
  <c r="U61" i="371" s="1"/>
  <c r="S61" i="371"/>
  <c r="V61" i="371" s="1"/>
  <c r="R61" i="371"/>
  <c r="Q61" i="371"/>
  <c r="U60" i="371"/>
  <c r="T60" i="371"/>
  <c r="V60" i="371" s="1"/>
  <c r="S60" i="371"/>
  <c r="R60" i="371"/>
  <c r="Q60" i="371"/>
  <c r="T59" i="371"/>
  <c r="U59" i="371" s="1"/>
  <c r="S59" i="371"/>
  <c r="V59" i="371" s="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U56" i="371"/>
  <c r="T56" i="371"/>
  <c r="V56" i="371" s="1"/>
  <c r="S56" i="371"/>
  <c r="R56" i="371"/>
  <c r="Q56" i="371"/>
  <c r="T55" i="371"/>
  <c r="U55" i="371" s="1"/>
  <c r="S55" i="371"/>
  <c r="V55" i="371" s="1"/>
  <c r="R55" i="371"/>
  <c r="Q55" i="371"/>
  <c r="U54" i="371"/>
  <c r="T54" i="371"/>
  <c r="V54" i="371" s="1"/>
  <c r="S54" i="371"/>
  <c r="R54" i="371"/>
  <c r="Q54" i="371"/>
  <c r="V53" i="371"/>
  <c r="U53" i="371"/>
  <c r="T53" i="371"/>
  <c r="S53" i="371"/>
  <c r="R53" i="371"/>
  <c r="Q53" i="371"/>
  <c r="U52" i="371"/>
  <c r="T52" i="371"/>
  <c r="V52" i="371" s="1"/>
  <c r="S52" i="371"/>
  <c r="R52" i="371"/>
  <c r="Q52" i="371"/>
  <c r="V51" i="371"/>
  <c r="U51" i="371"/>
  <c r="T51" i="371"/>
  <c r="S51" i="371"/>
  <c r="R51" i="371"/>
  <c r="Q51" i="371"/>
  <c r="U50" i="371"/>
  <c r="T50" i="371"/>
  <c r="V50" i="371" s="1"/>
  <c r="S50" i="371"/>
  <c r="R50" i="371"/>
  <c r="Q50" i="371"/>
  <c r="T49" i="371"/>
  <c r="U49" i="371" s="1"/>
  <c r="S49" i="371"/>
  <c r="V49" i="371" s="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V41" i="371"/>
  <c r="U41" i="371"/>
  <c r="T41" i="371"/>
  <c r="S41" i="371"/>
  <c r="R41" i="371"/>
  <c r="Q41" i="371"/>
  <c r="U40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U38" i="371"/>
  <c r="T38" i="371"/>
  <c r="V38" i="371" s="1"/>
  <c r="S38" i="371"/>
  <c r="R38" i="371"/>
  <c r="Q38" i="371"/>
  <c r="T37" i="371"/>
  <c r="U37" i="371" s="1"/>
  <c r="S37" i="371"/>
  <c r="V37" i="371" s="1"/>
  <c r="R37" i="371"/>
  <c r="Q37" i="371"/>
  <c r="U36" i="371"/>
  <c r="T36" i="371"/>
  <c r="V36" i="371" s="1"/>
  <c r="S36" i="371"/>
  <c r="R36" i="371"/>
  <c r="Q36" i="371"/>
  <c r="T35" i="371"/>
  <c r="U35" i="371" s="1"/>
  <c r="S35" i="371"/>
  <c r="V35" i="371" s="1"/>
  <c r="R35" i="371"/>
  <c r="Q35" i="371"/>
  <c r="U34" i="371"/>
  <c r="T34" i="371"/>
  <c r="V34" i="371" s="1"/>
  <c r="S34" i="371"/>
  <c r="R34" i="371"/>
  <c r="Q34" i="371"/>
  <c r="T33" i="371"/>
  <c r="U33" i="371" s="1"/>
  <c r="S33" i="371"/>
  <c r="V33" i="371" s="1"/>
  <c r="R33" i="371"/>
  <c r="Q33" i="371"/>
  <c r="U32" i="371"/>
  <c r="T32" i="371"/>
  <c r="V32" i="371" s="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T27" i="371"/>
  <c r="U27" i="371" s="1"/>
  <c r="S27" i="371"/>
  <c r="V27" i="371" s="1"/>
  <c r="R27" i="371"/>
  <c r="Q27" i="371"/>
  <c r="U26" i="371"/>
  <c r="T26" i="371"/>
  <c r="V26" i="371" s="1"/>
  <c r="S26" i="371"/>
  <c r="R26" i="371"/>
  <c r="Q26" i="371"/>
  <c r="T25" i="371"/>
  <c r="U25" i="371" s="1"/>
  <c r="S25" i="371"/>
  <c r="V25" i="371" s="1"/>
  <c r="R25" i="371"/>
  <c r="Q25" i="371"/>
  <c r="U24" i="371"/>
  <c r="T24" i="371"/>
  <c r="V24" i="371" s="1"/>
  <c r="S24" i="371"/>
  <c r="R24" i="371"/>
  <c r="Q24" i="371"/>
  <c r="T23" i="371"/>
  <c r="U23" i="371" s="1"/>
  <c r="S23" i="371"/>
  <c r="V23" i="371" s="1"/>
  <c r="R23" i="371"/>
  <c r="Q23" i="371"/>
  <c r="U22" i="371"/>
  <c r="T22" i="371"/>
  <c r="V22" i="371" s="1"/>
  <c r="S22" i="371"/>
  <c r="R22" i="371"/>
  <c r="Q22" i="371"/>
  <c r="T21" i="371"/>
  <c r="U21" i="371" s="1"/>
  <c r="S21" i="371"/>
  <c r="V21" i="371" s="1"/>
  <c r="R21" i="371"/>
  <c r="Q21" i="371"/>
  <c r="U20" i="371"/>
  <c r="T20" i="371"/>
  <c r="V20" i="371" s="1"/>
  <c r="S20" i="371"/>
  <c r="R20" i="371"/>
  <c r="Q20" i="371"/>
  <c r="T19" i="371"/>
  <c r="U19" i="371" s="1"/>
  <c r="S19" i="371"/>
  <c r="V19" i="371" s="1"/>
  <c r="R19" i="371"/>
  <c r="Q19" i="371"/>
  <c r="V18" i="371"/>
  <c r="U18" i="371"/>
  <c r="T18" i="371"/>
  <c r="S18" i="371"/>
  <c r="R18" i="371"/>
  <c r="Q18" i="371"/>
  <c r="T17" i="371"/>
  <c r="U17" i="371" s="1"/>
  <c r="S17" i="371"/>
  <c r="V17" i="371" s="1"/>
  <c r="R17" i="371"/>
  <c r="Q17" i="371"/>
  <c r="U16" i="371"/>
  <c r="T16" i="371"/>
  <c r="V16" i="371" s="1"/>
  <c r="S16" i="371"/>
  <c r="R16" i="371"/>
  <c r="Q16" i="371"/>
  <c r="T15" i="371"/>
  <c r="U15" i="371" s="1"/>
  <c r="S15" i="371"/>
  <c r="V15" i="371" s="1"/>
  <c r="R15" i="371"/>
  <c r="Q15" i="371"/>
  <c r="U14" i="371"/>
  <c r="T14" i="371"/>
  <c r="V14" i="371" s="1"/>
  <c r="S14" i="371"/>
  <c r="R14" i="371"/>
  <c r="Q14" i="371"/>
  <c r="T13" i="371"/>
  <c r="U13" i="371" s="1"/>
  <c r="S13" i="371"/>
  <c r="V13" i="371" s="1"/>
  <c r="R13" i="371"/>
  <c r="Q13" i="371"/>
  <c r="U12" i="371"/>
  <c r="T12" i="371"/>
  <c r="V12" i="371" s="1"/>
  <c r="S12" i="371"/>
  <c r="R12" i="371"/>
  <c r="Q12" i="371"/>
  <c r="T11" i="371"/>
  <c r="U11" i="371" s="1"/>
  <c r="S11" i="371"/>
  <c r="V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U6" i="371"/>
  <c r="T6" i="371"/>
  <c r="V6" i="371" s="1"/>
  <c r="S6" i="371"/>
  <c r="R6" i="371"/>
  <c r="Q6" i="371"/>
  <c r="V5" i="371"/>
  <c r="U5" i="371"/>
  <c r="T5" i="371"/>
  <c r="S5" i="371"/>
  <c r="R5" i="371"/>
  <c r="Q5" i="371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6" i="383"/>
  <c r="G3" i="429"/>
  <c r="F3" i="429"/>
  <c r="E3" i="429"/>
  <c r="D3" i="429"/>
  <c r="C3" i="429"/>
  <c r="B3" i="429"/>
  <c r="A35" i="383" l="1"/>
  <c r="A9" i="414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0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U6" i="419"/>
  <c r="M6" i="419"/>
  <c r="AF6" i="419"/>
  <c r="AB6" i="419"/>
  <c r="X6" i="419"/>
  <c r="T6" i="419"/>
  <c r="P6" i="419"/>
  <c r="L6" i="419"/>
  <c r="H6" i="419"/>
  <c r="O6" i="419"/>
  <c r="AH6" i="419"/>
  <c r="AE6" i="419"/>
  <c r="AA6" i="419"/>
  <c r="W6" i="419"/>
  <c r="S6" i="419"/>
  <c r="K6" i="419"/>
  <c r="AD6" i="419"/>
  <c r="Z6" i="419"/>
  <c r="V6" i="419"/>
  <c r="R6" i="419"/>
  <c r="N6" i="419"/>
  <c r="J6" i="419"/>
  <c r="Y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6" i="383" l="1"/>
  <c r="A19" i="383" l="1"/>
  <c r="A13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5" i="383"/>
  <c r="A22" i="383"/>
  <c r="A21" i="383"/>
  <c r="A18" i="383"/>
  <c r="A17" i="383"/>
  <c r="A15" i="383"/>
  <c r="A12" i="383"/>
  <c r="A11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<sst xmlns="http://schemas.openxmlformats.org/spreadsheetml/2006/main" count="15929" uniqueCount="3288">
  <si>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</si>
  <si>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</si>
  <si>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</si>
  <si>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</si>
  <si>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</si>
  <si>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</si>
  <si>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</si>
  <si>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</si>
  <si>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</si>
  <si>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</si>
  <si>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</si>
  <si>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</si>
  <si>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</si>
  <si>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</si>
  <si>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</si>
  <si>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</si>
  <si>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</si>
  <si>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</si>
  <si>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</si>
  <si>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</si>
  <si>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</si>
  <si>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</si>
  <si>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</si>
  <si>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</si>
  <si>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</si>
  <si>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</si>
  <si>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</si>
  <si>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</si>
  <si>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</si>
  <si>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</si>
  <si>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</si>
  <si>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</si>
  <si>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</si>
  <si>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</si>
  <si>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</si>
  <si>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</si>
  <si>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</si>
  <si>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</si>
  <si>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</si>
  <si>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</si>
  <si>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</si>
  <si>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</si>
  <si>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</si>
  <si>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</si>
  <si>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</si>
  <si>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</si>
  <si>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</si>
  <si>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</si>
  <si>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</si>
  <si>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</si>
  <si>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</si>
  <si>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</si>
  <si>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</si>
  <si>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</si>
  <si>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</si>
  <si>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</si>
  <si>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</si>
  <si>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</si>
  <si>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</si>
  <si>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</si>
  <si>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</si>
  <si>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</si>
  <si>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</si>
  <si>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</si>
  <si>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</si>
  <si>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</si>
  <si>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</si>
  <si>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</si>
  <si>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</si>
  <si>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</si>
  <si>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</si>
  <si>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</si>
  <si>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</si>
  <si>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</si>
  <si>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</si>
  <si>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</si>
  <si>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</si>
  <si>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</si>
  <si>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</si>
  <si>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</si>
  <si>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</si>
  <si>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</si>
  <si>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</si>
  <si>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</si>
  <si>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</si>
  <si>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</si>
  <si>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</si>
  <si>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</si>
  <si>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</si>
  <si>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</si>
  <si>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</si>
  <si>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</si>
  <si>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</si>
  <si>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</si>
  <si>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</si>
  <si>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</si>
  <si>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</si>
  <si>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</si>
  <si>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</si>
  <si>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</si>
  <si>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</si>
  <si>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</si>
  <si>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</si>
  <si>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</si>
  <si>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</si>
  <si>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</si>
  <si>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</si>
  <si>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</si>
  <si>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</si>
  <si>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</si>
  <si>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</si>
  <si>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</si>
  <si>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</si>
  <si>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</si>
  <si>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</si>
  <si>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</si>
  <si>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</si>
  <si>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</si>
  <si>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</si>
  <si>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</si>
  <si>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</si>
  <si>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</si>
  <si>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</si>
  <si>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</si>
  <si>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</si>
  <si>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</si>
  <si>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</si>
  <si>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</si>
  <si>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</si>
  <si>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</si>
  <si>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</si>
  <si>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</si>
  <si>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</si>
  <si>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</si>
  <si>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</si>
  <si>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</si>
  <si>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</si>
  <si>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</si>
  <si>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</si>
  <si>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</si>
  <si>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</si>
  <si>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</si>
  <si>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</si>
  <si>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</si>
  <si>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</si>
  <si>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</si>
  <si>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</si>
  <si>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</si>
  <si>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</si>
  <si>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</si>
  <si>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</si>
  <si>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</si>
  <si>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</si>
  <si>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</si>
  <si>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</si>
  <si>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</si>
  <si>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</si>
  <si>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</si>
  <si>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</si>
  <si>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</si>
  <si>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</si>
  <si>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</si>
  <si>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</si>
  <si>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</si>
  <si>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</si>
  <si>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</si>
  <si>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</si>
  <si>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</si>
  <si>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</si>
  <si>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</si>
  <si>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</si>
  <si>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</si>
  <si>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</si>
  <si>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</si>
  <si>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</si>
  <si>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</si>
  <si>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</si>
  <si>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</si>
  <si>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</si>
  <si>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</si>
  <si>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</si>
  <si>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</si>
  <si>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</si>
  <si>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</si>
  <si>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</si>
  <si>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</si>
  <si>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</si>
  <si>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</si>
  <si>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</si>
  <si>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</si>
  <si>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</si>
  <si>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</si>
  <si>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</si>
  <si>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</si>
  <si>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</si>
  <si>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</si>
  <si>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</si>
  <si>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</si>
  <si>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</si>
  <si>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</si>
  <si>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</si>
  <si>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</si>
  <si>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</si>
  <si>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</si>
  <si>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</si>
  <si>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</si>
  <si>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</si>
  <si>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</si>
  <si>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</si>
  <si>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</si>
  <si>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</si>
  <si>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</si>
  <si>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</si>
  <si>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</si>
  <si>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</si>
  <si>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</si>
  <si>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</si>
  <si>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</si>
  <si>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</si>
  <si>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</si>
  <si>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</si>
  <si>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</si>
  <si>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</si>
  <si>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</si>
  <si>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</si>
  <si>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</si>
  <si>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</si>
  <si>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</si>
  <si>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</si>
  <si>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</si>
  <si>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</si>
  <si>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</si>
  <si>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</si>
  <si>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</si>
  <si>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</si>
  <si>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</si>
  <si>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</si>
  <si>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</si>
  <si>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</si>
  <si>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</si>
  <si>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</si>
  <si>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</si>
  <si>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</si>
  <si>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</si>
  <si>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</si>
  <si>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</si>
  <si>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</si>
  <si>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</si>
  <si>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</si>
  <si>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</si>
  <si>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</si>
  <si>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</si>
  <si>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</si>
  <si>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</si>
  <si>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</si>
  <si>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</si>
  <si>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</si>
  <si>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</si>
  <si>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</si>
  <si>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</si>
  <si>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</si>
  <si>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</si>
  <si>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</si>
  <si>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</si>
  <si>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</si>
  <si>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</si>
  <si>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</si>
  <si>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</si>
  <si>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</si>
  <si>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</si>
  <si>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</si>
  <si>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</si>
  <si>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</si>
  <si>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</si>
  <si>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</si>
  <si>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</si>
  <si>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</si>
  <si>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</si>
  <si>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</si>
  <si>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</si>
  <si>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</si>
  <si>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</si>
  <si>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</si>
  <si>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</si>
  <si>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</si>
  <si>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</si>
  <si>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</si>
  <si>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</si>
  <si>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</si>
  <si>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</si>
  <si>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</si>
  <si>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</si>
  <si>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</si>
  <si>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</si>
  <si>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</si>
  <si>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</si>
  <si>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</si>
  <si>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</si>
  <si>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</si>
  <si>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</si>
  <si>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</si>
  <si>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</si>
  <si>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</si>
  <si>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</si>
  <si>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</si>
  <si>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</si>
  <si>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</si>
  <si>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</si>
  <si>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</si>
  <si>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</si>
  <si>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</si>
  <si>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</si>
  <si>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</si>
  <si>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</si>
  <si>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</si>
  <si>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</si>
  <si>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</si>
  <si>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</si>
  <si>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</si>
  <si>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</si>
  <si>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ústní,čelistní a obličejové chirurgie</t>
    </r>
  </si>
  <si>
    <t>/0</t>
  </si>
  <si>
    <t>Plnění rozpočtu po měsících</t>
  </si>
  <si>
    <t>25</t>
  </si>
  <si>
    <t>Klinika ústní,čelistní a obličejové chirurgie</t>
  </si>
  <si>
    <t/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</si>
  <si>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</si>
  <si>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</si>
  <si>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</si>
  <si>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</si>
  <si>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</si>
  <si>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</si>
  <si>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</si>
  <si>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</si>
  <si>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</si>
  <si>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</si>
  <si>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</si>
  <si>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</si>
  <si>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</si>
  <si>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</si>
  <si>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</si>
  <si>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</si>
  <si>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</si>
  <si>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</si>
  <si>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</si>
  <si>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</si>
  <si>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</si>
  <si>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</si>
  <si>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</si>
  <si>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</si>
  <si>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</si>
  <si>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</si>
  <si>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</si>
  <si>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213489</t>
  </si>
  <si>
    <t>FRAXIPARINE</t>
  </si>
  <si>
    <t>INJ SOL 10X0.6ML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</si>
  <si>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</si>
  <si>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</si>
  <si>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</si>
  <si>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</si>
  <si>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</si>
  <si>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</si>
  <si>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</si>
  <si>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</si>
  <si>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</si>
  <si>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</si>
  <si>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</si>
  <si>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</si>
  <si>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</si>
  <si>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</si>
  <si>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</si>
  <si>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</si>
  <si>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</si>
  <si>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</si>
  <si>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</si>
  <si>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</si>
  <si>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</si>
  <si>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</si>
  <si>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</si>
  <si>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</si>
  <si>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</si>
  <si>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</si>
  <si>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</si>
  <si>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</si>
  <si>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</si>
  <si>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</si>
  <si>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</si>
  <si>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</si>
  <si>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</si>
  <si>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</si>
  <si>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</si>
  <si>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101710</t>
  </si>
  <si>
    <t>1710</t>
  </si>
  <si>
    <t>MILURIT 300</t>
  </si>
  <si>
    <t>TBL 30X300MG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</si>
  <si>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</si>
  <si>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</si>
  <si>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</si>
  <si>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</si>
  <si>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</si>
  <si>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</si>
  <si>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</si>
  <si>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</si>
  <si>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</si>
  <si>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</si>
  <si>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</si>
  <si>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</si>
  <si>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</si>
  <si>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</si>
  <si>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</si>
  <si>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</si>
  <si>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</si>
  <si>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</si>
  <si>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</si>
  <si>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</si>
  <si>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</si>
  <si>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</si>
  <si>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</si>
  <si>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</si>
  <si>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</si>
  <si>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</si>
  <si>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109847</t>
  </si>
  <si>
    <t>9847</t>
  </si>
  <si>
    <t>TORECAN</t>
  </si>
  <si>
    <t>SUP 6X6.5MG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</si>
  <si>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</si>
  <si>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</si>
  <si>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</si>
  <si>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</si>
  <si>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</si>
  <si>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</si>
  <si>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</si>
  <si>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</si>
  <si>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</si>
  <si>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</si>
  <si>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154424</t>
  </si>
  <si>
    <t>54424</t>
  </si>
  <si>
    <t>PLAQUENIL</t>
  </si>
  <si>
    <t>TBL OBD 60X200MG</t>
  </si>
  <si>
    <t>155823</t>
  </si>
  <si>
    <t>55823</t>
  </si>
  <si>
    <t>NOVALGIN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</si>
  <si>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</si>
  <si>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</si>
  <si>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</si>
  <si>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</si>
  <si>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</si>
  <si>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</si>
  <si>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</si>
  <si>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</si>
  <si>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</si>
  <si>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</si>
  <si>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</si>
  <si>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</si>
  <si>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</si>
  <si>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</si>
  <si>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</si>
  <si>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</si>
  <si>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</si>
  <si>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</si>
  <si>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</si>
  <si>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</si>
  <si>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</si>
  <si>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</si>
  <si>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</si>
  <si>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</si>
  <si>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</si>
  <si>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</si>
  <si>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</si>
  <si>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</si>
  <si>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</si>
  <si>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</si>
  <si>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</si>
  <si>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</si>
  <si>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</si>
  <si>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</si>
  <si>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</si>
  <si>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</si>
  <si>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176650</t>
  </si>
  <si>
    <t>76650</t>
  </si>
  <si>
    <t>AFONILUM SR 250MG</t>
  </si>
  <si>
    <t>CPS 50X250MG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</si>
  <si>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</si>
  <si>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</si>
  <si>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</si>
  <si>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</si>
  <si>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</si>
  <si>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</si>
  <si>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</si>
  <si>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</si>
  <si>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</si>
  <si>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</si>
  <si>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</si>
  <si>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</si>
  <si>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</si>
  <si>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</si>
  <si>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</si>
  <si>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</si>
  <si>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</si>
  <si>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</si>
  <si>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</si>
  <si>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</si>
  <si>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</si>
  <si>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</si>
  <si>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</si>
  <si>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</si>
  <si>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395997</t>
  </si>
  <si>
    <t>DZ SOFTASEPT N BEZBARVÝ 250 ml</t>
  </si>
  <si>
    <t>840143</t>
  </si>
  <si>
    <t>Heřmánek Spofa her.20x1g nálev.sáčky LEROS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</si>
  <si>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</si>
  <si>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</si>
  <si>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</si>
  <si>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</si>
  <si>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</si>
  <si>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</si>
  <si>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</si>
  <si>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</si>
  <si>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</si>
  <si>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</si>
  <si>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</si>
  <si>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</si>
  <si>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</si>
  <si>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</si>
  <si>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</si>
  <si>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</si>
  <si>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</si>
  <si>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</si>
  <si>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</si>
  <si>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</si>
  <si>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</si>
  <si>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</si>
  <si>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</si>
  <si>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</si>
  <si>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</si>
  <si>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</si>
  <si>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</si>
  <si>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</si>
  <si>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</si>
  <si>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</si>
  <si>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</si>
  <si>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</si>
  <si>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</si>
  <si>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</si>
  <si>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850552</t>
  </si>
  <si>
    <t>167852</t>
  </si>
  <si>
    <t>TWYNSTA 80 MG/5 MG</t>
  </si>
  <si>
    <t>POR TBL NOB 28</t>
  </si>
  <si>
    <t>102818</t>
  </si>
  <si>
    <t>2818</t>
  </si>
  <si>
    <t>ENDIARON</t>
  </si>
  <si>
    <t>TBL OBD 20X250MG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</si>
  <si>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</si>
  <si>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</si>
  <si>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</si>
  <si>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</si>
  <si>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</si>
  <si>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</si>
  <si>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</si>
  <si>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</si>
  <si>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126329</t>
  </si>
  <si>
    <t>26329</t>
  </si>
  <si>
    <t>AERIUS</t>
  </si>
  <si>
    <t>POR TBL FLM 30X5MG</t>
  </si>
  <si>
    <t>138839</t>
  </si>
  <si>
    <t>DORETA 37,5 MG/325 MG</t>
  </si>
  <si>
    <t>POR TBL FLM 10</t>
  </si>
  <si>
    <t>155824</t>
  </si>
  <si>
    <t>55824</t>
  </si>
  <si>
    <t>INJ 5X5ML/2500MG</t>
  </si>
  <si>
    <t>157345</t>
  </si>
  <si>
    <t>57345</t>
  </si>
  <si>
    <t>LITALIR</t>
  </si>
  <si>
    <t>CPS 100X500MG</t>
  </si>
  <si>
    <t>157866</t>
  </si>
  <si>
    <t>57866</t>
  </si>
  <si>
    <t>TOBRADEX</t>
  </si>
  <si>
    <t>GTT OPH 1X5ML</t>
  </si>
  <si>
    <t>159940</t>
  </si>
  <si>
    <t>59940</t>
  </si>
  <si>
    <t>PLV POR 1X10SACKU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</si>
  <si>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</si>
  <si>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</si>
  <si>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</si>
  <si>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</si>
  <si>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</si>
  <si>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</si>
  <si>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</si>
  <si>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</si>
  <si>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845329</t>
  </si>
  <si>
    <t>Biopron9 tob.60</t>
  </si>
  <si>
    <t>848625</t>
  </si>
  <si>
    <t>138841</t>
  </si>
  <si>
    <t>POR TBL FLM 30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</si>
  <si>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</si>
  <si>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</si>
  <si>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</si>
  <si>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</si>
  <si>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</si>
  <si>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</si>
  <si>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</si>
  <si>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</si>
  <si>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</si>
  <si>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</si>
  <si>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</si>
  <si>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</si>
  <si>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</si>
  <si>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</si>
  <si>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</si>
  <si>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</si>
  <si>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100874</t>
  </si>
  <si>
    <t>874</t>
  </si>
  <si>
    <t>OPHTHALMO-AZULEN</t>
  </si>
  <si>
    <t>193109</t>
  </si>
  <si>
    <t>93109</t>
  </si>
  <si>
    <t>SUPRACAIN 4%</t>
  </si>
  <si>
    <t>INJ 10X2ML</t>
  </si>
  <si>
    <t>841498</t>
  </si>
  <si>
    <t>Carbosorb tbl.20-blistr</t>
  </si>
  <si>
    <t>900321</t>
  </si>
  <si>
    <t>KL PRIPRAVEK</t>
  </si>
  <si>
    <t>102123</t>
  </si>
  <si>
    <t>2123</t>
  </si>
  <si>
    <t>PAMBA</t>
  </si>
  <si>
    <t>TBL 10X250MG</t>
  </si>
  <si>
    <t>117011</t>
  </si>
  <si>
    <t>17011</t>
  </si>
  <si>
    <t>DICYNONE 250</t>
  </si>
  <si>
    <t>INJ SOL 4X2ML/250MG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</si>
  <si>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</si>
  <si>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</si>
  <si>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</si>
  <si>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</si>
  <si>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</si>
  <si>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</si>
  <si>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</si>
  <si>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</si>
  <si>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</si>
  <si>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</si>
  <si>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</si>
  <si>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184325</t>
  </si>
  <si>
    <t>84325</t>
  </si>
  <si>
    <t>VIDISIC</t>
  </si>
  <si>
    <t>GEL OPH 1X10GM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</si>
  <si>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</si>
  <si>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</si>
  <si>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</si>
  <si>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</si>
  <si>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</si>
  <si>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</si>
  <si>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</si>
  <si>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</si>
  <si>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</si>
  <si>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900881</t>
  </si>
  <si>
    <t>KL BALS.VISNEVSKI 100G</t>
  </si>
  <si>
    <t>100810</t>
  </si>
  <si>
    <t>810</t>
  </si>
  <si>
    <t>SANORIN EMULSIO</t>
  </si>
  <si>
    <t>GTT NAS 10ML 0.1%</t>
  </si>
  <si>
    <t>101681</t>
  </si>
  <si>
    <t>1681</t>
  </si>
  <si>
    <t>EMLA KREM 5%</t>
  </si>
  <si>
    <t>CRM 1X30GM</t>
  </si>
  <si>
    <t>850729</t>
  </si>
  <si>
    <t>157875</t>
  </si>
  <si>
    <t>PARACETAMOL KABI 10MG/ML</t>
  </si>
  <si>
    <t>INF SOL 10X100ML/1000MG</t>
  </si>
  <si>
    <t>921209</t>
  </si>
  <si>
    <t>KL BALS.VISNEVSKI 50G</t>
  </si>
  <si>
    <t>920378</t>
  </si>
  <si>
    <t>KL SOL.HYD.PEROX.3% 250G v sirokohrdle lahvi</t>
  </si>
  <si>
    <t>130229</t>
  </si>
  <si>
    <t>30229</t>
  </si>
  <si>
    <t>PARALEN PLUS</t>
  </si>
  <si>
    <t>TBL OBD 24</t>
  </si>
  <si>
    <t>150768</t>
  </si>
  <si>
    <t>50768</t>
  </si>
  <si>
    <t>AGAPURIN SR 600</t>
  </si>
  <si>
    <t>POR TBL PRO 20X600MG</t>
  </si>
  <si>
    <t>380759</t>
  </si>
  <si>
    <t>169469</t>
  </si>
  <si>
    <t>OPSITE SPRAY 240 ML</t>
  </si>
  <si>
    <t>TRANSPARENTNÍ FILM</t>
  </si>
  <si>
    <t>196887</t>
  </si>
  <si>
    <t>96887</t>
  </si>
  <si>
    <t>0.9% W/V SODIUM CHLORIDE I.V.</t>
  </si>
  <si>
    <t>INJ 20X20ML</t>
  </si>
  <si>
    <t>847085</t>
  </si>
  <si>
    <t>115401</t>
  </si>
  <si>
    <t>CLEXANE</t>
  </si>
  <si>
    <t>inj sol  10x0,4ml/40 mg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</si>
  <si>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</si>
  <si>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</si>
  <si>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</si>
  <si>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</si>
  <si>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</si>
  <si>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</si>
  <si>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</si>
  <si>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</si>
  <si>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</si>
  <si>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</si>
  <si>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394942</t>
  </si>
  <si>
    <t>93527</t>
  </si>
  <si>
    <t>ARDEAELYTOSOL R1/1</t>
  </si>
  <si>
    <t>INF 1X500ML</t>
  </si>
  <si>
    <t>844864</t>
  </si>
  <si>
    <t>85346</t>
  </si>
  <si>
    <t>INFECTOSCAB 5% KRÉM DRM</t>
  </si>
  <si>
    <t>1X30G</t>
  </si>
  <si>
    <t>930671</t>
  </si>
  <si>
    <t>KL CHLORHEXIDINI SOL. 0,1% 300 g</t>
  </si>
  <si>
    <t>v sirokohrdle lahvi</t>
  </si>
  <si>
    <t>112895</t>
  </si>
  <si>
    <t>12895</t>
  </si>
  <si>
    <t>AULIN</t>
  </si>
  <si>
    <t>POR GRA SOL30SÁČKŮ</t>
  </si>
  <si>
    <t>177294</t>
  </si>
  <si>
    <t>EGIRAMLON 10 MG/10 MG</t>
  </si>
  <si>
    <t>POR CPS DUR 30</t>
  </si>
  <si>
    <t>159746</t>
  </si>
  <si>
    <t>59746</t>
  </si>
  <si>
    <t>HEŘMÁNKOVÝ ČAJ</t>
  </si>
  <si>
    <t>SPC 20X1.5GM(SCCKY)</t>
  </si>
  <si>
    <t>185793</t>
  </si>
  <si>
    <t>136395</t>
  </si>
  <si>
    <t>SOLCOSERYL DENTAL ADHESIVE</t>
  </si>
  <si>
    <t>STM PST 1X5GM</t>
  </si>
  <si>
    <t>921241</t>
  </si>
  <si>
    <t>KL SOL.ARG.NITR.10% 10G</t>
  </si>
  <si>
    <t>921277</t>
  </si>
  <si>
    <t>KL JODOVÝ OLEJ 30G</t>
  </si>
  <si>
    <t>4269</t>
  </si>
  <si>
    <t>IRUXOL MONO</t>
  </si>
  <si>
    <t>DRM UNG 1X10GM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</si>
  <si>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</si>
  <si>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</si>
  <si>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</si>
  <si>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</si>
  <si>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</si>
  <si>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</si>
  <si>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</si>
  <si>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</si>
  <si>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</si>
  <si>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</si>
  <si>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</si>
  <si>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</si>
  <si>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</si>
  <si>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</si>
  <si>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</si>
  <si>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</si>
  <si>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</si>
  <si>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</si>
  <si>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</si>
  <si>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201452</t>
  </si>
  <si>
    <t>OPHTAL</t>
  </si>
  <si>
    <t>OPH AQA 4X25ML PLAST</t>
  </si>
  <si>
    <t>200309</t>
  </si>
  <si>
    <t>KREON 25 000</t>
  </si>
  <si>
    <t>POR CPS ETD 50</t>
  </si>
  <si>
    <t>621119</t>
  </si>
  <si>
    <t>Baby Wipes Aloe Vera vlhčené ubrousky 80ks</t>
  </si>
  <si>
    <t>24550</t>
  </si>
  <si>
    <t>ONDANSETRON KABI 2 MG/ML</t>
  </si>
  <si>
    <t>INJ SOL 5X4ML</t>
  </si>
  <si>
    <t>126353</t>
  </si>
  <si>
    <t>26353</t>
  </si>
  <si>
    <t>ALDARA 5% CREAM</t>
  </si>
  <si>
    <t>CRM 12X250MG/12.5MG</t>
  </si>
  <si>
    <t>189684</t>
  </si>
  <si>
    <t>TEZEO HCT 80 MG/12,5 MG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</si>
  <si>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</si>
  <si>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</si>
  <si>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</si>
  <si>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</si>
  <si>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</si>
  <si>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</si>
  <si>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</si>
  <si>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</si>
  <si>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132061</t>
  </si>
  <si>
    <t>32061</t>
  </si>
  <si>
    <t>132063</t>
  </si>
  <si>
    <t>32063</t>
  </si>
  <si>
    <t>INJ SOL 10X0.8ML</t>
  </si>
  <si>
    <t>147740</t>
  </si>
  <si>
    <t>47740</t>
  </si>
  <si>
    <t>RIVOCOR 5</t>
  </si>
  <si>
    <t>156503</t>
  </si>
  <si>
    <t>56503</t>
  </si>
  <si>
    <t>SIOFOR 500</t>
  </si>
  <si>
    <t>TBL OBD 60X500MG</t>
  </si>
  <si>
    <t>158271</t>
  </si>
  <si>
    <t>58271</t>
  </si>
  <si>
    <t>LIPANTHYL 267 M</t>
  </si>
  <si>
    <t>CPS 30X267MG</t>
  </si>
  <si>
    <t>166029</t>
  </si>
  <si>
    <t>66029</t>
  </si>
  <si>
    <t>ZODAC</t>
  </si>
  <si>
    <t>TBL OBD 10X10MG</t>
  </si>
  <si>
    <t>166030</t>
  </si>
  <si>
    <t>66030</t>
  </si>
  <si>
    <t>TBL OBD 30X10MG</t>
  </si>
  <si>
    <t>193013</t>
  </si>
  <si>
    <t>93013</t>
  </si>
  <si>
    <t>SORTIS 10MG</t>
  </si>
  <si>
    <t>844651</t>
  </si>
  <si>
    <t>101205</t>
  </si>
  <si>
    <t>PRESTARIUM NEO</t>
  </si>
  <si>
    <t>846446</t>
  </si>
  <si>
    <t>124343</t>
  </si>
  <si>
    <t>CEZERA 5 MG</t>
  </si>
  <si>
    <t>848765</t>
  </si>
  <si>
    <t>107938</t>
  </si>
  <si>
    <t>CORDARONE</t>
  </si>
  <si>
    <t>INJ SOL 6X3ML/150MG</t>
  </si>
  <si>
    <t>850087</t>
  </si>
  <si>
    <t>120791</t>
  </si>
  <si>
    <t>APO-PERINDO 4 MG</t>
  </si>
  <si>
    <t>POR TBL NOB 30X4MG</t>
  </si>
  <si>
    <t>126786</t>
  </si>
  <si>
    <t>26786</t>
  </si>
  <si>
    <t>NOVORAPID 100 U/ML</t>
  </si>
  <si>
    <t>INJ SOL 1X10ML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</si>
  <si>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</si>
  <si>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</si>
  <si>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</si>
  <si>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</si>
  <si>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</si>
  <si>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</si>
  <si>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</si>
  <si>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</si>
  <si>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844377</t>
  </si>
  <si>
    <t>BETAHISTIN ACTAVIS 16 MG</t>
  </si>
  <si>
    <t>POR TBL NOB 60X16MG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</si>
  <si>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</si>
  <si>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</si>
  <si>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</si>
  <si>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</si>
  <si>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</si>
  <si>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</si>
  <si>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</si>
  <si>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146692</t>
  </si>
  <si>
    <t>46692</t>
  </si>
  <si>
    <t>EUTHYROX 75</t>
  </si>
  <si>
    <t>TBL 100X75RG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</si>
  <si>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</si>
  <si>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</si>
  <si>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</si>
  <si>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</si>
  <si>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</si>
  <si>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</si>
  <si>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</si>
  <si>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</si>
  <si>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130652</t>
  </si>
  <si>
    <t>30652</t>
  </si>
  <si>
    <t>REASEC</t>
  </si>
  <si>
    <t>TBL 20X2.5MG</t>
  </si>
  <si>
    <t>133152</t>
  </si>
  <si>
    <t>33152</t>
  </si>
  <si>
    <t>FANTOMALT</t>
  </si>
  <si>
    <t>POR PLV SOL 1X400GMenterar.</t>
  </si>
  <si>
    <t>16913</t>
  </si>
  <si>
    <t>MOXOSTAD 0,2 MG</t>
  </si>
  <si>
    <t>POR TBL FLM 30X0.2MG</t>
  </si>
  <si>
    <t>203097</t>
  </si>
  <si>
    <t>AMOKSIKLAV 1 G</t>
  </si>
  <si>
    <t>POR TBL FLM 21X1GM</t>
  </si>
  <si>
    <t>213494</t>
  </si>
  <si>
    <t>50113006</t>
  </si>
  <si>
    <t>103414</t>
  </si>
  <si>
    <t>3414</t>
  </si>
  <si>
    <t>NUTRIFLEX PERI</t>
  </si>
  <si>
    <t>INF SOL 5X2000ML</t>
  </si>
  <si>
    <t>988740</t>
  </si>
  <si>
    <t>Nutrison Advanced Diason 1000ml</t>
  </si>
  <si>
    <t>33531</t>
  </si>
  <si>
    <t>NUTRISON ENERGY MULTI FIBRE</t>
  </si>
  <si>
    <t>POR SOL 1X1000ML</t>
  </si>
  <si>
    <t>133220</t>
  </si>
  <si>
    <t>33220</t>
  </si>
  <si>
    <t>PROTIFAR</t>
  </si>
  <si>
    <t>POR PLV SOL 1X225GM</t>
  </si>
  <si>
    <t>33677</t>
  </si>
  <si>
    <t>POR SOL 1X1500ML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</si>
  <si>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</si>
  <si>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</si>
  <si>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</si>
  <si>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</si>
  <si>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</si>
  <si>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</si>
  <si>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</si>
  <si>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</si>
  <si>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</si>
  <si>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</si>
  <si>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</si>
  <si>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</si>
  <si>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</si>
  <si>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</si>
  <si>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</si>
  <si>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</si>
  <si>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</si>
  <si>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</si>
  <si>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</si>
  <si>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</si>
  <si>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</si>
  <si>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</si>
  <si>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</si>
  <si>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</si>
  <si>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</si>
  <si>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</si>
  <si>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</si>
  <si>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</si>
  <si>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</si>
  <si>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</si>
  <si>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</si>
  <si>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</si>
  <si>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</si>
  <si>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</si>
  <si>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</si>
  <si>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</si>
  <si>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</si>
  <si>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</si>
  <si>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</si>
  <si>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</si>
  <si>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</si>
  <si>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</si>
  <si>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</si>
  <si>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</si>
  <si>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</si>
  <si>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</si>
  <si>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</si>
  <si>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</si>
  <si>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</si>
  <si>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</si>
  <si>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</si>
  <si>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</si>
  <si>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</si>
  <si>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117171</t>
  </si>
  <si>
    <t>17171</t>
  </si>
  <si>
    <t>BELOGENT MAST</t>
  </si>
  <si>
    <t>101077</t>
  </si>
  <si>
    <t>1077</t>
  </si>
  <si>
    <t>OPHTHALMO-FRAMYKOIN COMPOSITUM</t>
  </si>
  <si>
    <t>156835</t>
  </si>
  <si>
    <t>MEROPENEM KABI 1 G</t>
  </si>
  <si>
    <t>INJ+INF PLV SOL 10X1000MG</t>
  </si>
  <si>
    <t>112738</t>
  </si>
  <si>
    <t>12738</t>
  </si>
  <si>
    <t>DOXYHEXAL 200 TABS</t>
  </si>
  <si>
    <t>TBL 20X200MG</t>
  </si>
  <si>
    <t>162187</t>
  </si>
  <si>
    <t>CIPROFLOXACIN KABI 400 MG/200 ML INFUZNÍ ROZTOK</t>
  </si>
  <si>
    <t>INF SOL 10X400MG/200ML</t>
  </si>
  <si>
    <t>145634</t>
  </si>
  <si>
    <t>MEROPENEM RANBAXY 1 G</t>
  </si>
  <si>
    <t>INJ+INF PLV SOL 10X1GM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</si>
  <si>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</si>
  <si>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</si>
  <si>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</si>
  <si>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</si>
  <si>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</si>
  <si>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</si>
  <si>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</si>
  <si>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</si>
  <si>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</si>
  <si>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</si>
  <si>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</si>
  <si>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</si>
  <si>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</si>
  <si>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</si>
  <si>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</si>
  <si>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131656</t>
  </si>
  <si>
    <t>CEFTAZIDIM KABI 2 GM</t>
  </si>
  <si>
    <t>INJ+INF PLV SOL 10X2GM</t>
  </si>
  <si>
    <t>113453</t>
  </si>
  <si>
    <t>PIPERACILLIN/TAZOBACTAM KABI 4 G/0,5 G</t>
  </si>
  <si>
    <t>INF PLV SOL 10X4.5GM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</si>
  <si>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</si>
  <si>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</si>
  <si>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</si>
  <si>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</si>
  <si>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</si>
  <si>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</si>
  <si>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</si>
  <si>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50113014</t>
  </si>
  <si>
    <t>166036</t>
  </si>
  <si>
    <t>66036</t>
  </si>
  <si>
    <t>MYCOMAX 100</t>
  </si>
  <si>
    <t>CPS 28X100MG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</si>
  <si>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</si>
  <si>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</si>
  <si>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</si>
  <si>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</si>
  <si>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</si>
  <si>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</si>
  <si>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</si>
  <si>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164407</t>
  </si>
  <si>
    <t>INF SOL 10X200ML/400MG</t>
  </si>
  <si>
    <t>50113011</t>
  </si>
  <si>
    <t>87240</t>
  </si>
  <si>
    <t>Fanhdi 100 I.U/ml(1000 I.U.)GRIFOLS</t>
  </si>
  <si>
    <t>87239</t>
  </si>
  <si>
    <t>Fanhdi 50 I.U./ml(500 I.U) GRIFOLS</t>
  </si>
  <si>
    <t>0127717</t>
  </si>
  <si>
    <t>IMMUNINE 600 I.U. BAXTER</t>
  </si>
  <si>
    <t>102479</t>
  </si>
  <si>
    <t>2479</t>
  </si>
  <si>
    <t>DITHIADEN</t>
  </si>
  <si>
    <t>TBL 20X2MG</t>
  </si>
  <si>
    <t>930065</t>
  </si>
  <si>
    <t>DZ PRONTOSAN ROZTOK 350ml</t>
  </si>
  <si>
    <t>110820</t>
  </si>
  <si>
    <t>10820</t>
  </si>
  <si>
    <t>ZOFRAN</t>
  </si>
  <si>
    <t>INJ SOL 5X4ML/8MG</t>
  </si>
  <si>
    <t>169755</t>
  </si>
  <si>
    <t>69755</t>
  </si>
  <si>
    <t>ARDEANUTRISOL G 40</t>
  </si>
  <si>
    <t>INF 1X80ML</t>
  </si>
  <si>
    <t>921230</t>
  </si>
  <si>
    <t>KL VASELINUM ALBUM, 20G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</si>
  <si>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</si>
  <si>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</si>
  <si>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</si>
  <si>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</si>
  <si>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</si>
  <si>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</si>
  <si>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</si>
  <si>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</si>
  <si>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</si>
  <si>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</si>
  <si>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</si>
  <si>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</si>
  <si>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</si>
  <si>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</si>
  <si>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</si>
  <si>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</si>
  <si>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</si>
  <si>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</si>
  <si>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</si>
  <si>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</si>
  <si>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</si>
  <si>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</si>
  <si>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</si>
  <si>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</si>
  <si>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</si>
  <si>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</si>
  <si>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</si>
  <si>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</si>
  <si>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</si>
  <si>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</si>
  <si>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</si>
  <si>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</si>
  <si>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</si>
  <si>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</si>
  <si>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</si>
  <si>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203092</t>
  </si>
  <si>
    <t>LIDOCAIN EGIS 10 %</t>
  </si>
  <si>
    <t>DRM SPR SOL 1X38GM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</si>
  <si>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</si>
  <si>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</si>
  <si>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</si>
  <si>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</si>
  <si>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</si>
  <si>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</si>
  <si>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</si>
  <si>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</si>
  <si>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185525</t>
  </si>
  <si>
    <t>85525</t>
  </si>
  <si>
    <t>AMOKSIKLAV</t>
  </si>
  <si>
    <t>TBL OBD 21X625MG</t>
  </si>
  <si>
    <t>840169</t>
  </si>
  <si>
    <t xml:space="preserve">Indulona  Měsíčková </t>
  </si>
  <si>
    <t>841059</t>
  </si>
  <si>
    <t>Indulona olivová ung.100g</t>
  </si>
  <si>
    <t>705608</t>
  </si>
  <si>
    <t>Indulona modrá 100ml</t>
  </si>
  <si>
    <t>920064</t>
  </si>
  <si>
    <t>KL SOL.METHYLROS.CHL.1% 10G</t>
  </si>
  <si>
    <t>844851</t>
  </si>
  <si>
    <t>107135</t>
  </si>
  <si>
    <t>DALACIN C 150 MG</t>
  </si>
  <si>
    <t>POR CPS DUR 16x150mg</t>
  </si>
  <si>
    <t>100502</t>
  </si>
  <si>
    <t>502</t>
  </si>
  <si>
    <t>INJ 10X10ML 1%</t>
  </si>
  <si>
    <t>842125</t>
  </si>
  <si>
    <t>DZ SOFTASEPT N BAREVNÝ 250 ml</t>
  </si>
  <si>
    <t>905098</t>
  </si>
  <si>
    <t>23989</t>
  </si>
  <si>
    <t>DZ OCTENISEPT 1 l</t>
  </si>
  <si>
    <t>900814</t>
  </si>
  <si>
    <t>KL SOL.FORMAL.K FIXACI TKANI,1000G</t>
  </si>
  <si>
    <t>840987</t>
  </si>
  <si>
    <t>IR  AQUA STERILE OPLACH.6x1000 ml</t>
  </si>
  <si>
    <t>IR OPLACH-FR</t>
  </si>
  <si>
    <t>900406</t>
  </si>
  <si>
    <t>KL SOL.NOVIKOV 10G</t>
  </si>
  <si>
    <t>920200</t>
  </si>
  <si>
    <t>15877</t>
  </si>
  <si>
    <t>DZ BRAUNOL 1 L</t>
  </si>
  <si>
    <t>500988</t>
  </si>
  <si>
    <t>KL VASELINUM ALBUM STERILNI, 20G</t>
  </si>
  <si>
    <t>844940</t>
  </si>
  <si>
    <t>KL ELIXÍR NA OPTIKU</t>
  </si>
  <si>
    <t>930316</t>
  </si>
  <si>
    <t>KL CHLORHEXIDIN SOL.  0,1% 100 g</t>
  </si>
  <si>
    <t>901084</t>
  </si>
  <si>
    <t>IR SOL.METHYLROSANIL.CHL.1%10ML</t>
  </si>
  <si>
    <t>IR 10ml</t>
  </si>
  <si>
    <t>153347</t>
  </si>
  <si>
    <t>TISSEEL (FROZ)</t>
  </si>
  <si>
    <t>EPL GKU SOL 1X4ML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</si>
  <si>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</si>
  <si>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</si>
  <si>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</si>
  <si>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</si>
  <si>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</si>
  <si>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</si>
  <si>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</si>
  <si>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</si>
  <si>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</si>
  <si>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</si>
  <si>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</si>
  <si>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</si>
  <si>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</si>
  <si>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</si>
  <si>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J01FF01 - Klindamycin</t>
  </si>
  <si>
    <t>J01CR02 - Amoxicilin a enzymový inhibitor</t>
  </si>
  <si>
    <t>B01AB06 - Nadroparin</t>
  </si>
  <si>
    <t>J01MA02 - Ciprofloxacin</t>
  </si>
  <si>
    <t>A04AA01 - Ondansetron</t>
  </si>
  <si>
    <t>J01AA02 - Doxycyklin</t>
  </si>
  <si>
    <t>J01XD01 - Metronidazol</t>
  </si>
  <si>
    <t>N03AX12 - Gabapentin</t>
  </si>
  <si>
    <t>J01DD02 - Ceftazidim</t>
  </si>
  <si>
    <t>C01BD01 - Amiodaron</t>
  </si>
  <si>
    <t>R06AE07 - Cetirizin</t>
  </si>
  <si>
    <t>C02AC05 - Moxonidin</t>
  </si>
  <si>
    <t>A10BA02 - Metformin</t>
  </si>
  <si>
    <t>C07AB07 - Bisoprolol</t>
  </si>
  <si>
    <t>J02AC03 - Vorikonazol</t>
  </si>
  <si>
    <t>C09AA03 - Lisinopril</t>
  </si>
  <si>
    <t>N06AB06 - Sertralin</t>
  </si>
  <si>
    <t>C09AA04 - Perindopril</t>
  </si>
  <si>
    <t>J01DC02 - Cefuroxim</t>
  </si>
  <si>
    <t>C10AA05 - Atorvastatin</t>
  </si>
  <si>
    <t>A10AB05 - Inzulin aspart</t>
  </si>
  <si>
    <t>C10AB05 - Fenofibrát</t>
  </si>
  <si>
    <t>J01XB01 - Kolistin</t>
  </si>
  <si>
    <t>H02AB04 - Methylprednisolon</t>
  </si>
  <si>
    <t>J02AC01 - Flukonazol</t>
  </si>
  <si>
    <t>H03AA01 - Levothyroxin, sodná sůl</t>
  </si>
  <si>
    <t>M01AX17 - Nimesulid</t>
  </si>
  <si>
    <t>R06AE09 - Levocetirizin</t>
  </si>
  <si>
    <t>N05CD08 - Midazolam</t>
  </si>
  <si>
    <t>V06XX - Potraviny pro zvláštní lékařské účely (PZLÚ)</t>
  </si>
  <si>
    <t>N07CA01 - Betahistin</t>
  </si>
  <si>
    <t>A10AB01 - Inzulin lidský</t>
  </si>
  <si>
    <t>A07DA - Antipropulziva</t>
  </si>
  <si>
    <t>J01CR05 - Piperacilin a enzymový inhibitor</t>
  </si>
  <si>
    <t>A02BC02 - Pantoprazol</t>
  </si>
  <si>
    <t>J01CR01 - Ampicilin a enzymový inhibitor</t>
  </si>
  <si>
    <t>A02BC02</t>
  </si>
  <si>
    <t>A04AA01</t>
  </si>
  <si>
    <t>A07DA</t>
  </si>
  <si>
    <t>POR TBL NOB 20X2.5MG</t>
  </si>
  <si>
    <t>A10AB01</t>
  </si>
  <si>
    <t>ACTRAPID PENFILL 100 IU/ML</t>
  </si>
  <si>
    <t>A10AB05</t>
  </si>
  <si>
    <t>SDR+IVN INJ SOL 1X10ML</t>
  </si>
  <si>
    <t>A10BA02</t>
  </si>
  <si>
    <t>POR TBL FLM 60X500MG</t>
  </si>
  <si>
    <t>B01AB06</t>
  </si>
  <si>
    <t>C01BD01</t>
  </si>
  <si>
    <t>INJ SOL 6X3ML</t>
  </si>
  <si>
    <t>C02AC05</t>
  </si>
  <si>
    <t>C07AB07</t>
  </si>
  <si>
    <t>C09AA03</t>
  </si>
  <si>
    <t>DIROTON 5 MG</t>
  </si>
  <si>
    <t>POR TBL NOB 28X5MG</t>
  </si>
  <si>
    <t>C09AA04</t>
  </si>
  <si>
    <t>C10AA05</t>
  </si>
  <si>
    <t>SORTIS 10 MG</t>
  </si>
  <si>
    <t>C10AB05</t>
  </si>
  <si>
    <t>POR CPS DUR 30X267MG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</si>
  <si>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</si>
  <si>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</si>
  <si>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</si>
  <si>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</si>
  <si>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</si>
  <si>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</si>
  <si>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J01AA02</t>
  </si>
  <si>
    <t>POR TBL NOB 20X200MG</t>
  </si>
  <si>
    <t>J01CR01</t>
  </si>
  <si>
    <t>J01CR02</t>
  </si>
  <si>
    <t>POR TBL FLM 21</t>
  </si>
  <si>
    <t>POR TBL FLM 14</t>
  </si>
  <si>
    <t>AMOKSIKLAV 1,2 G</t>
  </si>
  <si>
    <t>INJ+INF PLV SOL 5</t>
  </si>
  <si>
    <t>J01CR05</t>
  </si>
  <si>
    <t>J01DC02</t>
  </si>
  <si>
    <t>J01DD02</t>
  </si>
  <si>
    <t>CEFTAZIDIM KABI 2 G</t>
  </si>
  <si>
    <t>J01FF01</t>
  </si>
  <si>
    <t>CLINDAMYCIN KABI 150 MG/ML</t>
  </si>
  <si>
    <t>INJ SOL 10X4ML/600MG</t>
  </si>
  <si>
    <t>DALACIN C</t>
  </si>
  <si>
    <t>INJ SOL 1X4ML/600MG</t>
  </si>
  <si>
    <t>J01MA02</t>
  </si>
  <si>
    <t>POR TBL FLM 10X500MG</t>
  </si>
  <si>
    <t>J01XB01</t>
  </si>
  <si>
    <t>INJ PLV SOL+INH SOL 10X1MU</t>
  </si>
  <si>
    <t>J01XD01</t>
  </si>
  <si>
    <t>METRONIDAZOL B. BRAUN 5 MG/ML</t>
  </si>
  <si>
    <t>INF SOL 10X100ML</t>
  </si>
  <si>
    <t>J02AC01</t>
  </si>
  <si>
    <t>J02AC03</t>
  </si>
  <si>
    <t>IVN INF PLV SOL 1X200MG</t>
  </si>
  <si>
    <t>M01AX17</t>
  </si>
  <si>
    <t>POR TBL NOB 30X100MG</t>
  </si>
  <si>
    <t>N03AX12</t>
  </si>
  <si>
    <t>NEURONTIN 100 MG</t>
  </si>
  <si>
    <t>POR CPS DUR 20X100MG</t>
  </si>
  <si>
    <t>N06AB06</t>
  </si>
  <si>
    <t>ZOLOFT 50 MG</t>
  </si>
  <si>
    <t>POR TBL FLM 28X50MG</t>
  </si>
  <si>
    <t>N07CA01</t>
  </si>
  <si>
    <t>R06AE07</t>
  </si>
  <si>
    <t>POR TBL FLM 10X10MG</t>
  </si>
  <si>
    <t>R06AE09</t>
  </si>
  <si>
    <t>V06XX</t>
  </si>
  <si>
    <t>POR PLV SOL 1X400GM</t>
  </si>
  <si>
    <t>DEPO-MEDROL 40 MG/ML</t>
  </si>
  <si>
    <t>INJ SUS 1X1ML/40MG</t>
  </si>
  <si>
    <t>AMOKSIKLAV 625 MG</t>
  </si>
  <si>
    <t>N05CD08</t>
  </si>
  <si>
    <t>POR TBL FLM 10X15MG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</si>
  <si>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</si>
  <si>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</si>
  <si>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</si>
  <si>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</si>
  <si>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</si>
  <si>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</si>
  <si>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</si>
  <si>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</si>
  <si>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</si>
  <si>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</si>
  <si>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</si>
  <si>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</si>
  <si>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</si>
  <si>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</si>
  <si>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</si>
  <si>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</si>
  <si>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</si>
  <si>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</si>
  <si>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</si>
  <si>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</si>
  <si>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Číhalová Lucie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</si>
  <si>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</si>
  <si>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</si>
  <si>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</si>
  <si>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</si>
  <si>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</si>
  <si>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</si>
  <si>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</si>
  <si>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</si>
  <si>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</si>
  <si>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</si>
  <si>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</si>
  <si>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</si>
  <si>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</si>
  <si>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</si>
  <si>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</si>
  <si>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</si>
  <si>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Stupková Veronika</t>
  </si>
  <si>
    <t>Tvrdý Peter</t>
  </si>
  <si>
    <t>Voborná Iva</t>
  </si>
  <si>
    <t>Zbořil Vítězslav</t>
  </si>
  <si>
    <t>Žižka Radovan</t>
  </si>
  <si>
    <t>Kozák Rostislav</t>
  </si>
  <si>
    <t>Blažková Lenka</t>
  </si>
  <si>
    <t>Fabián Jakub</t>
  </si>
  <si>
    <t>Nemravová Lenka</t>
  </si>
  <si>
    <t>Kašpar Matouš</t>
  </si>
  <si>
    <t>Bojko Jakub</t>
  </si>
  <si>
    <t>Dvořák Zdeněk</t>
  </si>
  <si>
    <t>Azar Basel</t>
  </si>
  <si>
    <t>Amoxicilin a enzymový inhibitor</t>
  </si>
  <si>
    <t>132654</t>
  </si>
  <si>
    <t>Cefuroxim</t>
  </si>
  <si>
    <t>132710</t>
  </si>
  <si>
    <t>Klindamycin</t>
  </si>
  <si>
    <t>Nimesulid</t>
  </si>
  <si>
    <t>Kyselina aminomethylbenzoová</t>
  </si>
  <si>
    <t>POR TBL NOB 10X250MG</t>
  </si>
  <si>
    <t>98168</t>
  </si>
  <si>
    <t>POR TBL NOB 20X250MG</t>
  </si>
  <si>
    <t>Metronidazol</t>
  </si>
  <si>
    <t>12894</t>
  </si>
  <si>
    <t>POR GRA SUS 15X100MG I</t>
  </si>
  <si>
    <t>Sulfamethoxazol a trimethoprim</t>
  </si>
  <si>
    <t>POR TBL NOB 20X480MG</t>
  </si>
  <si>
    <t>Vorikonazol</t>
  </si>
  <si>
    <t>26889</t>
  </si>
  <si>
    <t>POR TBL FLM 14X200MG</t>
  </si>
  <si>
    <t>Amlodipin</t>
  </si>
  <si>
    <t>125059</t>
  </si>
  <si>
    <t>12891</t>
  </si>
  <si>
    <t>POR TBL NOB 15X100MG</t>
  </si>
  <si>
    <t>Perindopril</t>
  </si>
  <si>
    <t>POR GRA SUS 30X100MG I</t>
  </si>
  <si>
    <t>POR CPS DUR 16X150MG</t>
  </si>
  <si>
    <t>Betamethason a antibiotika</t>
  </si>
  <si>
    <t>DRM CRM 30GM</t>
  </si>
  <si>
    <t>Flutikason-furoát</t>
  </si>
  <si>
    <t>29815</t>
  </si>
  <si>
    <t>AVAMYS 27,5 MIKROGRAMŮ/DÁVKA</t>
  </si>
  <si>
    <t>NAS SPR SUS 60X27.5RG</t>
  </si>
  <si>
    <t>Jiná antibiotika pro lokální aplikaci</t>
  </si>
  <si>
    <t>DRM UNG 10GM</t>
  </si>
  <si>
    <t>132671</t>
  </si>
  <si>
    <t>Nafazolin</t>
  </si>
  <si>
    <t>58159</t>
  </si>
  <si>
    <t>SANORIN 1 PM</t>
  </si>
  <si>
    <t>NAS SPR SOL 1X10ML</t>
  </si>
  <si>
    <t>Omeprazol</t>
  </si>
  <si>
    <t>132526</t>
  </si>
  <si>
    <t>HELICID 10</t>
  </si>
  <si>
    <t>POR CPS ETD 28X10MG</t>
  </si>
  <si>
    <t>12494</t>
  </si>
  <si>
    <t>AUGMENTIN 1 G</t>
  </si>
  <si>
    <t>POR TBL FLM 14 I</t>
  </si>
  <si>
    <t>5950</t>
  </si>
  <si>
    <t>Bromazepam</t>
  </si>
  <si>
    <t>132810</t>
  </si>
  <si>
    <t>LEXAURIN 1,5</t>
  </si>
  <si>
    <t>POR TBL NOB 30X1.5MG</t>
  </si>
  <si>
    <t>47728</t>
  </si>
  <si>
    <t>POR TBL FLM 14X500MG</t>
  </si>
  <si>
    <t>29814</t>
  </si>
  <si>
    <t>NAS SPR SUS 30X27.5RG</t>
  </si>
  <si>
    <t>44354</t>
  </si>
  <si>
    <t>POR TBL NOB 10X100MG</t>
  </si>
  <si>
    <t>132649</t>
  </si>
  <si>
    <t>Jiná</t>
  </si>
  <si>
    <t>*2998</t>
  </si>
  <si>
    <t>Jiný</t>
  </si>
  <si>
    <t>Atorvastatin</t>
  </si>
  <si>
    <t>Betahistin</t>
  </si>
  <si>
    <t>102674</t>
  </si>
  <si>
    <t>BETAHISTIN ACTAVIS 8 MG</t>
  </si>
  <si>
    <t>POR TBL NOB 100X8MG</t>
  </si>
  <si>
    <t>Bisoprolol</t>
  </si>
  <si>
    <t>94164</t>
  </si>
  <si>
    <t>CONCOR 5</t>
  </si>
  <si>
    <t>88219</t>
  </si>
  <si>
    <t>LEXAURIN 3</t>
  </si>
  <si>
    <t>POR TBL NOB 30X3MG</t>
  </si>
  <si>
    <t>Ciprofloxacin</t>
  </si>
  <si>
    <t>15646</t>
  </si>
  <si>
    <t>CIPLOX</t>
  </si>
  <si>
    <t>OPH+AUR GTT SOL 5ML</t>
  </si>
  <si>
    <t>Desloratadin</t>
  </si>
  <si>
    <t>26324</t>
  </si>
  <si>
    <t>AERIUS 5 MG</t>
  </si>
  <si>
    <t>POR TBL FLM 10X5MG</t>
  </si>
  <si>
    <t>Diklofenak</t>
  </si>
  <si>
    <t>16032</t>
  </si>
  <si>
    <t>VOLTAREN RAPID 50 MG TABLETY</t>
  </si>
  <si>
    <t>POR TBL OBD 10X50MG</t>
  </si>
  <si>
    <t>29816</t>
  </si>
  <si>
    <t>NAS SPR SUS 120X27.5RG</t>
  </si>
  <si>
    <t>Hořčík (různé sole v kombinaci)</t>
  </si>
  <si>
    <t>POR GRA SOL SCC 30X365MG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</si>
  <si>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</si>
  <si>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</si>
  <si>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</si>
  <si>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</si>
  <si>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</si>
  <si>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</si>
  <si>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</si>
  <si>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</si>
  <si>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76756</t>
  </si>
  <si>
    <t>KETONAL 5% KRÉM</t>
  </si>
  <si>
    <t>DRM CRM 1X50GM</t>
  </si>
  <si>
    <t>76656</t>
  </si>
  <si>
    <t>DRM CRM 1X30GM</t>
  </si>
  <si>
    <t>83459</t>
  </si>
  <si>
    <t>POR CPS DUR 100X300MG</t>
  </si>
  <si>
    <t>Klomipramin</t>
  </si>
  <si>
    <t>16028</t>
  </si>
  <si>
    <t>ANAFRANIL SR 75</t>
  </si>
  <si>
    <t>POR TBL RET 20X75MG</t>
  </si>
  <si>
    <t>42630</t>
  </si>
  <si>
    <t>INJ SOL 5X5ML/50MG</t>
  </si>
  <si>
    <t>Kyselina hyaluronová</t>
  </si>
  <si>
    <t>65392</t>
  </si>
  <si>
    <t>HYALGAN 20 MG/2 ML</t>
  </si>
  <si>
    <t>INJ SOL 1X2ML/20MG</t>
  </si>
  <si>
    <t>Loratadin</t>
  </si>
  <si>
    <t>14910</t>
  </si>
  <si>
    <t>FLONIDAN 10 MG TABLETY</t>
  </si>
  <si>
    <t>POR TBL NOB 90X10MG</t>
  </si>
  <si>
    <t>Mefenoxalon</t>
  </si>
  <si>
    <t>85656</t>
  </si>
  <si>
    <t>DORSIFLEX 200 MG</t>
  </si>
  <si>
    <t>POR TBL NOB 30X200MG</t>
  </si>
  <si>
    <t>59662</t>
  </si>
  <si>
    <t>POR TBL NOB 6X100MG</t>
  </si>
  <si>
    <t>Paroxetin</t>
  </si>
  <si>
    <t>107847</t>
  </si>
  <si>
    <t>APO-PAROX</t>
  </si>
  <si>
    <t>Perindopril a amlodipin</t>
  </si>
  <si>
    <t>124133</t>
  </si>
  <si>
    <t>PRESTANCE 10 MG/10 MG</t>
  </si>
  <si>
    <t>POR TBL NOB 90</t>
  </si>
  <si>
    <t>Pseudoefedrin, kombinace</t>
  </si>
  <si>
    <t>191949</t>
  </si>
  <si>
    <t>POR TBL RET 14 I</t>
  </si>
  <si>
    <t>Rilmenidin</t>
  </si>
  <si>
    <t>125641</t>
  </si>
  <si>
    <t>TENAXUM</t>
  </si>
  <si>
    <t>POR TBL NOB 90X1MG</t>
  </si>
  <si>
    <t>Sertralin</t>
  </si>
  <si>
    <t>53951</t>
  </si>
  <si>
    <t>ZOLOFT 100 MG</t>
  </si>
  <si>
    <t>POR TBL FLM 28X100MG</t>
  </si>
  <si>
    <t>Sultamicilin</t>
  </si>
  <si>
    <t>POR TBL FLM 12X375MG</t>
  </si>
  <si>
    <t>Vitamin B1 v kombinaci s vitaminem B6 a/nebo B12</t>
  </si>
  <si>
    <t>11485</t>
  </si>
  <si>
    <t>MILGAMMA N</t>
  </si>
  <si>
    <t>INJ SOL 5X2ML</t>
  </si>
  <si>
    <t>119621</t>
  </si>
  <si>
    <t>INJ SOL 6X2ML</t>
  </si>
  <si>
    <t>*4036</t>
  </si>
  <si>
    <t>96416</t>
  </si>
  <si>
    <t>AMOKSIKLAV FORTE 312,5 MG/5ML SUSPENZE</t>
  </si>
  <si>
    <t>POR PLV SUS 100ML</t>
  </si>
  <si>
    <t>168837</t>
  </si>
  <si>
    <t>DASSELTA 5 MG</t>
  </si>
  <si>
    <t>POR TBL FLM 50X5MG</t>
  </si>
  <si>
    <t>Doxycyklin</t>
  </si>
  <si>
    <t>4013</t>
  </si>
  <si>
    <t>DOXYBENE 200 MG TABLETY</t>
  </si>
  <si>
    <t>POR TBL NOB 10X200MG</t>
  </si>
  <si>
    <t>Erdostein</t>
  </si>
  <si>
    <t>47033</t>
  </si>
  <si>
    <t>ERDOMED</t>
  </si>
  <si>
    <t>POR PLV SUS 1X100ML</t>
  </si>
  <si>
    <t>Gabapentin</t>
  </si>
  <si>
    <t>107860</t>
  </si>
  <si>
    <t>APO-GAB 100</t>
  </si>
  <si>
    <t>POR CPS DUR 50X100MG</t>
  </si>
  <si>
    <t>Chondroitin-sulfát</t>
  </si>
  <si>
    <t>14824</t>
  </si>
  <si>
    <t>CONDROSULF 800 MG</t>
  </si>
  <si>
    <t>POR GRA SOL 90X800MG</t>
  </si>
  <si>
    <t>16444</t>
  </si>
  <si>
    <t>TEGRETOL CR 200</t>
  </si>
  <si>
    <t>POR TBL PRO 50X200MG</t>
  </si>
  <si>
    <t>59840</t>
  </si>
  <si>
    <t>Mometason</t>
  </si>
  <si>
    <t>16456</t>
  </si>
  <si>
    <t>NASONEX</t>
  </si>
  <si>
    <t>NAS SPR SUS 60X50RG</t>
  </si>
  <si>
    <t>Pitofenon a analgetika</t>
  </si>
  <si>
    <t>50335</t>
  </si>
  <si>
    <t>POR GTT SOL 1X25ML</t>
  </si>
  <si>
    <t>Sodná sůl metamizolu</t>
  </si>
  <si>
    <t>NOVALGIN TABLETY</t>
  </si>
  <si>
    <t>POR TBL FLM 20X500MG</t>
  </si>
  <si>
    <t>203954</t>
  </si>
  <si>
    <t>BISEPTOL 480</t>
  </si>
  <si>
    <t>POR TBL NOB 28X480MG</t>
  </si>
  <si>
    <t>Tramadol, kombinace</t>
  </si>
  <si>
    <t>17926</t>
  </si>
  <si>
    <t>ZALDIAR</t>
  </si>
  <si>
    <t>85524</t>
  </si>
  <si>
    <t>AMOKSIKLAV 375 MG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</si>
  <si>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</si>
  <si>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</si>
  <si>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</si>
  <si>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</si>
  <si>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</si>
  <si>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</si>
  <si>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</si>
  <si>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201971</t>
  </si>
  <si>
    <t>PAMYCON NA PŘÍPRAVU KAPEK</t>
  </si>
  <si>
    <t>DRM PLV SOL 10</t>
  </si>
  <si>
    <t>Klarithromycin</t>
  </si>
  <si>
    <t>53853</t>
  </si>
  <si>
    <t>KLACID 500</t>
  </si>
  <si>
    <t>Levodropropizin</t>
  </si>
  <si>
    <t>107231</t>
  </si>
  <si>
    <t>LEVOPRONT SIRUP</t>
  </si>
  <si>
    <t>POR SIR 1X120ML</t>
  </si>
  <si>
    <t>Zolpidem</t>
  </si>
  <si>
    <t>16286</t>
  </si>
  <si>
    <t>STILNOX</t>
  </si>
  <si>
    <t>Salmeterol a flutikason</t>
  </si>
  <si>
    <t>45961</t>
  </si>
  <si>
    <t>SERETIDE DISKUS 50/100</t>
  </si>
  <si>
    <t>INH PLV 1X60DÁV</t>
  </si>
  <si>
    <t>*2017</t>
  </si>
  <si>
    <t>Azithromycin</t>
  </si>
  <si>
    <t>153973</t>
  </si>
  <si>
    <t>AZITROMYCIN MYLAN 500 MG</t>
  </si>
  <si>
    <t>POR TBL FLM 3X500MG</t>
  </si>
  <si>
    <t>53639</t>
  </si>
  <si>
    <t>POR TBL NOB 30X10MG</t>
  </si>
  <si>
    <t>Losartan</t>
  </si>
  <si>
    <t>10604</t>
  </si>
  <si>
    <t>LORISTA 50</t>
  </si>
  <si>
    <t>83059</t>
  </si>
  <si>
    <t>POR TBL RET 14</t>
  </si>
  <si>
    <t>17924</t>
  </si>
  <si>
    <t>17925</t>
  </si>
  <si>
    <t>POR TBL FLM 20</t>
  </si>
  <si>
    <t>99366</t>
  </si>
  <si>
    <t>AMOKSIKLAV 457 MG/5 ML</t>
  </si>
  <si>
    <t>POR PLV SUS 70ML</t>
  </si>
  <si>
    <t>Antibiotika v kombinaci s ostatními léčivy</t>
  </si>
  <si>
    <t>OPHTHALMO-FRAMYKOIN COMP.</t>
  </si>
  <si>
    <t>OPH UNG 1X5GM</t>
  </si>
  <si>
    <t>97654</t>
  </si>
  <si>
    <t>DOXYBENE 100 MG</t>
  </si>
  <si>
    <t>POR CPS MOL 10X100MG</t>
  </si>
  <si>
    <t>Kyselina tiaprofenová</t>
  </si>
  <si>
    <t>96484</t>
  </si>
  <si>
    <t>SURGAM LÉČIVA</t>
  </si>
  <si>
    <t>POR TBL NOB 20X300MG</t>
  </si>
  <si>
    <t>Mupirocin</t>
  </si>
  <si>
    <t>89227</t>
  </si>
  <si>
    <t>BACTROBAN NASAL</t>
  </si>
  <si>
    <t>NAS UNG 1X3GM/60MG</t>
  </si>
  <si>
    <t>74991</t>
  </si>
  <si>
    <t>AMOKSIKLAV 156,25 MG/5 ML SUSPENZE</t>
  </si>
  <si>
    <t>POR PLV SUS 100 ML</t>
  </si>
  <si>
    <t>15658</t>
  </si>
  <si>
    <t>CIPLOX 500</t>
  </si>
  <si>
    <t>Flukonazol</t>
  </si>
  <si>
    <t>POR CPS DUR 28X100MG</t>
  </si>
  <si>
    <t>Cholekalciferol</t>
  </si>
  <si>
    <t>12023</t>
  </si>
  <si>
    <t>VIGANTOL</t>
  </si>
  <si>
    <t>POR GTT SOL 1X10ML</t>
  </si>
  <si>
    <t>Jiná kapiláry stabilizující látky</t>
  </si>
  <si>
    <t>POR TBL ENT 30X20MG</t>
  </si>
  <si>
    <t>Různé jiné kombinace železa</t>
  </si>
  <si>
    <t>97402</t>
  </si>
  <si>
    <t>SORBIFER DURULES</t>
  </si>
  <si>
    <t>POR TBL FLM 50X100MG</t>
  </si>
  <si>
    <t>66037</t>
  </si>
  <si>
    <t>POR CPS DUR 7X100MG</t>
  </si>
  <si>
    <t>999999</t>
  </si>
  <si>
    <t>Meloxikam</t>
  </si>
  <si>
    <t>112561</t>
  </si>
  <si>
    <t>RECOXA 15</t>
  </si>
  <si>
    <t>POR TBL NOB 30X15MG</t>
  </si>
  <si>
    <t>160704</t>
  </si>
  <si>
    <t>ORAMELLOX 15 MG</t>
  </si>
  <si>
    <t>POR TBL DIS 30X15MG</t>
  </si>
  <si>
    <t>Nadroparin</t>
  </si>
  <si>
    <t>Sildenafil</t>
  </si>
  <si>
    <t>166801</t>
  </si>
  <si>
    <t>OLVION 100 MG</t>
  </si>
  <si>
    <t>POR TBL FLM 8X100MG</t>
  </si>
  <si>
    <t>26913</t>
  </si>
  <si>
    <t>VIAGRA 100 MG</t>
  </si>
  <si>
    <t>160211</t>
  </si>
  <si>
    <t>SILDENAFIL ACCORD 100 MG</t>
  </si>
  <si>
    <t>POR TBL FLM 4X100MG</t>
  </si>
  <si>
    <t>45010</t>
  </si>
  <si>
    <t>AZITROMYCIN SANDOZ 500 MG</t>
  </si>
  <si>
    <t>15613</t>
  </si>
  <si>
    <t>VOLTAREN EMULGEL</t>
  </si>
  <si>
    <t>DRM GEL 1X100GM</t>
  </si>
  <si>
    <t>Diosmin, kombinace</t>
  </si>
  <si>
    <t>185435</t>
  </si>
  <si>
    <t>DETRALEX</t>
  </si>
  <si>
    <t>POR TBL FLM 120X500MG</t>
  </si>
  <si>
    <t>4014</t>
  </si>
  <si>
    <t>Jiná antiinfektiva</t>
  </si>
  <si>
    <t>802</t>
  </si>
  <si>
    <t>OPH GTT SOL 1X10ML SKLO</t>
  </si>
  <si>
    <t>16287</t>
  </si>
  <si>
    <t>FASTUM GEL</t>
  </si>
  <si>
    <t>Kyselina acetylsalicylová</t>
  </si>
  <si>
    <t>151142</t>
  </si>
  <si>
    <t>ANOPYRIN 100 MG</t>
  </si>
  <si>
    <t>812</t>
  </si>
  <si>
    <t>NAS GTT SOL 1X10ML</t>
  </si>
  <si>
    <t>132531</t>
  </si>
  <si>
    <t>HELICID 20</t>
  </si>
  <si>
    <t>Organo-heparinoid</t>
  </si>
  <si>
    <t>HEPAROID LÉČIVA</t>
  </si>
  <si>
    <t>Roxithromycin</t>
  </si>
  <si>
    <t>10859</t>
  </si>
  <si>
    <t>ROXITHROMYCIN-RATIOPHARM 150 MG</t>
  </si>
  <si>
    <t>POR TBL FLM 20X150MG</t>
  </si>
  <si>
    <t>10857</t>
  </si>
  <si>
    <t>POR TBL FLM 14X150MG</t>
  </si>
  <si>
    <t>Tramadol</t>
  </si>
  <si>
    <t>32086</t>
  </si>
  <si>
    <t>TRALGIT</t>
  </si>
  <si>
    <t>POR CPS DUR 20X50MG</t>
  </si>
  <si>
    <t>Alprazolam</t>
  </si>
  <si>
    <t>91788</t>
  </si>
  <si>
    <t>NEUROL 0,25</t>
  </si>
  <si>
    <t>POR TBL NOB 30X0.25MG</t>
  </si>
  <si>
    <t>155859</t>
  </si>
  <si>
    <t>SUMAMED 500 MG</t>
  </si>
  <si>
    <t>DRM UNG 30GM</t>
  </si>
  <si>
    <t>Betamethason a antiinfektiva</t>
  </si>
  <si>
    <t>91712</t>
  </si>
  <si>
    <t>GARASONE</t>
  </si>
  <si>
    <t>OPH+AUR GTT SOL 1X5ML</t>
  </si>
  <si>
    <t>15659</t>
  </si>
  <si>
    <t>POR TBL FLM 50X500MG</t>
  </si>
  <si>
    <t>47439</t>
  </si>
  <si>
    <t>MYCOMAX 150</t>
  </si>
  <si>
    <t>POR CPS DUR 3X150MG</t>
  </si>
  <si>
    <t>Heparin, kombinace</t>
  </si>
  <si>
    <t>44980</t>
  </si>
  <si>
    <t>CONTRACTUBEX</t>
  </si>
  <si>
    <t>DRM GEL 1X20GM</t>
  </si>
  <si>
    <t>4234</t>
  </si>
  <si>
    <t>INJ SOL 1X2ML/300MG</t>
  </si>
  <si>
    <t>Tobramycin</t>
  </si>
  <si>
    <t>86264</t>
  </si>
  <si>
    <t>TOBREX</t>
  </si>
  <si>
    <t>OPH GTT SOL 1X5ML/15MG</t>
  </si>
  <si>
    <t>93207</t>
  </si>
  <si>
    <t>OPH UNG 1X3.5GM</t>
  </si>
  <si>
    <t>Drospirenon a ethinylestradiol</t>
  </si>
  <si>
    <t>175973</t>
  </si>
  <si>
    <t>SYLVIANE 0,03 MG/3 MG POTAHOVANÉ TABLETY</t>
  </si>
  <si>
    <t>POR TBL FLM 3X21</t>
  </si>
  <si>
    <t>Melatonin</t>
  </si>
  <si>
    <t>29334</t>
  </si>
  <si>
    <t>CIRCADIN 2 MG</t>
  </si>
  <si>
    <t>POR TBL PRO 20X2MG</t>
  </si>
  <si>
    <t>132853</t>
  </si>
  <si>
    <t>Paracetamol, kombinace kromě psycholeptik</t>
  </si>
  <si>
    <t>186199</t>
  </si>
  <si>
    <t>VALETOL</t>
  </si>
  <si>
    <t>POR TBL NOB 24</t>
  </si>
  <si>
    <t>21736</t>
  </si>
  <si>
    <t>POR TBL NOB 10</t>
  </si>
  <si>
    <t>163149</t>
  </si>
  <si>
    <t>HYPNOGEN</t>
  </si>
  <si>
    <t>POR TBL FLM 100X10MG</t>
  </si>
  <si>
    <t>75603</t>
  </si>
  <si>
    <t>DICLOFENAC AL 25</t>
  </si>
  <si>
    <t>POR TBL FLM 20X25MG</t>
  </si>
  <si>
    <t>75604</t>
  </si>
  <si>
    <t>POR TBL FLM 50X25MG</t>
  </si>
  <si>
    <t>Ibuprofen</t>
  </si>
  <si>
    <t>57542</t>
  </si>
  <si>
    <t>DOLGIT GEL</t>
  </si>
  <si>
    <t>DRM GEL 1X50GM</t>
  </si>
  <si>
    <t>132575</t>
  </si>
  <si>
    <t>Nitrofurantoin</t>
  </si>
  <si>
    <t>154748</t>
  </si>
  <si>
    <t>NITROFURANTOIN - RATIOPHARM 100 MG</t>
  </si>
  <si>
    <t>POR CPS PRO 50X100MG</t>
  </si>
  <si>
    <t>42478</t>
  </si>
  <si>
    <t>MILGAMMA</t>
  </si>
  <si>
    <t>POR TBL OBD 500 H</t>
  </si>
  <si>
    <t>Alopurinol</t>
  </si>
  <si>
    <t>119773</t>
  </si>
  <si>
    <t>MILURIT 100</t>
  </si>
  <si>
    <t>POR TBL NOB 100X100MG</t>
  </si>
  <si>
    <t>163114</t>
  </si>
  <si>
    <t>ZOREM 5 MG</t>
  </si>
  <si>
    <t>POR TBL NOB 100X5MG</t>
  </si>
  <si>
    <t>192226</t>
  </si>
  <si>
    <t>POR TBL NOB 98X5MG</t>
  </si>
  <si>
    <t>45011</t>
  </si>
  <si>
    <t>POR TBL FLM 6X500MG</t>
  </si>
  <si>
    <t>Ciklopirox</t>
  </si>
  <si>
    <t>76152</t>
  </si>
  <si>
    <t>BATRAFEN ROZTOK</t>
  </si>
  <si>
    <t>DRM SOL 1X20ML</t>
  </si>
  <si>
    <t>Dexamethason a antiinfektiva</t>
  </si>
  <si>
    <t>2546</t>
  </si>
  <si>
    <t>MAXITROL</t>
  </si>
  <si>
    <t>OPH GTT SUS 1X5ML</t>
  </si>
  <si>
    <t>95560</t>
  </si>
  <si>
    <t>POR CPS DUR 30X300MG</t>
  </si>
  <si>
    <t>32546</t>
  </si>
  <si>
    <t>KLACID SR</t>
  </si>
  <si>
    <t>POR TBL RET 14X500MG-DOUBLE BL</t>
  </si>
  <si>
    <t>Kodein</t>
  </si>
  <si>
    <t>90</t>
  </si>
  <si>
    <t>CODEIN SLOVAKOFARMA 30 MG</t>
  </si>
  <si>
    <t>POR TBL NOB 10X30MG</t>
  </si>
  <si>
    <t>2430</t>
  </si>
  <si>
    <t>VAG TBL 10X500MG</t>
  </si>
  <si>
    <t>Pantoprazol</t>
  </si>
  <si>
    <t>119688</t>
  </si>
  <si>
    <t>CONTROLOC 40 MG</t>
  </si>
  <si>
    <t>POR TBL ENT 100X40MG I</t>
  </si>
  <si>
    <t>180564</t>
  </si>
  <si>
    <t>CONTROLOC 20 MG</t>
  </si>
  <si>
    <t>POR TBL ENT 98X20MG I</t>
  </si>
  <si>
    <t>*3009</t>
  </si>
  <si>
    <t>90957</t>
  </si>
  <si>
    <t>XANAX 0,25 MG</t>
  </si>
  <si>
    <t>Budesonid</t>
  </si>
  <si>
    <t>54267</t>
  </si>
  <si>
    <t>RHINOCORT AQUA 64 MCG</t>
  </si>
  <si>
    <t>NAS SPR SUS 120X64RG</t>
  </si>
  <si>
    <t>168838</t>
  </si>
  <si>
    <t>POR TBL FLM 90X5MG</t>
  </si>
  <si>
    <t>164768</t>
  </si>
  <si>
    <t>JANGEE 0,03 MG/3 MG 28 POTAHOVANÝCH TABLET</t>
  </si>
  <si>
    <t>POR TBL FLM 3X28</t>
  </si>
  <si>
    <t>Chlormadinon a ethinylestradiol</t>
  </si>
  <si>
    <t>132692</t>
  </si>
  <si>
    <t>BELARA</t>
  </si>
  <si>
    <t>48261</t>
  </si>
  <si>
    <t>DRM PLV ADS 1X20GM</t>
  </si>
  <si>
    <t>Nifuroxazid</t>
  </si>
  <si>
    <t>46405</t>
  </si>
  <si>
    <t>ERCEFURYL 200 MG CPS.</t>
  </si>
  <si>
    <t>POR CPS DUR 14X200MG</t>
  </si>
  <si>
    <t>88708</t>
  </si>
  <si>
    <t>ALGIFEN</t>
  </si>
  <si>
    <t>POR TBL NOB 20</t>
  </si>
  <si>
    <t>Prednison</t>
  </si>
  <si>
    <t>269</t>
  </si>
  <si>
    <t>PREDNISON 5 LÉČIVA</t>
  </si>
  <si>
    <t>POR TBL NOB 20X5MG</t>
  </si>
  <si>
    <t>Salbutamol</t>
  </si>
  <si>
    <t>31934</t>
  </si>
  <si>
    <t>VENTOLIN INHALER N</t>
  </si>
  <si>
    <t>INH SUS PSS 200X100RG</t>
  </si>
  <si>
    <t>3377</t>
  </si>
  <si>
    <t>Tolperison</t>
  </si>
  <si>
    <t>MYDOCALM 150 MG</t>
  </si>
  <si>
    <t>POR TBL FLM 30X150MG</t>
  </si>
  <si>
    <t>Různá jiná léčiva pro lokální léčbu v dutině ústní</t>
  </si>
  <si>
    <t>SOLCOSERYL</t>
  </si>
  <si>
    <t>ORM PST 1X5GM</t>
  </si>
  <si>
    <t>200526</t>
  </si>
  <si>
    <t>POR TBL FLM 10 I</t>
  </si>
  <si>
    <t>132811</t>
  </si>
  <si>
    <t>192354</t>
  </si>
  <si>
    <t>47726</t>
  </si>
  <si>
    <t>ZINNAT 250 MG</t>
  </si>
  <si>
    <t>POR TBL FLM 14X250MG</t>
  </si>
  <si>
    <t>87076</t>
  </si>
  <si>
    <t>POR CPS DUR 20X300MG</t>
  </si>
  <si>
    <t>Imichimod</t>
  </si>
  <si>
    <t>DRM CRM 12X250MG</t>
  </si>
  <si>
    <t>44355</t>
  </si>
  <si>
    <t>POR TBL NOB 20X100MG</t>
  </si>
  <si>
    <t>132650</t>
  </si>
  <si>
    <t>132721</t>
  </si>
  <si>
    <t>POR GRA SUS 15X100MG</t>
  </si>
  <si>
    <t>*4035</t>
  </si>
  <si>
    <t>201181</t>
  </si>
  <si>
    <t>POR GRA SUS 14X100MG II</t>
  </si>
  <si>
    <t>Amoxicilin</t>
  </si>
  <si>
    <t>62053</t>
  </si>
  <si>
    <t>DUOMOX 375</t>
  </si>
  <si>
    <t>POR TBL SUS 20X375MG</t>
  </si>
  <si>
    <t>87074</t>
  </si>
  <si>
    <t>POR GRA SUS 1X200ML</t>
  </si>
  <si>
    <t>56846</t>
  </si>
  <si>
    <t>TRAMAL RETARD TABLETY 200 MG</t>
  </si>
  <si>
    <t>POR TBL PRO 10X200MG</t>
  </si>
  <si>
    <t>Benzathin-fenoxymethylpenicilin</t>
  </si>
  <si>
    <t>49549</t>
  </si>
  <si>
    <t>OSPEN 400</t>
  </si>
  <si>
    <t>POR SIR 1X150ML</t>
  </si>
  <si>
    <t>142164</t>
  </si>
  <si>
    <t>AZIBIOT 500 MG</t>
  </si>
  <si>
    <t>47725</t>
  </si>
  <si>
    <t>POR TBL FLM 10X250MG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</si>
  <si>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</si>
  <si>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</si>
  <si>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</si>
  <si>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</si>
  <si>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</si>
  <si>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</si>
  <si>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</si>
  <si>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M01AC06 - Meloxikam</t>
  </si>
  <si>
    <t>N02AX02 - Tramadol</t>
  </si>
  <si>
    <t>C09CA01 - Losartan</t>
  </si>
  <si>
    <t>N05BA12 - Alprazolam</t>
  </si>
  <si>
    <t>R03AK06 - Salmeterol a flutikason</t>
  </si>
  <si>
    <t>N06AB05 - Paroxetin</t>
  </si>
  <si>
    <t>C09BB04 - Perindopril a amlodipin</t>
  </si>
  <si>
    <t>R03AC02 - Salbutamol</t>
  </si>
  <si>
    <t>R06AX13 - Loratadin</t>
  </si>
  <si>
    <t>J01FA10</t>
  </si>
  <si>
    <t>N05BA12</t>
  </si>
  <si>
    <t>R03AC02</t>
  </si>
  <si>
    <t>C09BB04</t>
  </si>
  <si>
    <t>N06AB05</t>
  </si>
  <si>
    <t>R06AX13</t>
  </si>
  <si>
    <t>R03AK06</t>
  </si>
  <si>
    <t>C09CA01</t>
  </si>
  <si>
    <t>N02AX02</t>
  </si>
  <si>
    <t>M01AC06</t>
  </si>
  <si>
    <t>Přehled plnění PL - Preskripce léčivých přípravků - orientační přehled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</si>
  <si>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</si>
  <si>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</si>
  <si>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</si>
  <si>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</si>
  <si>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</si>
  <si>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</si>
  <si>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</si>
  <si>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</si>
  <si>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</si>
  <si>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</si>
  <si>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</si>
  <si>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</si>
  <si>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</si>
  <si>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</si>
  <si>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ZA006</t>
  </si>
  <si>
    <t>Obvaz elastický síťový pruban č. 8 427308</t>
  </si>
  <si>
    <t>ZA090</t>
  </si>
  <si>
    <t>Vata buničitá přířezy 37 x 57 cm 2730152</t>
  </si>
  <si>
    <t>ZA423</t>
  </si>
  <si>
    <t>Obinadlo elastické idealtex 12 cm x 5 m 9310633</t>
  </si>
  <si>
    <t>ZA463</t>
  </si>
  <si>
    <t>Kompresa NT 10 x 20 cm / 2 ks sterilní 26620</t>
  </si>
  <si>
    <t>ZA562</t>
  </si>
  <si>
    <t>Náplast cosmopor i. v. 6 x 8 cm 9008054</t>
  </si>
  <si>
    <t>ZA593</t>
  </si>
  <si>
    <t>Tampon stáčený sterilní 20 x 20 cm / 5 ks 28003</t>
  </si>
  <si>
    <t>ZC100</t>
  </si>
  <si>
    <t>Vata buničitá dělená 2 role / 500 ks 40 x 50 mm 1230200310</t>
  </si>
  <si>
    <t>ZC854</t>
  </si>
  <si>
    <t>Kompresa NT 7,5 x 7,5 cm / 2 ks sterilní 26510</t>
  </si>
  <si>
    <t>ZF351</t>
  </si>
  <si>
    <t>Náplast transpore bílá 1,25 cm x 9,14 m bal. á 24 ks 1534-0</t>
  </si>
  <si>
    <t>ZF352</t>
  </si>
  <si>
    <t>Náplast transpore bílá 2,50 cm x 9,14 m bal. á 12 ks 1534-1</t>
  </si>
  <si>
    <t>ZK404</t>
  </si>
  <si>
    <t>Roztok prontosan 350 ml 400416</t>
  </si>
  <si>
    <t>ZL410</t>
  </si>
  <si>
    <t>Hemagel 100 g A2681147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</si>
  <si>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</si>
  <si>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</si>
  <si>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</si>
  <si>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</si>
  <si>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</si>
  <si>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</si>
  <si>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</si>
  <si>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</si>
  <si>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</si>
  <si>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</si>
  <si>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</si>
  <si>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</si>
  <si>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ZM331</t>
  </si>
  <si>
    <t>Kompresa NT 7,5 x 7,5 cm / 5 ks sterilní bal. 2400 ks 26511</t>
  </si>
  <si>
    <t>ZC399</t>
  </si>
  <si>
    <t>Krytí traumacel taf light 1,5 x 5 cm bal. á 10 ks V0081946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</si>
  <si>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</si>
  <si>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</si>
  <si>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</si>
  <si>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</si>
  <si>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</si>
  <si>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</si>
  <si>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</si>
  <si>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</si>
  <si>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</si>
  <si>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</si>
  <si>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ZB488</t>
  </si>
  <si>
    <t>Sprej cavilon 28 ml bal. á 12 ks 3346E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</si>
  <si>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</si>
  <si>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</si>
  <si>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</si>
  <si>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</si>
  <si>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</si>
  <si>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</si>
  <si>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</si>
  <si>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</si>
  <si>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</si>
  <si>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</si>
  <si>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</si>
  <si>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</si>
  <si>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</si>
  <si>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</si>
  <si>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</si>
  <si>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</si>
  <si>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</si>
  <si>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</si>
  <si>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</si>
  <si>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</si>
  <si>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</si>
  <si>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606301-ND</t>
  </si>
  <si>
    <t>ZC863</t>
  </si>
  <si>
    <t>Hadička spojovací HS 1,8 x 1800LL 606304-ND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</si>
  <si>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</si>
  <si>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</si>
  <si>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</si>
  <si>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</si>
  <si>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</si>
  <si>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</si>
  <si>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</si>
  <si>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</si>
  <si>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</si>
  <si>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</si>
  <si>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</si>
  <si>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</si>
  <si>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</si>
  <si>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</si>
  <si>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</si>
  <si>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</si>
  <si>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</si>
  <si>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</si>
  <si>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</si>
  <si>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</si>
  <si>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</si>
  <si>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</si>
  <si>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</si>
  <si>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</si>
  <si>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</si>
  <si>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</si>
  <si>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</si>
  <si>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</si>
  <si>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</si>
  <si>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</si>
  <si>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</si>
  <si>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</si>
  <si>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</si>
  <si>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450251</t>
  </si>
  <si>
    <t>ZA731</t>
  </si>
  <si>
    <t>Mandren růžový 4219104</t>
  </si>
  <si>
    <t>ZF160</t>
  </si>
  <si>
    <t>Kanyla vasofix 14G oranžová safety 4269225S-01</t>
  </si>
  <si>
    <t>ZF186</t>
  </si>
  <si>
    <t>Stříkačka janett 2-dílná 150 ml vyplachovací balená 08151</t>
  </si>
  <si>
    <t>ZL688</t>
  </si>
  <si>
    <t>Proužky Accu-Check Inform IIStrip 50 EU1 á 50 ks 05942861</t>
  </si>
  <si>
    <t>ZB856</t>
  </si>
  <si>
    <t>Manžeta TK k tonometru Tensoval comfort 22 - 32 cm plochá 9001542</t>
  </si>
  <si>
    <t>ZN206</t>
  </si>
  <si>
    <t>Lopatka lékařská sterilní dřevěná ústní 150 x 17 mm bal. á 500 ks 4002/SG/CS/L</t>
  </si>
  <si>
    <t>ZE027</t>
  </si>
  <si>
    <t>Katetr CVC 1 lumen certofix mono 330 4160282E</t>
  </si>
  <si>
    <t>ZA206</t>
  </si>
  <si>
    <t>Set perkutální PEG-24-PULL-I-S</t>
  </si>
  <si>
    <t>ZA715</t>
  </si>
  <si>
    <t>Set infuzní intrafix primeline classic 150 cm 4062957</t>
  </si>
  <si>
    <t>ZB461</t>
  </si>
  <si>
    <t>Šití silkam černý 3/0 (2) bal. á 36 ks C0760307</t>
  </si>
  <si>
    <t>ZJ021</t>
  </si>
  <si>
    <t>Šití chirlac pletený fialový 3/0 bal. á 24 ks PG 0262</t>
  </si>
  <si>
    <t>ZA956</t>
  </si>
  <si>
    <t>Šití dafilon modrý 6/0 (0.7) bal. á 36 ks C0936022</t>
  </si>
  <si>
    <t>ZJ018</t>
  </si>
  <si>
    <t>Šití chirlac pletený fialový 3/0 bal. á 24 ks PG 0257</t>
  </si>
  <si>
    <t>ZD983</t>
  </si>
  <si>
    <t>Šití silkam černý 3/0 (2) bal. á 36 ks C0764248</t>
  </si>
  <si>
    <t>ZJ020</t>
  </si>
  <si>
    <t>Šití chirlac pletený fialový 4/0 bal. á 24 ks PG 0261</t>
  </si>
  <si>
    <t>ZA360</t>
  </si>
  <si>
    <t>Jehla sterican 0,5 x 25 mm oranžová 9186158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</si>
  <si>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</si>
  <si>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</si>
  <si>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</si>
  <si>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</si>
  <si>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</si>
  <si>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</si>
  <si>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</si>
  <si>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</si>
  <si>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ZK478</t>
  </si>
  <si>
    <t>Rukavice operační latexové s pudrem ansell medigrip plus vel. 8,5 303507(302927)</t>
  </si>
  <si>
    <t>ZM292</t>
  </si>
  <si>
    <t>Rukavice nitril sempercare bez p. M bal. á 200 ks 30803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</si>
  <si>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</si>
  <si>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</si>
  <si>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</si>
  <si>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</si>
  <si>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</si>
  <si>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</si>
  <si>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ZB173</t>
  </si>
  <si>
    <t>Maska kyslíková s hadičkou a nosní svorkou dospělá H-103013, OS/100</t>
  </si>
  <si>
    <t>ZA007</t>
  </si>
  <si>
    <t>Obvaz elastický síťový pruban č. 9 427309</t>
  </si>
  <si>
    <t>ZA425</t>
  </si>
  <si>
    <t>Obinadlo hydrofilní 10 cm x   5 m 13007</t>
  </si>
  <si>
    <t>ZA451</t>
  </si>
  <si>
    <t>Náplast omniplast 5 cm x 9,2 m 9004540 (900429)</t>
  </si>
  <si>
    <t>ZA464</t>
  </si>
  <si>
    <t>Kompresa NT 10 x 10 cm / 2 ks sterilní 26520</t>
  </si>
  <si>
    <t>ZA554</t>
  </si>
  <si>
    <t>Krytí hypro-sorb R 10 x 10 x 10 mm bal. á 10 ks 006</t>
  </si>
  <si>
    <t>ZB404</t>
  </si>
  <si>
    <t>Náplast cosmos 8 cm x 1 m 5403353</t>
  </si>
  <si>
    <t>ZD103</t>
  </si>
  <si>
    <t>Náplast omniplast 2,5 cm x 9,2 m 9004530</t>
  </si>
  <si>
    <t>ZI558</t>
  </si>
  <si>
    <t>Náplast curapor   7 x   5 cm 22120 ( náhrada za cosmopor )</t>
  </si>
  <si>
    <t>ZA486</t>
  </si>
  <si>
    <t>Krytí mastný tyl jelonet   5 x 5 cm á 50 ks 7403</t>
  </si>
  <si>
    <t>ZA798</t>
  </si>
  <si>
    <t>Krytí traumacel P 2g ks bal. 1 ks 80521</t>
  </si>
  <si>
    <t>ZA727</t>
  </si>
  <si>
    <t>Kontejner 30 ml sterilní 331690251750</t>
  </si>
  <si>
    <t>ZB780</t>
  </si>
  <si>
    <t>Kontejner 120 ml sterilní 331690250350</t>
  </si>
  <si>
    <t>ZB844</t>
  </si>
  <si>
    <t>Esmarch 60 x 1250 KVS 06125</t>
  </si>
  <si>
    <t>ZC906</t>
  </si>
  <si>
    <t>Škrtidlo se sponou pro dospělé 25 x 500 mm KVS25500</t>
  </si>
  <si>
    <t>ZM625</t>
  </si>
  <si>
    <t>Lopatka lékařská sterilizovaná dřevěná ústní bal. á 100 ks 922600</t>
  </si>
  <si>
    <t>ZE428</t>
  </si>
  <si>
    <t>Kanyla introcan safety G14 4251717-01</t>
  </si>
  <si>
    <t>ZC020</t>
  </si>
  <si>
    <t>Film zubní AGFA 150 ks 582018</t>
  </si>
  <si>
    <t>ZC234</t>
  </si>
  <si>
    <t>Implantát D3.7 BIO/L12 0351:3</t>
  </si>
  <si>
    <t>ZC301</t>
  </si>
  <si>
    <t>Ypeen 800 g dóza 100066</t>
  </si>
  <si>
    <t>ZC313</t>
  </si>
  <si>
    <t>Repin 800 g orig. 4241110</t>
  </si>
  <si>
    <t>ZD767</t>
  </si>
  <si>
    <t>Aquasil soft Putty01</t>
  </si>
  <si>
    <t>ZB881</t>
  </si>
  <si>
    <t>Implantát D2.9 SB/L12 02101:3</t>
  </si>
  <si>
    <t>ZD288</t>
  </si>
  <si>
    <t>Fólie Erkoflex 4 mm / 120 mm ER581240</t>
  </si>
  <si>
    <t>ZD470</t>
  </si>
  <si>
    <t>Premacryl prášek transparent 500 g 4342400</t>
  </si>
  <si>
    <t>ZF508</t>
  </si>
  <si>
    <t>Cement výplňový provizorní 40 g 5304520</t>
  </si>
  <si>
    <t>ZC193</t>
  </si>
  <si>
    <t>Poresorb-TCP 1.0 g/1.2 ml 1,0-2,0 m 41:2</t>
  </si>
  <si>
    <t>Poresorb-TCP 1.0 g/1.2 ml 1,0-2,0 mm 41:2</t>
  </si>
  <si>
    <t>ZC555</t>
  </si>
  <si>
    <t>Vosk měkký modelovací ceradent 1000 g vosku v destičkách 155 x 75 mm s tloušťkou 1,2 - 1,4 mm 4411115</t>
  </si>
  <si>
    <t>ZL146</t>
  </si>
  <si>
    <t>Membrána bio-gide 25 x 25 mm DGD460308033E</t>
  </si>
  <si>
    <t>ZE360</t>
  </si>
  <si>
    <t>Implantát BioniQ T4,0 L12 2012.12</t>
  </si>
  <si>
    <t>ZB405</t>
  </si>
  <si>
    <t>Implantát BioniQ T4,0 L10 2012.10</t>
  </si>
  <si>
    <t>ZE058</t>
  </si>
  <si>
    <t>Membrána kolegenová Parasorb Resodont 22 x 25 mm RD2502</t>
  </si>
  <si>
    <t>ZF575</t>
  </si>
  <si>
    <t>Granulát BOI-OSS 1- 2 mm á 0,5 g DGD46B307098E</t>
  </si>
  <si>
    <t>ZM431</t>
  </si>
  <si>
    <t>Implantát BioniQ S4,0/L12 2009.12</t>
  </si>
  <si>
    <t>ZM912</t>
  </si>
  <si>
    <t>Implantát BioniQ S4,0/L8 2009.08</t>
  </si>
  <si>
    <t>ZF854</t>
  </si>
  <si>
    <t>Implantát SuperLine 6,0 x 12 mm FX 60 12 SW</t>
  </si>
  <si>
    <t>ZG191</t>
  </si>
  <si>
    <t>Stomaflex putty 1300g/solid/ 4215110</t>
  </si>
  <si>
    <t>ZJ591</t>
  </si>
  <si>
    <t>Implantát SuperLine FX 40 12 SW</t>
  </si>
  <si>
    <t>ZJ571</t>
  </si>
  <si>
    <t>Implantát SuperLine FX 60 10 SW</t>
  </si>
  <si>
    <t>ZC326</t>
  </si>
  <si>
    <t>Kartáček na kořen.nástroje 14360NI</t>
  </si>
  <si>
    <t>ZF848</t>
  </si>
  <si>
    <t>Implantát SuperLine 4,5 x 12 mm FX 45 12 SW</t>
  </si>
  <si>
    <t>ZN095</t>
  </si>
  <si>
    <t>Implantát BioniQ S4,0/L10 2009.10</t>
  </si>
  <si>
    <t>ZJ352</t>
  </si>
  <si>
    <t>Implantát SuperLine FX 50 10 SW</t>
  </si>
  <si>
    <t>ZM343</t>
  </si>
  <si>
    <t>Implantát BioniQ S3,5/L12 2006.12</t>
  </si>
  <si>
    <t>ZB518</t>
  </si>
  <si>
    <t>Membrána kolegenová Parasorb Resodont forte 64 x 25 mm RDF0703</t>
  </si>
  <si>
    <t>ZA934</t>
  </si>
  <si>
    <t>Granulát BOI-OSS 0,25-1 mm 0,5 g DGD460306107E</t>
  </si>
  <si>
    <t>ZA222</t>
  </si>
  <si>
    <t>Membrána bio-gide 30 x 40 mm DGD460308034</t>
  </si>
  <si>
    <t>ZE697</t>
  </si>
  <si>
    <t>Sada leštící enhance finishing kalíšky DT624055X</t>
  </si>
  <si>
    <t>ZE699</t>
  </si>
  <si>
    <t>Sada leštící enhance finishing disky DT624045X</t>
  </si>
  <si>
    <t>ZJ353</t>
  </si>
  <si>
    <t>Šroub krycí CS36</t>
  </si>
  <si>
    <t>ZE698</t>
  </si>
  <si>
    <t>Sada leštící enhance finishing špičky DT624065X</t>
  </si>
  <si>
    <t>ZN096</t>
  </si>
  <si>
    <t>Implantát SuperLine FX 60 08 SW</t>
  </si>
  <si>
    <t>ZE586</t>
  </si>
  <si>
    <t>Ketac cem easymix 56900</t>
  </si>
  <si>
    <t>ZF681</t>
  </si>
  <si>
    <t>TESSEX šelakové bazál. desky 1 sada 12 ks (8 horních a 4 dolní desky) IN0710</t>
  </si>
  <si>
    <t>ZN319</t>
  </si>
  <si>
    <t>Implantát BioniQ T5,0 L12 2020.12</t>
  </si>
  <si>
    <t>ZJ019</t>
  </si>
  <si>
    <t>Šití chirlac pletený fialový 2/0 bal. á 24 ks PG 0260</t>
  </si>
  <si>
    <t>ZK098</t>
  </si>
  <si>
    <t>Rukavice latex s p. L karton 2000 ks 8951473 - povoleno pouze pro ÚČOCH a KZL</t>
  </si>
  <si>
    <t>ZM291</t>
  </si>
  <si>
    <t>Rukavice nitril sempercare bez p. S bal. á 200 ks 30802</t>
  </si>
  <si>
    <t>ZA640</t>
  </si>
  <si>
    <t>Krytí traumacel taf light 7,5 x 5 cm bal. á 10 ks V0081947</t>
  </si>
  <si>
    <t>ZA613</t>
  </si>
  <si>
    <t>Drenáž ústní sterilní 1 x 8 cm 0368 - již se nevyrábí</t>
  </si>
  <si>
    <t>ZA616</t>
  </si>
  <si>
    <t>Drenáž zubní sterilní 1 x 6 cm 0360</t>
  </si>
  <si>
    <t>ZA533</t>
  </si>
  <si>
    <t>Váleček zubní Celluron č.2 á 600 ks 4301821</t>
  </si>
  <si>
    <t>ZF598</t>
  </si>
  <si>
    <t>Krytí hypro-sorb Z bal. á 10 ks 009</t>
  </si>
  <si>
    <t>ZL683</t>
  </si>
  <si>
    <t>Drenáž zubní sterilní s pevným okrajem 1 x 8 cm 0358</t>
  </si>
  <si>
    <t>ZC307</t>
  </si>
  <si>
    <t>Adhesor orig. 80 g N-2 prášek 55 g tekutina N-2</t>
  </si>
  <si>
    <t>ZC325</t>
  </si>
  <si>
    <t>Gel Etching 4122505</t>
  </si>
  <si>
    <t>ZC360</t>
  </si>
  <si>
    <t>Premacryl liq.bezbarvý 250 ml 4342921</t>
  </si>
  <si>
    <t>ZC373</t>
  </si>
  <si>
    <t>Sprej cognoscin orig. 120 g 1IX1140</t>
  </si>
  <si>
    <t>ZC456</t>
  </si>
  <si>
    <t>Savka UH 709, á 100 ks, 00709</t>
  </si>
  <si>
    <t>ZD933</t>
  </si>
  <si>
    <t>Listerine 1,0 l 450669</t>
  </si>
  <si>
    <t>ZL577</t>
  </si>
  <si>
    <t>Sprej Kavo 4119640KA</t>
  </si>
  <si>
    <t>ZI098</t>
  </si>
  <si>
    <t>Protahováček H-File 073025030</t>
  </si>
  <si>
    <t>ZC408</t>
  </si>
  <si>
    <t>Protahováček Hedstrém 073025020</t>
  </si>
  <si>
    <t>ZC328</t>
  </si>
  <si>
    <t>Calxyd ve stříkačce 2 x 3,5 g 4142120</t>
  </si>
  <si>
    <t>ZF935</t>
  </si>
  <si>
    <t>Pronikač 053025015</t>
  </si>
  <si>
    <t>ZE587</t>
  </si>
  <si>
    <t>Relyx temp NE 56660</t>
  </si>
  <si>
    <t>ZC486</t>
  </si>
  <si>
    <t>Kavitan Plus (barva A2) 1001A2</t>
  </si>
  <si>
    <t>ZC476</t>
  </si>
  <si>
    <t>Sprej Kavo 500 ml 4620402A</t>
  </si>
  <si>
    <t>ZE643</t>
  </si>
  <si>
    <t>Stomaflex gel catalyst pastový 60 g 100059</t>
  </si>
  <si>
    <t>ZB638</t>
  </si>
  <si>
    <t>Protahováček Hedstrém 073025010</t>
  </si>
  <si>
    <t>ZI095</t>
  </si>
  <si>
    <t>Pronikač k-reamers 053025010</t>
  </si>
  <si>
    <t>ZL576</t>
  </si>
  <si>
    <t>Filtek Ultimate Flowable A3 nanokompozitní materiál 9025773</t>
  </si>
  <si>
    <t>ZL942</t>
  </si>
  <si>
    <t>Filtek Ultimate A3-D nanokompozitní materiál 9025140</t>
  </si>
  <si>
    <t>ZL469</t>
  </si>
  <si>
    <t>Filtek Ultimate A2-B nanokompozitní materiál 9025146</t>
  </si>
  <si>
    <t>ZC928</t>
  </si>
  <si>
    <t>Protahováček Hedstrém 073025015</t>
  </si>
  <si>
    <t>ZL470</t>
  </si>
  <si>
    <t>Filtek Ultimate A3-B nanokompozitní materiál 9025147</t>
  </si>
  <si>
    <t>ZI170</t>
  </si>
  <si>
    <t>Kulička HM141F031104</t>
  </si>
  <si>
    <t>ZL578</t>
  </si>
  <si>
    <t>Stomaflex katalyst gel 60g 4215330</t>
  </si>
  <si>
    <t>ZC723</t>
  </si>
  <si>
    <t>Spofacryl orig. 100g 1312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</si>
  <si>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</si>
  <si>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</si>
  <si>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</si>
  <si>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</si>
  <si>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</si>
  <si>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</si>
  <si>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ZK093</t>
  </si>
  <si>
    <t>Rukavice latex s p. S karton 2000 ks 8958864 - povoleno pouze pro ÚČOCH a KZL</t>
  </si>
  <si>
    <t>ZK094</t>
  </si>
  <si>
    <t>Rukavice latex s p. M karton 2000 ks 8955565 - povoleno pouze pro ÚČOCH a KZL</t>
  </si>
  <si>
    <t>ZE074</t>
  </si>
  <si>
    <t>Tampon sterilní stáčený 9 x 9 cm / 5 ks 0435</t>
  </si>
  <si>
    <t>ZA632</t>
  </si>
  <si>
    <t>Gáza skládaná nesterilní 15 x 30 cm 8vrstev bal. á 50 ks 11006+</t>
  </si>
  <si>
    <t>ZB102</t>
  </si>
  <si>
    <t>Láhev k odsávačce flovac 1l hadice 1,8 m á 45 ks 000-036-020</t>
  </si>
  <si>
    <t>ZB103</t>
  </si>
  <si>
    <t>Láhev k odsávačce flovac 2l hadice 1,8 m 000-036-021</t>
  </si>
  <si>
    <t>ZD492</t>
  </si>
  <si>
    <t>Svěrka držáku flovac-plast 100 11-5122 (230-500)</t>
  </si>
  <si>
    <t>ZG916</t>
  </si>
  <si>
    <t>Elektroda neutrální bipolární pro dospělé á 100 ks 2510</t>
  </si>
  <si>
    <t>ZB631</t>
  </si>
  <si>
    <t>Fólie PDS Plates 30 x 40 x 0,25 mm, bal. á 3 ks, ZX3</t>
  </si>
  <si>
    <t>ZB747</t>
  </si>
  <si>
    <t>Souprava odsávací orthopedic 07.049.08.620</t>
  </si>
  <si>
    <t>ZL886</t>
  </si>
  <si>
    <t>Rukojeť aktivní resterizovatelná kabel 3 m MBR-600</t>
  </si>
  <si>
    <t>ZH760</t>
  </si>
  <si>
    <t>Popisovač chirurgický na kůži + sterilní pravítko fialová barva RQ-01</t>
  </si>
  <si>
    <t>ZC635</t>
  </si>
  <si>
    <t>Koncovka OT7 k přístroji Piezosurgery MEC03370007</t>
  </si>
  <si>
    <t>ZB869</t>
  </si>
  <si>
    <t>Vak k odsávačce monokit jednoraz.na sekret bal. á 50 ks 000-035-020</t>
  </si>
  <si>
    <t>ZC851</t>
  </si>
  <si>
    <t>Fréza křížová břit HM161RX0181045F</t>
  </si>
  <si>
    <t>ZN223</t>
  </si>
  <si>
    <t>Pinzeta zaváděcí Acland pro 14 až 36 mm délka 145 mm 41 731-15</t>
  </si>
  <si>
    <t>ZN224</t>
  </si>
  <si>
    <t>Svorka jednoduchá 17 mm arterie starý tvar pár 41 722-17</t>
  </si>
  <si>
    <t>ZN225</t>
  </si>
  <si>
    <t>Svorka jednoduchá 17 mm vena starý tvar pár 41 723-17</t>
  </si>
  <si>
    <t>ZN226</t>
  </si>
  <si>
    <t>Svorka dvojitá 17 mm arterie starý tvar 41 724-17</t>
  </si>
  <si>
    <t>ZN227</t>
  </si>
  <si>
    <t>Svorka dvojitá 17 mm vena starý tvar 41 724-17</t>
  </si>
  <si>
    <t>ZI550</t>
  </si>
  <si>
    <t>Dlaha mini L pravá dlouhá 4 otv./0,8 mm 20-LR-124M</t>
  </si>
  <si>
    <t>ZG438</t>
  </si>
  <si>
    <t>Dlaha mini orbitální 9 otv. 20-CD-009</t>
  </si>
  <si>
    <t>ZF628</t>
  </si>
  <si>
    <t>Dlaha mini L levá dlouhá 4 otv./0,8 mm 20-LL-124M</t>
  </si>
  <si>
    <t>ZD715</t>
  </si>
  <si>
    <t>Šroub mini 2,0 x 6 mm 20-MN-006</t>
  </si>
  <si>
    <t>ZD776</t>
  </si>
  <si>
    <t>Dlaha mini přímá 18 otv./1,0 mm 20-ST-018R</t>
  </si>
  <si>
    <t>ZD777</t>
  </si>
  <si>
    <t>Šroub mini 2,0 x 8 mm 20-MN-008</t>
  </si>
  <si>
    <t>ZD845</t>
  </si>
  <si>
    <t>Dlaha mini přímá dlouhá 4 otv./1,0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</si>
  <si>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</si>
  <si>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</si>
  <si>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</si>
  <si>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</si>
  <si>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</si>
  <si>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</si>
  <si>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</si>
  <si>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</si>
  <si>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ZK327</t>
  </si>
  <si>
    <t>Šroub maxi 2,4 x 14 mm 24-MX-014</t>
  </si>
  <si>
    <t>ZK421</t>
  </si>
  <si>
    <t>Šroub maxi 2,4 x 12 mm 24-MX-012</t>
  </si>
  <si>
    <t>ZC003</t>
  </si>
  <si>
    <t>Rozřezávač korunek a můstků  HM31C012314</t>
  </si>
  <si>
    <t>ZF615</t>
  </si>
  <si>
    <t>Pronikač Hedstrém 053025008B</t>
  </si>
  <si>
    <t>ZE355</t>
  </si>
  <si>
    <t>Dlaha mini L levá dlouhá 4 otv./1,0 mm 20-LL-104R</t>
  </si>
  <si>
    <t>ZD846</t>
  </si>
  <si>
    <t>Dlaha mini přímá dlouhá 4 otv./1,0 mm 20-ST-104</t>
  </si>
  <si>
    <t>ZH756</t>
  </si>
  <si>
    <t>Šroub mini 2,3 x 6 mm 23-MN-006</t>
  </si>
  <si>
    <t>ZK829</t>
  </si>
  <si>
    <t>Šroub matrix MANDIBLE LOCK pr. 2.4 x 10 mm samořezný 04.503.640.01C</t>
  </si>
  <si>
    <t>ZM820</t>
  </si>
  <si>
    <t>Dlaha orbitální stříbrná 16-OR-F10-002</t>
  </si>
  <si>
    <t>ZC409</t>
  </si>
  <si>
    <t>Protahováček Hedstrém 073025025</t>
  </si>
  <si>
    <t>ZM963</t>
  </si>
  <si>
    <t>Dlaha matrix mandibulární MANDIBLE rovná 6 otvorů tloušťka 2.0 mm 04.503.728</t>
  </si>
  <si>
    <t>ZI234</t>
  </si>
  <si>
    <t>Dlaha micro síťová (100 x 74 mm) 12-ME-003</t>
  </si>
  <si>
    <t>ZJ351</t>
  </si>
  <si>
    <t>Protahováček H-File 073025050</t>
  </si>
  <si>
    <t>ZK828</t>
  </si>
  <si>
    <t>Šroub matrix MANDIBLE LOCK pr. 2.4 x   8 mm samořezný 04.503.638.01C</t>
  </si>
  <si>
    <t>ZM962</t>
  </si>
  <si>
    <t>Dlaha matrix mandibulární MANDIBLE tvaru půlměsíce střední část široká 2 + 2otv. tloušťkla 2,0 mm 04.503.726</t>
  </si>
  <si>
    <t>ZH759</t>
  </si>
  <si>
    <t>Šroub maxi 2,7 x 8 mm 27-MX-008</t>
  </si>
  <si>
    <t>ZK419</t>
  </si>
  <si>
    <t>Dlaha maxi rekonstrukční levá 15 otv. 24-AL-015</t>
  </si>
  <si>
    <t>ZK420</t>
  </si>
  <si>
    <t>Šroub maxi 2,4 x 10 mm 24-MX-010</t>
  </si>
  <si>
    <t>ZD714</t>
  </si>
  <si>
    <t>Dlaha mini přímá 16 otv./1,0 mm 20-ST-016</t>
  </si>
  <si>
    <t>ZD773</t>
  </si>
  <si>
    <t>Šroub micro 1,2 x  4 mm 12-MC-004</t>
  </si>
  <si>
    <t>ZC267</t>
  </si>
  <si>
    <t>Dlaha mini L pravá dlouhá 4 otv./1,0 mm 20-LR-104R</t>
  </si>
  <si>
    <t>ZI323</t>
  </si>
  <si>
    <t>Šroub maxi 2,4 x 8 mm 24-MX-008</t>
  </si>
  <si>
    <t>ZI324</t>
  </si>
  <si>
    <t>Dlaha maxi rekonstrukční pravá 15 otv. 24-AR-015</t>
  </si>
  <si>
    <t>ZC389</t>
  </si>
  <si>
    <t>Kulička HM141F0351043F</t>
  </si>
  <si>
    <t>ZB363</t>
  </si>
  <si>
    <t>Dlaha mini přímá 4 otv./1,0 mm 20-ST-004</t>
  </si>
  <si>
    <t>ZN355</t>
  </si>
  <si>
    <t>Implantát Maxilofaciální Šroub Matrix Ø 1.85 mm samořezný délka 5 mm slitina titanu (TAN) bal. po 1 kusu v klipu 04.511.205.01C</t>
  </si>
  <si>
    <t>ZN356</t>
  </si>
  <si>
    <t>Implantát Maxilofaciální Šroub Matrix Ø 1.85 mm samořezný délka 10 mm slitina titanu (TAN) bal. po 1 kusu v klipu 04.511.210.01C</t>
  </si>
  <si>
    <t>ZN357</t>
  </si>
  <si>
    <t>Implantát Maxilofaciální Šroub Matrix Ø 1.85 mm samořezný délka 12 mm slitina titanu (TAN) bal. po 1 kusu v klipu 04.511.212.01C</t>
  </si>
  <si>
    <t>ZN358</t>
  </si>
  <si>
    <t>Implantát Maxilofaciální Šroub Matrix Ø 1.85 mm samořezný délka 14 mm slitina titanu (TAN) bal. po 1 kusu v klipu 04.511.214.01C</t>
  </si>
  <si>
    <t>ZN359</t>
  </si>
  <si>
    <t>Implantát Maxilofaciální Šroub Matrix Ø 2.1 mm samořezný délka 6 mm slitina titanu (TAN) balení po 1 kusu v klipu 04.511.236.01C</t>
  </si>
  <si>
    <t>ZN360</t>
  </si>
  <si>
    <t>Implantát Maxilofaciální Dlaha L Matrix střední 3+3 otvory oboustranná tloušťka 0.7 mm titan 04.511.325</t>
  </si>
  <si>
    <t>ZN361</t>
  </si>
  <si>
    <t>Implantát Maxilofaciální Dlaha anatomická tvaru L Matrix krátká 3+3 otvory oboustranná tloušťka 0.7 mm titan 04.511.344</t>
  </si>
  <si>
    <t>ZN362</t>
  </si>
  <si>
    <t>Implantát Maxilofaciální Dlaha anatomická tvaru L Matrix střední 3+3 otvory oboustranná tloušťka 0.7 mm titan 04.511.345</t>
  </si>
  <si>
    <t>ZN363</t>
  </si>
  <si>
    <t>Implantát Maxilofaciální Dlaha Matrix pro sagitální rozdělení rovná s můstkem 8 mm 4 otvory tloušťka 1.0 mm titan 04.511.422</t>
  </si>
  <si>
    <t>ZN364</t>
  </si>
  <si>
    <t>Implantát Maxilofaciální Šroub MatrixMIDFACE Ø 1.5 mm samovrtný délka 5 mm slitina titanu (TAN) bal. po 1 kusu v klipu 04.503.225.01C</t>
  </si>
  <si>
    <t>ZN365</t>
  </si>
  <si>
    <t>Implantát Maxilofaciální Šroub MatrixMIDFACE Ø 1.5 mm samovrtný délka 6 mm slitina titanu (TAN) bal. po 1 kusu v klipu 04.503.226.01C</t>
  </si>
  <si>
    <t>ZF699</t>
  </si>
  <si>
    <t>Šití premicron zelený 3/0 (2.5) bal. á 12 ks G0120060</t>
  </si>
  <si>
    <t>ZG849</t>
  </si>
  <si>
    <t>Šití premicron zelený 2/0 (3) bal. á 12 ks G0120061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</si>
  <si>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</si>
  <si>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</si>
  <si>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</si>
  <si>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</si>
  <si>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</si>
  <si>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</si>
  <si>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</si>
  <si>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</si>
  <si>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</si>
  <si>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</si>
  <si>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</si>
  <si>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</si>
  <si>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</si>
  <si>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</si>
  <si>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</si>
  <si>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</si>
  <si>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</si>
  <si>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</si>
  <si>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</si>
  <si>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</si>
  <si>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</si>
  <si>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</si>
  <si>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</si>
  <si>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</si>
  <si>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</si>
  <si>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</si>
  <si>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</si>
  <si>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</si>
  <si>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</si>
  <si>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</si>
  <si>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</si>
  <si>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</si>
  <si>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</si>
  <si>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</si>
  <si>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</si>
  <si>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</si>
  <si>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</si>
  <si>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</si>
  <si>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</si>
  <si>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</si>
  <si>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</si>
  <si>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</si>
  <si>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</si>
  <si>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</si>
  <si>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Foukalová Kamila</t>
  </si>
  <si>
    <t>Hanuliak Jan</t>
  </si>
  <si>
    <t>Harvan Luboš</t>
  </si>
  <si>
    <t>Pokorný Zdeněk</t>
  </si>
  <si>
    <t>Schneiderová Michaela</t>
  </si>
  <si>
    <t>Zdravotní výkony vykázané na pracovišti v rámci ambulantní péče dle lékařů *</t>
  </si>
  <si>
    <t>014</t>
  </si>
  <si>
    <t>4</t>
  </si>
  <si>
    <t>0074021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</si>
  <si>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</si>
  <si>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</si>
  <si>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</si>
  <si>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</si>
  <si>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</si>
  <si>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</si>
  <si>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</si>
  <si>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</si>
  <si>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</si>
  <si>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</si>
  <si>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</si>
  <si>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0082201</t>
  </si>
  <si>
    <t>0082211</t>
  </si>
  <si>
    <t>0082213</t>
  </si>
  <si>
    <t>0082301</t>
  </si>
  <si>
    <t>0082311</t>
  </si>
  <si>
    <t>0082331</t>
  </si>
  <si>
    <t>0083003</t>
  </si>
  <si>
    <t>0084021</t>
  </si>
  <si>
    <t>0081211</t>
  </si>
  <si>
    <t>0084001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</si>
  <si>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</si>
  <si>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</si>
  <si>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</si>
  <si>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</si>
  <si>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</si>
  <si>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</si>
  <si>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</si>
  <si>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</si>
  <si>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</si>
  <si>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</si>
  <si>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</si>
  <si>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</si>
  <si>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</si>
  <si>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</si>
  <si>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</si>
  <si>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</si>
  <si>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</si>
  <si>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</si>
  <si>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</si>
  <si>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</si>
  <si>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</si>
  <si>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</si>
  <si>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</si>
  <si>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</si>
  <si>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</si>
  <si>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</si>
  <si>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</si>
  <si>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</si>
  <si>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</si>
  <si>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</si>
  <si>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</si>
  <si>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</si>
  <si>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</si>
  <si>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</si>
  <si>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</si>
  <si>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</si>
  <si>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</si>
  <si>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</si>
  <si>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</si>
  <si>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</si>
  <si>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</si>
  <si>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</si>
  <si>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</si>
  <si>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</si>
  <si>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</si>
  <si>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</si>
  <si>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</si>
  <si>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</si>
  <si>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</si>
  <si>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</si>
  <si>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</si>
  <si>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</si>
  <si>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</si>
  <si>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</si>
  <si>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</si>
  <si>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</si>
  <si>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</si>
  <si>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</si>
  <si>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</si>
  <si>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</si>
  <si>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</si>
  <si>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</si>
  <si>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</si>
  <si>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</si>
  <si>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</si>
  <si>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</si>
  <si>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</si>
  <si>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</si>
  <si>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</si>
  <si>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</si>
  <si>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</si>
  <si>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</si>
  <si>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</si>
  <si>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</si>
  <si>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</si>
  <si>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</si>
  <si>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00933</t>
  </si>
  <si>
    <t>CHIRURGICKÁ LÉČBA ONEMOCNĚNÍ PARODONTU MALÉHO ROZS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</si>
  <si>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</si>
  <si>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</si>
  <si>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</si>
  <si>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</si>
  <si>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</si>
  <si>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</si>
  <si>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</si>
  <si>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</si>
  <si>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</si>
  <si>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</si>
  <si>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019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</si>
  <si>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</si>
  <si>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</si>
  <si>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</si>
  <si>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</si>
  <si>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</si>
  <si>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</si>
  <si>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</si>
  <si>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</si>
  <si>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</si>
  <si>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</si>
  <si>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04800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</si>
  <si>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</si>
  <si>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</si>
  <si>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</si>
  <si>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</si>
  <si>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</si>
  <si>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</si>
  <si>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</si>
  <si>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</si>
  <si>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</si>
  <si>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</si>
  <si>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</si>
  <si>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</si>
  <si>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</si>
  <si>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</si>
  <si>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</si>
  <si>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</si>
  <si>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</si>
  <si>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</si>
  <si>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</si>
  <si>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</si>
  <si>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</si>
  <si>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</si>
  <si>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</si>
  <si>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</si>
  <si>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</si>
  <si>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</si>
  <si>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</si>
  <si>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</si>
  <si>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</si>
  <si>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11 - Ortopedická klinika</t>
  </si>
  <si>
    <t>11</t>
  </si>
  <si>
    <t>5F1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</si>
  <si>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</si>
  <si>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</si>
  <si>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</si>
  <si>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</si>
  <si>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</si>
  <si>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</si>
  <si>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</si>
  <si>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</si>
  <si>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</si>
  <si>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</si>
  <si>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</si>
  <si>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</si>
  <si>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0008808</t>
  </si>
  <si>
    <t>0016600</t>
  </si>
  <si>
    <t>0020605</t>
  </si>
  <si>
    <t>0025746</t>
  </si>
  <si>
    <t>INVANZ 1 G</t>
  </si>
  <si>
    <t>0026902</t>
  </si>
  <si>
    <t>0053922</t>
  </si>
  <si>
    <t>CIPHIN PRO INFUSIONE 200 MG/100 ML</t>
  </si>
  <si>
    <t>0065989</t>
  </si>
  <si>
    <t>MYCOMAX INF</t>
  </si>
  <si>
    <t>0072972</t>
  </si>
  <si>
    <t>0076353</t>
  </si>
  <si>
    <t>FORTUM 1 G</t>
  </si>
  <si>
    <t>0076360</t>
  </si>
  <si>
    <t>ZINACEF 1,5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</si>
  <si>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</si>
  <si>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</si>
  <si>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</si>
  <si>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</si>
  <si>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</si>
  <si>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</si>
  <si>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</si>
  <si>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</si>
  <si>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0096414</t>
  </si>
  <si>
    <t>GENTAMICIN LEK 80 MG/2 ML</t>
  </si>
  <si>
    <t>0097000</t>
  </si>
  <si>
    <t>METRONIDAZOLE 0.5%-POLPHARMA</t>
  </si>
  <si>
    <t>IMMUNINE BAXTER 600 IU</t>
  </si>
  <si>
    <t>0131656</t>
  </si>
  <si>
    <t>0162187</t>
  </si>
  <si>
    <t>0164247</t>
  </si>
  <si>
    <t>CEFTAZIDIM STRAGEN 2 G</t>
  </si>
  <si>
    <t>0164350</t>
  </si>
  <si>
    <t>TAZOCIN 4 G/0,5 G</t>
  </si>
  <si>
    <t>0164407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</si>
  <si>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</si>
  <si>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</si>
  <si>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</si>
  <si>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</si>
  <si>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</si>
  <si>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</si>
  <si>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</si>
  <si>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</si>
  <si>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</si>
  <si>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</si>
  <si>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</si>
  <si>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</si>
  <si>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</si>
  <si>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</si>
  <si>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</si>
  <si>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</si>
  <si>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</si>
  <si>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0163200</t>
  </si>
  <si>
    <t>IMPLANTÁT KRANIOFACIÁLNÍ LA FÓRTE SYSTÉM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</si>
  <si>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</si>
  <si>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</si>
  <si>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</si>
  <si>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</si>
  <si>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</si>
  <si>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</si>
  <si>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</si>
  <si>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</si>
  <si>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</si>
  <si>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</si>
  <si>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</si>
  <si>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</si>
  <si>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</si>
  <si>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</si>
  <si>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</si>
  <si>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</si>
  <si>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</si>
  <si>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</si>
  <si>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</si>
  <si>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</si>
  <si>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</si>
  <si>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</si>
  <si>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0163202</t>
  </si>
  <si>
    <t>0163240</t>
  </si>
  <si>
    <t>0163242</t>
  </si>
  <si>
    <t>0049999</t>
  </si>
  <si>
    <t>EXTRAKTOR SVOREK PROXIMATE</t>
  </si>
  <si>
    <t>0163277</t>
  </si>
  <si>
    <t>0084011</t>
  </si>
  <si>
    <t>0084031</t>
  </si>
  <si>
    <t>04110</t>
  </si>
  <si>
    <t>INTRAORÁLNÍ RTG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</si>
  <si>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</si>
  <si>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</si>
  <si>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</si>
  <si>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</si>
  <si>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</si>
  <si>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</si>
  <si>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</si>
  <si>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</si>
  <si>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</si>
  <si>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</si>
  <si>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</si>
  <si>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</si>
  <si>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</si>
  <si>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</si>
  <si>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</si>
  <si>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</si>
  <si>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</si>
  <si>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</si>
  <si>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</si>
  <si>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</si>
  <si>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</si>
  <si>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</si>
  <si>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</si>
  <si>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</si>
  <si>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</si>
  <si>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</si>
  <si>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</si>
  <si>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</si>
  <si>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</si>
  <si>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</si>
  <si>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</si>
  <si>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</si>
  <si>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</si>
  <si>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</si>
  <si>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</si>
  <si>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</si>
  <si>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</si>
  <si>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</si>
  <si>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</si>
  <si>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</si>
  <si>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</si>
  <si>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</si>
  <si>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</si>
  <si>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</si>
  <si>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</si>
  <si>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</si>
  <si>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</si>
  <si>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</si>
  <si>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</si>
  <si>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</si>
  <si>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</si>
  <si>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</si>
  <si>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</si>
  <si>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</si>
  <si>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</si>
  <si>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</si>
  <si>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</si>
  <si>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</si>
  <si>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</si>
  <si>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</si>
  <si>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</si>
  <si>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</si>
  <si>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</si>
  <si>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</si>
  <si>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</si>
  <si>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</si>
  <si>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</si>
  <si>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</si>
  <si>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</si>
  <si>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</si>
  <si>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</si>
  <si>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</si>
  <si>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</si>
  <si>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</si>
  <si>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</si>
  <si>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</si>
  <si>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</si>
  <si>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</si>
  <si>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</si>
  <si>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</si>
  <si>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</si>
  <si>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</si>
  <si>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</si>
  <si>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</si>
  <si>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71661</t>
  </si>
  <si>
    <t>VÝPLACH ČELISTNÍ DUTINY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</si>
  <si>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</si>
  <si>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</si>
  <si>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</si>
  <si>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</si>
  <si>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</si>
  <si>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</si>
  <si>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</si>
  <si>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</si>
  <si>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</si>
  <si>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</si>
  <si>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</si>
  <si>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</si>
  <si>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</si>
  <si>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</si>
  <si>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</si>
  <si>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</si>
  <si>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</si>
  <si>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</si>
  <si>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</si>
  <si>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</si>
  <si>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</si>
  <si>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</si>
  <si>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</si>
  <si>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</si>
  <si>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</si>
  <si>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</si>
  <si>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</si>
  <si>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</si>
  <si>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</si>
  <si>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</si>
  <si>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09544</t>
  </si>
  <si>
    <t>SIGNÁLNÍ VÝKON POBYTU V ZAŘÍZENÍ LŮŽKOVÉ PÉČE / DO</t>
  </si>
  <si>
    <t>00602</t>
  </si>
  <si>
    <t>OD TYPU 02 - PRO NEMOCNICE TYPU 3, (KATEGORIE 6)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</si>
  <si>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</si>
  <si>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</si>
  <si>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</si>
  <si>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</si>
  <si>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</si>
  <si>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</si>
  <si>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</si>
  <si>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</si>
  <si>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</si>
  <si>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</si>
  <si>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</si>
  <si>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</si>
  <si>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</si>
  <si>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</si>
  <si>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</si>
  <si>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</si>
  <si>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</si>
  <si>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</si>
  <si>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</si>
  <si>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</si>
  <si>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</si>
  <si>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</si>
  <si>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</si>
  <si>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</si>
  <si>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</si>
  <si>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</si>
  <si>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</si>
  <si>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</si>
  <si>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</si>
  <si>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</si>
  <si>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</si>
  <si>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</si>
  <si>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</si>
  <si>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</si>
  <si>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</si>
  <si>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</si>
  <si>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</si>
  <si>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</si>
  <si>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</si>
  <si>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</si>
  <si>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</si>
  <si>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</si>
  <si>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</si>
  <si>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</si>
  <si>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</si>
  <si>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</si>
  <si>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</si>
  <si>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</si>
  <si>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</si>
  <si>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</si>
  <si>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</si>
  <si>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</si>
  <si>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</si>
  <si>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</si>
  <si>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</si>
  <si>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</si>
  <si>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</si>
  <si>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</si>
  <si>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</si>
  <si>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</si>
  <si>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65427</t>
  </si>
  <si>
    <t>RESEKCE HORNÍ ČELISTI SUBTOTÁLNÍ (JEDNOSTRANNÁ)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</si>
  <si>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</si>
  <si>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</si>
  <si>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</si>
  <si>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</si>
  <si>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</si>
  <si>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</si>
  <si>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7F1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</si>
  <si>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</si>
  <si>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</si>
  <si>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</si>
  <si>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</si>
  <si>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</si>
  <si>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</si>
  <si>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</si>
  <si>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</si>
  <si>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</si>
  <si>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</si>
  <si>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</si>
  <si>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</si>
  <si>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</si>
  <si>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</si>
  <si>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</si>
  <si>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</si>
  <si>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</si>
  <si>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</si>
  <si>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</si>
  <si>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</si>
  <si>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</si>
  <si>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</si>
  <si>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</si>
  <si>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</si>
  <si>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</si>
  <si>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</si>
  <si>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</si>
  <si>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</si>
  <si>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</si>
  <si>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</si>
  <si>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</si>
  <si>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</si>
  <si>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</si>
  <si>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</si>
  <si>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</si>
  <si>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HLAVĚ A KRKU BEZ CC                         </t>
  </si>
  <si>
    <t>03032</t>
  </si>
  <si>
    <t xml:space="preserve">VÝKONY NA OBLIČEJOVÝCH KOSTECH, KROMĚ VELKÝCH VÝKONŮ NA HLAVĚ A KRKU S CC                           </t>
  </si>
  <si>
    <t>03033</t>
  </si>
  <si>
    <t xml:space="preserve">VÝKONY NA OBLIČEJOVÝCH KOSTECH,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</si>
  <si>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</si>
  <si>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</si>
  <si>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</si>
  <si>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</si>
  <si>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</si>
  <si>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</si>
  <si>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</si>
  <si>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</si>
  <si>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</si>
  <si>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</si>
  <si>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</si>
  <si>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</si>
  <si>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</si>
  <si>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</si>
  <si>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</si>
  <si>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</si>
  <si>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</si>
  <si>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HRDLA BEZ CC                              </t>
  </si>
  <si>
    <t>03092</t>
  </si>
  <si>
    <t xml:space="preserve">JINÉ VÝKONY PŘI PORUCHÁCH A ONEMOCNĚNÍCH UŠÍ, NOSU, ÚST A HRDLA S CC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</si>
  <si>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</si>
  <si>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</si>
  <si>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</si>
  <si>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</si>
  <si>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</si>
  <si>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LARYNGOTRACHEITIS BEZ CC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</si>
  <si>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</si>
  <si>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</si>
  <si>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</si>
  <si>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</si>
  <si>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</si>
  <si>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</si>
  <si>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</si>
  <si>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</si>
  <si>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</si>
  <si>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</si>
  <si>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</si>
  <si>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</si>
  <si>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</si>
  <si>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</si>
  <si>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</si>
  <si>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</si>
  <si>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</si>
  <si>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</si>
  <si>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</si>
  <si>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</si>
  <si>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</si>
  <si>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</si>
  <si>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</si>
  <si>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</si>
  <si>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08092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</si>
  <si>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</si>
  <si>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</si>
  <si>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</si>
  <si>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</si>
  <si>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08331</t>
  </si>
  <si>
    <t xml:space="preserve">MALIGNÍ ONEMOCNĚNÍ MUSKULOSKELETÁLNÍHO SYSTÉMU A POJIVOVÉ TKÁNĚ, PATOLOGICKÉ ZLOMENINY BEZ CC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</si>
  <si>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</si>
  <si>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</si>
  <si>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</si>
  <si>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</si>
  <si>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</si>
  <si>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</si>
  <si>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</si>
  <si>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</si>
  <si>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</si>
  <si>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</si>
  <si>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</si>
  <si>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A PRSU BEZ CC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</si>
  <si>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</si>
  <si>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</si>
  <si>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</si>
  <si>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</si>
  <si>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</si>
  <si>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</si>
  <si>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</si>
  <si>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</si>
  <si>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17041</t>
  </si>
  <si>
    <t xml:space="preserve">MYELOPROLIFERATIVNÍ PORUCHY A ŠPATNĚ DIFERENCOVANÉ NÁDORY S JINÝM VÝKONEM BEZ CC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</si>
  <si>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</si>
  <si>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</si>
  <si>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</si>
  <si>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</si>
  <si>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</si>
  <si>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</si>
  <si>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</si>
  <si>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</si>
  <si>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</si>
  <si>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</si>
  <si>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</si>
  <si>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</si>
  <si>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</si>
  <si>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</si>
  <si>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</si>
  <si>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</si>
  <si>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</si>
  <si>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</si>
  <si>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</si>
  <si>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</si>
  <si>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</si>
  <si>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</si>
  <si>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</si>
  <si>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</si>
  <si>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</si>
  <si>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</si>
  <si>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</si>
  <si>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</si>
  <si>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</si>
  <si>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</si>
  <si>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</si>
  <si>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</si>
  <si>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</si>
  <si>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</si>
  <si>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</si>
  <si>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</si>
  <si>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</si>
  <si>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</si>
  <si>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</si>
  <si>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</si>
  <si>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</si>
  <si>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</si>
  <si>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</si>
  <si>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</si>
  <si>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</si>
  <si>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</si>
  <si>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</si>
  <si>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</si>
  <si>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</si>
  <si>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</si>
  <si>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0077019</t>
  </si>
  <si>
    <t>ULTRAVIST 370</t>
  </si>
  <si>
    <t>0093625</t>
  </si>
  <si>
    <t>0093626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</si>
  <si>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</si>
  <si>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</si>
  <si>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</si>
  <si>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</si>
  <si>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</si>
  <si>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</si>
  <si>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</si>
  <si>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</si>
  <si>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</si>
  <si>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</si>
  <si>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</si>
  <si>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</si>
  <si>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</si>
  <si>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</si>
  <si>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</si>
  <si>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</si>
  <si>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</si>
  <si>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</si>
  <si>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</si>
  <si>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</si>
  <si>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</si>
  <si>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</si>
  <si>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</si>
  <si>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</si>
  <si>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</si>
  <si>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</si>
  <si>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</si>
  <si>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</si>
  <si>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</si>
  <si>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</si>
  <si>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</si>
  <si>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</si>
  <si>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</si>
  <si>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</si>
  <si>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</si>
  <si>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</si>
  <si>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</si>
  <si>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</si>
  <si>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</si>
  <si>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</si>
  <si>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</si>
  <si>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</si>
  <si>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</si>
  <si>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</si>
  <si>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</si>
  <si>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</si>
  <si>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</si>
  <si>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</si>
  <si>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</si>
  <si>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</si>
  <si>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</si>
  <si>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</si>
  <si>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</si>
  <si>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</si>
  <si>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</si>
  <si>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</si>
  <si>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</si>
  <si>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</si>
  <si>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</si>
  <si>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</si>
  <si>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</si>
  <si>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</si>
  <si>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</si>
  <si>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</si>
  <si>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</si>
  <si>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</si>
  <si>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</si>
  <si>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</si>
  <si>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</si>
  <si>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</si>
  <si>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</si>
  <si>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</si>
  <si>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</si>
  <si>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</si>
  <si>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</si>
  <si>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93131</t>
  </si>
  <si>
    <t>KORTISOL</t>
  </si>
  <si>
    <t>93171</t>
  </si>
  <si>
    <t>PARATHORMON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</si>
  <si>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</si>
  <si>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</si>
  <si>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</si>
  <si>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</si>
  <si>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</si>
  <si>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</si>
  <si>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</si>
  <si>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</si>
  <si>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</si>
  <si>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</si>
  <si>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</si>
  <si>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</si>
  <si>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</si>
  <si>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</si>
  <si>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</si>
  <si>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</si>
  <si>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</si>
  <si>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</si>
  <si>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</si>
  <si>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</si>
  <si>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</si>
  <si>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</si>
  <si>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</si>
  <si>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</si>
  <si>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</si>
  <si>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</si>
  <si>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</si>
  <si>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</si>
  <si>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</si>
  <si>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</si>
  <si>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</si>
  <si>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</si>
  <si>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</si>
  <si>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</si>
  <si>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</si>
  <si>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</si>
  <si>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</si>
  <si>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</si>
  <si>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</si>
  <si>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</si>
  <si>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</si>
  <si>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</si>
  <si>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</si>
  <si>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</si>
  <si>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</si>
  <si>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</si>
  <si>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</si>
  <si>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</si>
  <si>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</si>
  <si>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</si>
  <si>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</si>
  <si>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</si>
  <si>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</si>
  <si>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</si>
  <si>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</si>
  <si>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</si>
  <si>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</si>
  <si>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</si>
  <si>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93185</t>
  </si>
  <si>
    <t>TRIJODTYRONIN CELKOVÝ (TT3)</t>
  </si>
  <si>
    <t>81165</t>
  </si>
  <si>
    <t>KREATINKINÁZA (CK) STATIM</t>
  </si>
  <si>
    <t>34</t>
  </si>
  <si>
    <t>809</t>
  </si>
  <si>
    <t>0003132</t>
  </si>
  <si>
    <t>GADOVIST 1,0 MMOL/ML</t>
  </si>
  <si>
    <t>0022075</t>
  </si>
  <si>
    <t>IOMERON 400</t>
  </si>
  <si>
    <t>0042433</t>
  </si>
  <si>
    <t>VISIPAQUE 320 MG I/ML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</si>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</sst>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.000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68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4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5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5" applyNumberFormat="1" applyFont="1" applyFill="1" applyBorder="1"/>
    <xf numFmtId="167" fontId="33" fillId="7" borderId="12" xfId="85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5" applyNumberFormat="1" applyFont="1" applyFill="1" applyBorder="1"/>
    <xf numFmtId="167" fontId="33" fillId="2" borderId="22" xfId="85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5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5" applyNumberFormat="1" applyFont="1" applyFill="1" applyBorder="1" applyAlignment="1">
      <alignment horizontal="right"/>
    </xf>
    <xf numFmtId="167" fontId="33" fillId="3" borderId="22" xfId="85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5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5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0" xfId="53" applyFont="1" applyFill="1" applyBorder="1" applyAlignment="1">
      <alignment horizontal="right"/>
    </xf>
    <xf numFmtId="164" fontId="33" fillId="0" borderId="75" xfId="53" applyNumberFormat="1" applyFont="1" applyFill="1" applyBorder="1"/>
    <xf numFmtId="164" fontId="33" fillId="0" borderId="76" xfId="53" applyNumberFormat="1" applyFont="1" applyFill="1" applyBorder="1"/>
    <xf numFmtId="9" fontId="33" fillId="0" borderId="77" xfId="82" applyNumberFormat="1" applyFont="1" applyFill="1" applyBorder="1"/>
    <xf numFmtId="3" fontId="33" fillId="0" borderId="77" xfId="82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1" xfId="26" applyNumberFormat="1" applyFont="1" applyFill="1" applyBorder="1"/>
    <xf numFmtId="3" fontId="31" fillId="7" borderId="62" xfId="26" applyNumberFormat="1" applyFont="1" applyFill="1" applyBorder="1"/>
    <xf numFmtId="167" fontId="33" fillId="7" borderId="69" xfId="85" applyNumberFormat="1" applyFont="1" applyFill="1" applyBorder="1" applyAlignment="1">
      <alignment horizontal="right"/>
    </xf>
    <xf numFmtId="3" fontId="31" fillId="7" borderId="82" xfId="26" applyNumberFormat="1" applyFont="1" applyFill="1" applyBorder="1"/>
    <xf numFmtId="167" fontId="33" fillId="7" borderId="69" xfId="85" applyNumberFormat="1" applyFont="1" applyFill="1" applyBorder="1"/>
    <xf numFmtId="3" fontId="31" fillId="0" borderId="81" xfId="26" applyNumberFormat="1" applyFont="1" applyFill="1" applyBorder="1" applyAlignment="1">
      <alignment horizontal="center"/>
    </xf>
    <xf numFmtId="3" fontId="31" fillId="0" borderId="69" xfId="26" applyNumberFormat="1" applyFont="1" applyFill="1" applyBorder="1" applyAlignment="1">
      <alignment horizontal="center"/>
    </xf>
    <xf numFmtId="3" fontId="31" fillId="7" borderId="81" xfId="26" applyNumberFormat="1" applyFont="1" applyFill="1" applyBorder="1" applyAlignment="1">
      <alignment horizontal="center"/>
    </xf>
    <xf numFmtId="3" fontId="31" fillId="7" borderId="69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3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0" fontId="48" fillId="2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61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7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8" fillId="9" borderId="84" xfId="0" applyNumberFormat="1" applyFont="1" applyFill="1" applyBorder="1"/>
    <xf numFmtId="3" fontId="58" fillId="9" borderId="83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87" xfId="0" applyNumberFormat="1" applyFont="1" applyFill="1" applyBorder="1" applyAlignment="1">
      <alignment horizontal="center" vertical="center"/>
    </xf>
    <xf numFmtId="0" fontId="41" fillId="2" borderId="88" xfId="0" applyFont="1" applyFill="1" applyBorder="1" applyAlignment="1">
      <alignment horizontal="center" vertical="center"/>
    </xf>
    <xf numFmtId="3" fontId="60" fillId="2" borderId="90" xfId="0" applyNumberFormat="1" applyFont="1" applyFill="1" applyBorder="1" applyAlignment="1">
      <alignment horizontal="center" vertical="center" wrapText="1"/>
    </xf>
    <xf numFmtId="0" fontId="60" fillId="2" borderId="91" xfId="0" applyFont="1" applyFill="1" applyBorder="1" applyAlignment="1">
      <alignment horizontal="center" vertical="center" wrapText="1"/>
    </xf>
    <xf numFmtId="0" fontId="41" fillId="2" borderId="93" xfId="0" applyFont="1" applyFill="1" applyBorder="1" applyAlignment="1"/>
    <xf numFmtId="0" fontId="41" fillId="2" borderId="95" xfId="0" applyFont="1" applyFill="1" applyBorder="1" applyAlignment="1">
      <alignment horizontal="left" indent="1"/>
    </xf>
    <xf numFmtId="0" fontId="41" fillId="2" borderId="101" xfId="0" applyFont="1" applyFill="1" applyBorder="1" applyAlignment="1">
      <alignment horizontal="left" indent="1"/>
    </xf>
    <xf numFmtId="0" fontId="41" fillId="4" borderId="93" xfId="0" applyFont="1" applyFill="1" applyBorder="1" applyAlignment="1"/>
    <xf numFmtId="0" fontId="41" fillId="4" borderId="95" xfId="0" applyFont="1" applyFill="1" applyBorder="1" applyAlignment="1">
      <alignment horizontal="left" indent="1"/>
    </xf>
    <xf numFmtId="0" fontId="41" fillId="4" borderId="106" xfId="0" applyFont="1" applyFill="1" applyBorder="1" applyAlignment="1">
      <alignment horizontal="left" indent="1"/>
    </xf>
    <xf numFmtId="0" fontId="34" fillId="2" borderId="95" xfId="0" quotePrefix="1" applyFont="1" applyFill="1" applyBorder="1" applyAlignment="1">
      <alignment horizontal="left" indent="2"/>
    </xf>
    <xf numFmtId="0" fontId="34" fillId="2" borderId="101" xfId="0" quotePrefix="1" applyFont="1" applyFill="1" applyBorder="1" applyAlignment="1">
      <alignment horizontal="left" indent="2"/>
    </xf>
    <xf numFmtId="0" fontId="41" fillId="2" borderId="93" xfId="0" applyFont="1" applyFill="1" applyBorder="1" applyAlignment="1">
      <alignment horizontal="left" indent="1"/>
    </xf>
    <xf numFmtId="0" fontId="41" fillId="2" borderId="106" xfId="0" applyFont="1" applyFill="1" applyBorder="1" applyAlignment="1">
      <alignment horizontal="left" indent="1"/>
    </xf>
    <xf numFmtId="0" fontId="41" fillId="4" borderId="101" xfId="0" applyFont="1" applyFill="1" applyBorder="1" applyAlignment="1">
      <alignment horizontal="left" indent="1"/>
    </xf>
    <xf numFmtId="0" fontId="34" fillId="0" borderId="111" xfId="0" applyFont="1" applyBorder="1"/>
    <xf numFmtId="3" fontId="34" fillId="0" borderId="111" xfId="0" applyNumberFormat="1" applyFont="1" applyBorder="1"/>
    <xf numFmtId="0" fontId="41" fillId="4" borderId="85" xfId="0" applyFont="1" applyFill="1" applyBorder="1" applyAlignment="1">
      <alignment horizontal="center" vertical="center"/>
    </xf>
    <xf numFmtId="0" fontId="41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0" xfId="0" applyNumberFormat="1" applyFont="1" applyFill="1" applyBorder="1" applyAlignment="1">
      <alignment horizontal="center" vertical="center"/>
    </xf>
    <xf numFmtId="3" fontId="60" fillId="2" borderId="108" xfId="0" applyNumberFormat="1" applyFont="1" applyFill="1" applyBorder="1" applyAlignment="1">
      <alignment horizontal="center" vertical="center" wrapText="1"/>
    </xf>
    <xf numFmtId="173" fontId="41" fillId="4" borderId="94" xfId="0" applyNumberFormat="1" applyFont="1" applyFill="1" applyBorder="1" applyAlignment="1"/>
    <xf numFmtId="173" fontId="41" fillId="4" borderId="87" xfId="0" applyNumberFormat="1" applyFont="1" applyFill="1" applyBorder="1" applyAlignment="1"/>
    <xf numFmtId="173" fontId="41" fillId="4" borderId="88" xfId="0" applyNumberFormat="1" applyFont="1" applyFill="1" applyBorder="1" applyAlignment="1"/>
    <xf numFmtId="173" fontId="41" fillId="0" borderId="96" xfId="0" applyNumberFormat="1" applyFont="1" applyBorder="1"/>
    <xf numFmtId="173" fontId="34" fillId="0" borderId="100" xfId="0" applyNumberFormat="1" applyFont="1" applyBorder="1"/>
    <xf numFmtId="173" fontId="34" fillId="0" borderId="98" xfId="0" applyNumberFormat="1" applyFont="1" applyBorder="1"/>
    <xf numFmtId="173" fontId="41" fillId="0" borderId="107" xfId="0" applyNumberFormat="1" applyFont="1" applyBorder="1"/>
    <xf numFmtId="173" fontId="34" fillId="0" borderId="108" xfId="0" applyNumberFormat="1" applyFont="1" applyBorder="1"/>
    <xf numFmtId="173" fontId="34" fillId="0" borderId="91" xfId="0" applyNumberFormat="1" applyFont="1" applyBorder="1"/>
    <xf numFmtId="173" fontId="41" fillId="2" borderId="109" xfId="0" applyNumberFormat="1" applyFont="1" applyFill="1" applyBorder="1" applyAlignment="1"/>
    <xf numFmtId="173" fontId="41" fillId="2" borderId="87" xfId="0" applyNumberFormat="1" applyFont="1" applyFill="1" applyBorder="1" applyAlignment="1"/>
    <xf numFmtId="173" fontId="41" fillId="2" borderId="88" xfId="0" applyNumberFormat="1" applyFont="1" applyFill="1" applyBorder="1" applyAlignment="1"/>
    <xf numFmtId="173" fontId="41" fillId="0" borderId="102" xfId="0" applyNumberFormat="1" applyFont="1" applyBorder="1"/>
    <xf numFmtId="173" fontId="34" fillId="0" borderId="103" xfId="0" applyNumberFormat="1" applyFont="1" applyBorder="1"/>
    <xf numFmtId="173" fontId="34" fillId="0" borderId="104" xfId="0" applyNumberFormat="1" applyFont="1" applyBorder="1"/>
    <xf numFmtId="173" fontId="41" fillId="0" borderId="94" xfId="0" applyNumberFormat="1" applyFont="1" applyBorder="1"/>
    <xf numFmtId="173" fontId="34" fillId="0" borderId="110" xfId="0" applyNumberFormat="1" applyFont="1" applyBorder="1"/>
    <xf numFmtId="173" fontId="34" fillId="0" borderId="88" xfId="0" applyNumberFormat="1" applyFont="1" applyBorder="1"/>
    <xf numFmtId="174" fontId="41" fillId="2" borderId="94" xfId="0" applyNumberFormat="1" applyFont="1" applyFill="1" applyBorder="1" applyAlignment="1"/>
    <xf numFmtId="174" fontId="34" fillId="2" borderId="87" xfId="0" applyNumberFormat="1" applyFont="1" applyFill="1" applyBorder="1" applyAlignment="1"/>
    <xf numFmtId="174" fontId="34" fillId="2" borderId="88" xfId="0" applyNumberFormat="1" applyFont="1" applyFill="1" applyBorder="1" applyAlignment="1"/>
    <xf numFmtId="174" fontId="41" fillId="0" borderId="96" xfId="0" applyNumberFormat="1" applyFont="1" applyBorder="1"/>
    <xf numFmtId="174" fontId="34" fillId="0" borderId="97" xfId="0" applyNumberFormat="1" applyFont="1" applyBorder="1"/>
    <xf numFmtId="174" fontId="34" fillId="0" borderId="98" xfId="0" applyNumberFormat="1" applyFont="1" applyBorder="1"/>
    <xf numFmtId="174" fontId="34" fillId="0" borderId="100" xfId="0" applyNumberFormat="1" applyFont="1" applyBorder="1"/>
    <xf numFmtId="174" fontId="41" fillId="0" borderId="102" xfId="0" applyNumberFormat="1" applyFont="1" applyBorder="1"/>
    <xf numFmtId="174" fontId="34" fillId="0" borderId="103" xfId="0" applyNumberFormat="1" applyFont="1" applyBorder="1"/>
    <xf numFmtId="174" fontId="34" fillId="0" borderId="104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3" fontId="41" fillId="4" borderId="94" xfId="0" applyNumberFormat="1" applyFont="1" applyFill="1" applyBorder="1" applyAlignment="1">
      <alignment horizontal="center"/>
    </xf>
    <xf numFmtId="175" fontId="41" fillId="0" borderId="102" xfId="0" applyNumberFormat="1" applyFont="1" applyBorder="1"/>
    <xf numFmtId="0" fontId="33" fillId="2" borderId="118" xfId="74" applyFont="1" applyFill="1" applyBorder="1" applyAlignment="1">
      <alignment horizontal="center"/>
    </xf>
    <xf numFmtId="0" fontId="33" fillId="2" borderId="89" xfId="81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5" xfId="53" applyNumberFormat="1" applyFont="1" applyFill="1" applyBorder="1"/>
    <xf numFmtId="3" fontId="33" fillId="0" borderId="76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1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6" xfId="0" applyNumberFormat="1" applyFont="1" applyBorder="1"/>
    <xf numFmtId="9" fontId="34" fillId="0" borderId="100" xfId="0" applyNumberFormat="1" applyFont="1" applyBorder="1"/>
    <xf numFmtId="9" fontId="34" fillId="0" borderId="98" xfId="0" applyNumberFormat="1" applyFont="1" applyBorder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3" fillId="2" borderId="118" xfId="81" applyFont="1" applyFill="1" applyBorder="1" applyAlignment="1">
      <alignment horizontal="center"/>
    </xf>
    <xf numFmtId="0" fontId="33" fillId="2" borderId="115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117" xfId="81" applyFont="1" applyFill="1" applyBorder="1" applyAlignment="1">
      <alignment horizontal="center"/>
    </xf>
    <xf numFmtId="0" fontId="33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5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5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1" fillId="2" borderId="86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55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3" xfId="0" applyFont="1" applyFill="1" applyBorder="1" applyAlignment="1">
      <alignment vertical="center"/>
    </xf>
    <xf numFmtId="3" fontId="33" fillId="2" borderId="65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19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6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5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3" fillId="2" borderId="85" xfId="0" applyNumberFormat="1" applyFont="1" applyFill="1" applyBorder="1" applyAlignment="1">
      <alignment horizontal="center" vertical="top"/>
    </xf>
    <xf numFmtId="0" fontId="33" fillId="2" borderId="65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7" applyFont="1" applyBorder="1" applyAlignment="1">
      <alignment horizontal="center"/>
    </xf>
    <xf numFmtId="3" fontId="33" fillId="4" borderId="65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5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4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8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2" xfId="53" applyNumberFormat="1" applyFont="1" applyFill="1" applyBorder="1" applyAlignment="1">
      <alignment horizontal="left"/>
    </xf>
    <xf numFmtId="164" fontId="33" fillId="2" borderId="123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69" xfId="53" applyNumberFormat="1" applyFont="1" applyFill="1" applyBorder="1" applyAlignment="1">
      <alignment horizontal="left"/>
    </xf>
    <xf numFmtId="0" fontId="34" fillId="0" borderId="87" xfId="0" applyFont="1" applyFill="1" applyBorder="1"/>
    <xf numFmtId="0" fontId="34" fillId="0" borderId="88" xfId="0" applyFont="1" applyFill="1" applyBorder="1"/>
    <xf numFmtId="164" fontId="34" fillId="0" borderId="88" xfId="0" applyNumberFormat="1" applyFont="1" applyFill="1" applyBorder="1"/>
    <xf numFmtId="164" fontId="34" fillId="0" borderId="88" xfId="0" applyNumberFormat="1" applyFont="1" applyFill="1" applyBorder="1" applyAlignment="1">
      <alignment horizontal="right"/>
    </xf>
    <xf numFmtId="3" fontId="34" fillId="0" borderId="88" xfId="0" applyNumberFormat="1" applyFont="1" applyFill="1" applyBorder="1"/>
    <xf numFmtId="3" fontId="34" fillId="0" borderId="89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2" borderId="122" xfId="0" applyFont="1" applyFill="1" applyBorder="1"/>
    <xf numFmtId="3" fontId="41" fillId="2" borderId="124" xfId="0" applyNumberFormat="1" applyFont="1" applyFill="1" applyBorder="1"/>
    <xf numFmtId="9" fontId="41" fillId="2" borderId="82" xfId="0" applyNumberFormat="1" applyFont="1" applyFill="1" applyBorder="1"/>
    <xf numFmtId="3" fontId="41" fillId="2" borderId="69" xfId="0" applyNumberFormat="1" applyFont="1" applyFill="1" applyBorder="1"/>
    <xf numFmtId="9" fontId="34" fillId="0" borderId="88" xfId="0" applyNumberFormat="1" applyFont="1" applyFill="1" applyBorder="1"/>
    <xf numFmtId="9" fontId="34" fillId="0" borderId="98" xfId="0" applyNumberFormat="1" applyFont="1" applyFill="1" applyBorder="1"/>
    <xf numFmtId="9" fontId="34" fillId="0" borderId="91" xfId="0" applyNumberFormat="1" applyFont="1" applyFill="1" applyBorder="1"/>
    <xf numFmtId="3" fontId="34" fillId="0" borderId="104" xfId="0" applyNumberFormat="1" applyFont="1" applyFill="1" applyBorder="1"/>
    <xf numFmtId="9" fontId="34" fillId="0" borderId="104" xfId="0" applyNumberFormat="1" applyFont="1" applyFill="1" applyBorder="1"/>
    <xf numFmtId="3" fontId="34" fillId="0" borderId="105" xfId="0" applyNumberFormat="1" applyFont="1" applyFill="1" applyBorder="1"/>
    <xf numFmtId="0" fontId="41" fillId="10" borderId="21" xfId="0" applyFont="1" applyFill="1" applyBorder="1"/>
    <xf numFmtId="3" fontId="41" fillId="10" borderId="29" xfId="0" applyNumberFormat="1" applyFont="1" applyFill="1" applyBorder="1"/>
    <xf numFmtId="9" fontId="41" fillId="10" borderId="29" xfId="0" applyNumberFormat="1" applyFont="1" applyFill="1" applyBorder="1"/>
    <xf numFmtId="3" fontId="41" fillId="10" borderId="22" xfId="0" applyNumberFormat="1" applyFont="1" applyFill="1" applyBorder="1"/>
    <xf numFmtId="0" fontId="41" fillId="0" borderId="87" xfId="0" applyFont="1" applyFill="1" applyBorder="1"/>
    <xf numFmtId="0" fontId="41" fillId="0" borderId="97" xfId="0" applyFont="1" applyFill="1" applyBorder="1"/>
    <xf numFmtId="0" fontId="41" fillId="0" borderId="12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23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4" xfId="80" applyNumberFormat="1" applyFont="1" applyFill="1" applyBorder="1"/>
    <xf numFmtId="3" fontId="3" fillId="2" borderId="105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0" fontId="41" fillId="0" borderId="118" xfId="0" applyFont="1" applyFill="1" applyBorder="1"/>
    <xf numFmtId="0" fontId="41" fillId="0" borderId="116" xfId="0" applyFont="1" applyFill="1" applyBorder="1" applyAlignment="1">
      <alignment horizontal="left" indent="1"/>
    </xf>
    <xf numFmtId="0" fontId="41" fillId="0" borderId="117" xfId="0" applyFont="1" applyFill="1" applyBorder="1" applyAlignment="1">
      <alignment horizontal="left" indent="1"/>
    </xf>
    <xf numFmtId="9" fontId="34" fillId="0" borderId="110" xfId="0" applyNumberFormat="1" applyFont="1" applyFill="1" applyBorder="1"/>
    <xf numFmtId="9" fontId="34" fillId="0" borderId="100" xfId="0" applyNumberFormat="1" applyFont="1" applyFill="1" applyBorder="1"/>
    <xf numFmtId="9" fontId="34" fillId="0" borderId="108" xfId="0" applyNumberFormat="1" applyFont="1" applyFill="1" applyBorder="1"/>
    <xf numFmtId="3" fontId="34" fillId="0" borderId="87" xfId="0" applyNumberFormat="1" applyFont="1" applyFill="1" applyBorder="1"/>
    <xf numFmtId="3" fontId="34" fillId="0" borderId="97" xfId="0" applyNumberFormat="1" applyFont="1" applyFill="1" applyBorder="1"/>
    <xf numFmtId="3" fontId="34" fillId="0" borderId="90" xfId="0" applyNumberFormat="1" applyFont="1" applyFill="1" applyBorder="1"/>
    <xf numFmtId="9" fontId="34" fillId="0" borderId="114" xfId="0" applyNumberFormat="1" applyFont="1" applyFill="1" applyBorder="1"/>
    <xf numFmtId="9" fontId="34" fillId="0" borderId="112" xfId="0" applyNumberFormat="1" applyFont="1" applyFill="1" applyBorder="1"/>
    <xf numFmtId="9" fontId="34" fillId="0" borderId="113" xfId="0" applyNumberFormat="1" applyFont="1" applyFill="1" applyBorder="1"/>
    <xf numFmtId="9" fontId="31" fillId="0" borderId="0" xfId="0" applyNumberFormat="1" applyFont="1" applyFill="1" applyBorder="1"/>
    <xf numFmtId="0" fontId="65" fillId="0" borderId="0" xfId="0" applyFont="1" applyFill="1"/>
    <xf numFmtId="0" fontId="66" fillId="0" borderId="0" xfId="0" applyFont="1" applyFill="1"/>
    <xf numFmtId="0" fontId="41" fillId="10" borderId="118" xfId="0" applyFont="1" applyFill="1" applyBorder="1"/>
    <xf numFmtId="0" fontId="41" fillId="10" borderId="116" xfId="0" applyFont="1" applyFill="1" applyBorder="1"/>
    <xf numFmtId="0" fontId="41" fillId="10" borderId="117" xfId="0" applyFont="1" applyFill="1" applyBorder="1"/>
    <xf numFmtId="0" fontId="3" fillId="2" borderId="104" xfId="80" applyFont="1" applyFill="1" applyBorder="1"/>
    <xf numFmtId="3" fontId="34" fillId="0" borderId="114" xfId="0" applyNumberFormat="1" applyFont="1" applyFill="1" applyBorder="1"/>
    <xf numFmtId="3" fontId="34" fillId="0" borderId="112" xfId="0" applyNumberFormat="1" applyFont="1" applyFill="1" applyBorder="1"/>
    <xf numFmtId="3" fontId="34" fillId="0" borderId="113" xfId="0" applyNumberFormat="1" applyFont="1" applyFill="1" applyBorder="1"/>
    <xf numFmtId="0" fontId="34" fillId="0" borderId="118" xfId="0" applyFont="1" applyFill="1" applyBorder="1"/>
    <xf numFmtId="0" fontId="34" fillId="0" borderId="116" xfId="0" applyFont="1" applyFill="1" applyBorder="1"/>
    <xf numFmtId="0" fontId="34" fillId="0" borderId="117" xfId="0" applyFont="1" applyFill="1" applyBorder="1"/>
    <xf numFmtId="3" fontId="34" fillId="0" borderId="110" xfId="0" applyNumberFormat="1" applyFont="1" applyFill="1" applyBorder="1"/>
    <xf numFmtId="3" fontId="34" fillId="0" borderId="100" xfId="0" applyNumberFormat="1" applyFont="1" applyFill="1" applyBorder="1"/>
    <xf numFmtId="3" fontId="34" fillId="0" borderId="108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8" xfId="0" applyFont="1" applyFill="1" applyBorder="1" applyAlignment="1">
      <alignment horizontal="right"/>
    </xf>
    <xf numFmtId="0" fontId="34" fillId="0" borderId="98" xfId="0" applyFont="1" applyFill="1" applyBorder="1" applyAlignment="1">
      <alignment horizontal="left"/>
    </xf>
    <xf numFmtId="165" fontId="34" fillId="0" borderId="98" xfId="0" applyNumberFormat="1" applyFont="1" applyFill="1" applyBorder="1"/>
    <xf numFmtId="0" fontId="34" fillId="0" borderId="91" xfId="0" applyFont="1" applyFill="1" applyBorder="1" applyAlignment="1">
      <alignment horizontal="right"/>
    </xf>
    <xf numFmtId="0" fontId="34" fillId="0" borderId="91" xfId="0" applyFont="1" applyFill="1" applyBorder="1" applyAlignment="1">
      <alignment horizontal="left"/>
    </xf>
    <xf numFmtId="165" fontId="34" fillId="0" borderId="91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173" fontId="41" fillId="4" borderId="131" xfId="0" applyNumberFormat="1" applyFont="1" applyFill="1" applyBorder="1" applyAlignment="1">
      <alignment horizontal="center"/>
    </xf>
    <xf numFmtId="173" fontId="41" fillId="4" borderId="132" xfId="0" applyNumberFormat="1" applyFont="1" applyFill="1" applyBorder="1" applyAlignment="1">
      <alignment horizontal="center"/>
    </xf>
    <xf numFmtId="173" fontId="34" fillId="0" borderId="133" xfId="0" applyNumberFormat="1" applyFont="1" applyBorder="1" applyAlignment="1">
      <alignment horizontal="right"/>
    </xf>
    <xf numFmtId="173" fontId="34" fillId="0" borderId="134" xfId="0" applyNumberFormat="1" applyFont="1" applyBorder="1" applyAlignment="1">
      <alignment horizontal="right"/>
    </xf>
    <xf numFmtId="173" fontId="34" fillId="0" borderId="134" xfId="0" applyNumberFormat="1" applyFont="1" applyBorder="1" applyAlignment="1">
      <alignment horizontal="right" wrapText="1"/>
    </xf>
    <xf numFmtId="175" fontId="34" fillId="0" borderId="133" xfId="0" applyNumberFormat="1" applyFont="1" applyBorder="1" applyAlignment="1">
      <alignment horizontal="right"/>
    </xf>
    <xf numFmtId="175" fontId="34" fillId="0" borderId="134" xfId="0" applyNumberFormat="1" applyFont="1" applyBorder="1" applyAlignment="1">
      <alignment horizontal="right"/>
    </xf>
    <xf numFmtId="173" fontId="34" fillId="0" borderId="135" xfId="0" applyNumberFormat="1" applyFont="1" applyBorder="1" applyAlignment="1">
      <alignment horizontal="right"/>
    </xf>
    <xf numFmtId="173" fontId="34" fillId="0" borderId="136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0" fillId="2" borderId="113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12" xfId="0" applyNumberFormat="1" applyFont="1" applyBorder="1"/>
    <xf numFmtId="174" fontId="34" fillId="0" borderId="137" xfId="0" applyNumberFormat="1" applyFont="1" applyBorder="1"/>
    <xf numFmtId="173" fontId="41" fillId="4" borderId="60" xfId="0" applyNumberFormat="1" applyFont="1" applyFill="1" applyBorder="1" applyAlignment="1"/>
    <xf numFmtId="173" fontId="34" fillId="0" borderId="112" xfId="0" applyNumberFormat="1" applyFont="1" applyBorder="1"/>
    <xf numFmtId="173" fontId="34" fillId="0" borderId="113" xfId="0" applyNumberFormat="1" applyFont="1" applyBorder="1"/>
    <xf numFmtId="173" fontId="41" fillId="2" borderId="60" xfId="0" applyNumberFormat="1" applyFont="1" applyFill="1" applyBorder="1" applyAlignment="1"/>
    <xf numFmtId="173" fontId="34" fillId="0" borderId="137" xfId="0" applyNumberFormat="1" applyFont="1" applyBorder="1"/>
    <xf numFmtId="173" fontId="34" fillId="0" borderId="60" xfId="0" applyNumberFormat="1" applyFont="1" applyBorder="1"/>
    <xf numFmtId="9" fontId="34" fillId="0" borderId="112" xfId="0" applyNumberFormat="1" applyFont="1" applyBorder="1"/>
    <xf numFmtId="173" fontId="41" fillId="4" borderId="138" xfId="0" applyNumberFormat="1" applyFont="1" applyFill="1" applyBorder="1" applyAlignment="1">
      <alignment horizontal="center"/>
    </xf>
    <xf numFmtId="173" fontId="34" fillId="0" borderId="139" xfId="0" applyNumberFormat="1" applyFont="1" applyBorder="1" applyAlignment="1">
      <alignment horizontal="right"/>
    </xf>
    <xf numFmtId="175" fontId="34" fillId="0" borderId="139" xfId="0" applyNumberFormat="1" applyFont="1" applyBorder="1" applyAlignment="1">
      <alignment horizontal="right"/>
    </xf>
    <xf numFmtId="173" fontId="34" fillId="0" borderId="140" xfId="0" applyNumberFormat="1" applyFont="1" applyBorder="1" applyAlignment="1">
      <alignment horizontal="right"/>
    </xf>
    <xf numFmtId="0" fontId="0" fillId="0" borderId="17" xfId="0" applyBorder="1"/>
    <xf numFmtId="173" fontId="41" fillId="4" borderId="35" xfId="0" applyNumberFormat="1" applyFont="1" applyFill="1" applyBorder="1" applyAlignment="1">
      <alignment horizontal="center"/>
    </xf>
    <xf numFmtId="173" fontId="34" fillId="0" borderId="95" xfId="0" applyNumberFormat="1" applyFont="1" applyBorder="1" applyAlignment="1">
      <alignment horizontal="right"/>
    </xf>
    <xf numFmtId="175" fontId="34" fillId="0" borderId="95" xfId="0" applyNumberFormat="1" applyFont="1" applyBorder="1" applyAlignment="1">
      <alignment horizontal="right"/>
    </xf>
    <xf numFmtId="173" fontId="34" fillId="0" borderId="106" xfId="0" applyNumberFormat="1" applyFont="1" applyBorder="1" applyAlignment="1">
      <alignment horizontal="right"/>
    </xf>
    <xf numFmtId="0" fontId="34" fillId="2" borderId="69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98" xfId="0" applyNumberFormat="1" applyFont="1" applyFill="1" applyBorder="1"/>
    <xf numFmtId="169" fontId="34" fillId="0" borderId="91" xfId="0" applyNumberFormat="1" applyFont="1" applyFill="1" applyBorder="1"/>
    <xf numFmtId="0" fontId="41" fillId="0" borderId="90" xfId="0" applyFont="1" applyFill="1" applyBorder="1"/>
    <xf numFmtId="0" fontId="33" fillId="2" borderId="18" xfId="26" applyNumberFormat="1" applyFont="1" applyFill="1" applyBorder="1"/>
    <xf numFmtId="169" fontId="34" fillId="0" borderId="27" xfId="0" applyNumberFormat="1" applyFont="1" applyFill="1" applyBorder="1"/>
    <xf numFmtId="169" fontId="34" fillId="0" borderId="99" xfId="0" applyNumberFormat="1" applyFont="1" applyFill="1" applyBorder="1"/>
    <xf numFmtId="169" fontId="34" fillId="0" borderId="92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166" fontId="5" fillId="0" borderId="126" xfId="0" applyNumberFormat="1" applyFont="1" applyBorder="1" applyAlignment="1">
      <alignment horizontal="right"/>
    </xf>
    <xf numFmtId="166" fontId="5" fillId="0" borderId="102" xfId="0" applyNumberFormat="1" applyFont="1" applyBorder="1" applyAlignment="1">
      <alignment horizontal="right"/>
    </xf>
    <xf numFmtId="3" fontId="11" fillId="0" borderId="126" xfId="0" applyNumberFormat="1" applyFont="1" applyBorder="1" applyAlignment="1">
      <alignment horizontal="right"/>
    </xf>
    <xf numFmtId="166" fontId="11" fillId="0" borderId="126" xfId="0" applyNumberFormat="1" applyFont="1" applyBorder="1" applyAlignment="1">
      <alignment horizontal="right"/>
    </xf>
    <xf numFmtId="166" fontId="11" fillId="0" borderId="102" xfId="0" applyNumberFormat="1" applyFont="1" applyBorder="1" applyAlignment="1">
      <alignment horizontal="right"/>
    </xf>
    <xf numFmtId="176" fontId="5" fillId="0" borderId="126" xfId="0" applyNumberFormat="1" applyFont="1" applyBorder="1" applyAlignment="1">
      <alignment horizontal="right"/>
    </xf>
    <xf numFmtId="3" fontId="5" fillId="0" borderId="126" xfId="0" applyNumberFormat="1" applyFont="1" applyBorder="1" applyAlignment="1">
      <alignment horizontal="right"/>
    </xf>
    <xf numFmtId="4" fontId="5" fillId="0" borderId="126" xfId="0" applyNumberFormat="1" applyFont="1" applyBorder="1" applyAlignment="1">
      <alignment horizontal="right"/>
    </xf>
    <xf numFmtId="3" fontId="5" fillId="0" borderId="126" xfId="0" applyNumberFormat="1" applyFont="1" applyBorder="1"/>
    <xf numFmtId="3" fontId="10" fillId="0" borderId="101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0" fillId="0" borderId="18" xfId="0" applyNumberFormat="1" applyFont="1" applyBorder="1" applyAlignment="1">
      <alignment horizontal="right"/>
    </xf>
    <xf numFmtId="3" fontId="10" fillId="0" borderId="33" xfId="0" applyNumberFormat="1" applyFont="1" applyBorder="1" applyAlignment="1">
      <alignment horizontal="center"/>
    </xf>
    <xf numFmtId="3" fontId="11" fillId="0" borderId="126" xfId="0" applyNumberFormat="1" applyFont="1" applyBorder="1"/>
    <xf numFmtId="166" fontId="11" fillId="0" borderId="126" xfId="0" applyNumberFormat="1" applyFont="1" applyBorder="1"/>
    <xf numFmtId="166" fontId="11" fillId="0" borderId="102" xfId="0" applyNumberFormat="1" applyFont="1" applyBorder="1"/>
    <xf numFmtId="166" fontId="11" fillId="0" borderId="18" xfId="0" applyNumberFormat="1" applyFont="1" applyBorder="1" applyAlignment="1">
      <alignment horizontal="right"/>
    </xf>
    <xf numFmtId="166" fontId="10" fillId="0" borderId="102" xfId="0" applyNumberFormat="1" applyFont="1" applyBorder="1" applyAlignment="1">
      <alignment horizontal="right"/>
    </xf>
    <xf numFmtId="166" fontId="11" fillId="0" borderId="18" xfId="0" applyNumberFormat="1" applyFont="1" applyBorder="1"/>
    <xf numFmtId="3" fontId="34" fillId="0" borderId="126" xfId="0" applyNumberFormat="1" applyFont="1" applyBorder="1"/>
    <xf numFmtId="166" fontId="34" fillId="0" borderId="126" xfId="0" applyNumberFormat="1" applyFont="1" applyBorder="1"/>
    <xf numFmtId="166" fontId="34" fillId="0" borderId="102" xfId="0" applyNumberFormat="1" applyFont="1" applyBorder="1"/>
    <xf numFmtId="3" fontId="34" fillId="0" borderId="126" xfId="0" applyNumberFormat="1" applyFont="1" applyBorder="1" applyAlignment="1">
      <alignment horizontal="right"/>
    </xf>
    <xf numFmtId="0" fontId="5" fillId="0" borderId="126" xfId="0" applyFont="1" applyBorder="1"/>
    <xf numFmtId="9" fontId="34" fillId="0" borderId="126" xfId="0" applyNumberFormat="1" applyFont="1" applyBorder="1"/>
    <xf numFmtId="166" fontId="34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6" fontId="34" fillId="0" borderId="52" xfId="0" applyNumberFormat="1" applyFont="1" applyBorder="1"/>
    <xf numFmtId="166" fontId="34" fillId="0" borderId="53" xfId="0" applyNumberFormat="1" applyFont="1" applyBorder="1"/>
    <xf numFmtId="3" fontId="34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1" fillId="0" borderId="52" xfId="0" applyNumberFormat="1" applyFont="1" applyBorder="1" applyAlignment="1">
      <alignment horizontal="right"/>
    </xf>
    <xf numFmtId="166" fontId="11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6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0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11" fillId="0" borderId="0" xfId="0" applyNumberFormat="1" applyFont="1" applyBorder="1"/>
    <xf numFmtId="166" fontId="11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1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11" fillId="0" borderId="2" xfId="0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4" fillId="0" borderId="2" xfId="0" applyNumberFormat="1" applyFont="1" applyBorder="1"/>
    <xf numFmtId="3" fontId="10" fillId="0" borderId="64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1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04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05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Procenta" xfId="82" builtinId="5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1.4079683660942446</c:v>
                </c:pt>
                <c:pt idx="1">
                  <c:v>1.3096884358141312</c:v>
                </c:pt>
                <c:pt idx="2">
                  <c:v>1.3867663640296815</c:v>
                </c:pt>
                <c:pt idx="3">
                  <c:v>1.5177580688619523</c:v>
                </c:pt>
                <c:pt idx="4">
                  <c:v>1.2466570248499589</c:v>
                </c:pt>
                <c:pt idx="5">
                  <c:v>1.2565046954030763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5568"/>
        <c:axId val="137391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1.0844141606460493</c:v>
                </c:pt>
                <c:pt idx="1">
                  <c:v>1.0844141606460493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8832"/>
        <c:axId val="1373906112"/>
      </c:scatterChart>
      <c:catAx>
        <c:axId val="137390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5568"/>
        <c:crosses val="autoZero"/>
        <c:crossBetween val="between"/>
      </c:valAx>
      <c:valAx>
        <c:axId val="1373908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6112"/>
        <c:crosses val="max"/>
        <c:crossBetween val="midCat"/>
      </c:valAx>
      <c:valAx>
        <c:axId val="1373906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8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0.97048369649204136</c:v>
                </c:pt>
                <c:pt idx="1">
                  <c:v>0.97344313870639398</c:v>
                </c:pt>
                <c:pt idx="2">
                  <c:v>1.0141760519975345</c:v>
                </c:pt>
                <c:pt idx="3">
                  <c:v>0.95118158985218693</c:v>
                </c:pt>
                <c:pt idx="4">
                  <c:v>0.97691962694205181</c:v>
                </c:pt>
                <c:pt idx="5">
                  <c:v>0.99430595632301577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30208"/>
        <c:axId val="2469236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25856"/>
        <c:axId val="246930752"/>
      </c:scatterChart>
      <c:catAx>
        <c:axId val="24693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69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23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6930208"/>
        <c:crosses val="autoZero"/>
        <c:crossBetween val="between"/>
      </c:valAx>
      <c:valAx>
        <c:axId val="246925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6930752"/>
        <c:crosses val="max"/>
        <c:crossBetween val="midCat"/>
      </c:valAx>
      <c:valAx>
        <c:axId val="2469307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69258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8" bestFit="1" customWidth="1"/>
    <col min="2" max="2" width="102.21875" style="248" bestFit="1" customWidth="1"/>
    <col min="3" max="3" width="16.109375" style="48" hidden="1" customWidth="1"/>
    <col min="4" max="16384" width="8.88671875" style="248"/>
  </cols>
  <sheetData>
    <row r="1" spans="1:3" ht="18.600000000000001" customHeight="1" thickBot="1" x14ac:dyDescent="0.4">
      <c r="A1" s="470" t="s">
        <v>126</v>
      </c>
      <c r="B1" s="470"/>
    </row>
    <row r="2" spans="1:3" ht="14.4" customHeight="1" thickBot="1" x14ac:dyDescent="0.35">
      <c r="A2" s="375" t="s">
        <v>320</v>
      </c>
      <c r="B2" s="47"/>
    </row>
    <row r="3" spans="1:3" ht="14.4" customHeight="1" thickBot="1" x14ac:dyDescent="0.35">
      <c r="A3" s="466" t="s">
        <v>176</v>
      </c>
      <c r="B3" s="467"/>
    </row>
    <row r="4" spans="1:3" ht="14.4" customHeight="1" x14ac:dyDescent="0.3">
      <c r="A4" s="264" t="str">
        <f t="shared" ref="A4:A7" si="0">HYPERLINK("#'"&amp;C4&amp;"'!A1",C4)</f>
        <v>Motivace</v>
      </c>
      <c r="B4" s="177" t="s">
        <v>145</v>
      </c>
      <c r="C4" s="48" t="s">
        <v>146</v>
      </c>
    </row>
    <row r="5" spans="1:3" ht="14.4" customHeight="1" x14ac:dyDescent="0.3">
      <c r="A5" s="265" t="str">
        <f t="shared" si="0"/>
        <v>HI</v>
      </c>
      <c r="B5" s="178" t="s">
        <v>169</v>
      </c>
      <c r="C5" s="48" t="s">
        <v>130</v>
      </c>
    </row>
    <row r="6" spans="1:3" ht="14.4" customHeight="1" x14ac:dyDescent="0.3">
      <c r="A6" s="266" t="str">
        <f t="shared" si="0"/>
        <v>HI Graf</v>
      </c>
      <c r="B6" s="179" t="s">
        <v>122</v>
      </c>
      <c r="C6" s="48" t="s">
        <v>131</v>
      </c>
    </row>
    <row r="7" spans="1:3" ht="14.4" customHeight="1" thickBot="1" x14ac:dyDescent="0.35">
      <c r="A7" s="266" t="str">
        <f t="shared" si="0"/>
        <v>Man Tab</v>
      </c>
      <c r="B7" s="179" t="s">
        <v>322</v>
      </c>
      <c r="C7" s="48" t="s">
        <v>132</v>
      </c>
    </row>
    <row r="8" spans="1:3" ht="14.4" customHeight="1" thickBot="1" x14ac:dyDescent="0.35">
      <c r="A8" s="180"/>
      <c r="B8" s="180"/>
    </row>
    <row r="9" spans="1:3" ht="14.4" customHeight="1" thickBot="1" x14ac:dyDescent="0.35">
      <c r="A9" s="468" t="s">
        <v>127</v>
      </c>
      <c r="B9" s="467"/>
    </row>
    <row r="10" spans="1:3" ht="14.4" customHeight="1" x14ac:dyDescent="0.3">
      <c r="A10" s="267" t="str">
        <f t="shared" ref="A10" si="1">HYPERLINK("#'"&amp;C10&amp;"'!A1",C10)</f>
        <v>Léky Žádanky</v>
      </c>
      <c r="B10" s="178" t="s">
        <v>170</v>
      </c>
      <c r="C10" s="48" t="s">
        <v>133</v>
      </c>
    </row>
    <row r="11" spans="1:3" ht="14.4" customHeight="1" x14ac:dyDescent="0.3">
      <c r="A11" s="266" t="str">
        <f t="shared" ref="A11:A22" si="2">HYPERLINK("#'"&amp;C11&amp;"'!A1",C11)</f>
        <v>LŽ Detail</v>
      </c>
      <c r="B11" s="179" t="s">
        <v>199</v>
      </c>
      <c r="C11" s="48" t="s">
        <v>134</v>
      </c>
    </row>
    <row r="12" spans="1:3" ht="28.8" customHeight="1" x14ac:dyDescent="0.3">
      <c r="A12" s="266" t="str">
        <f t="shared" si="2"/>
        <v>LŽ PL</v>
      </c>
      <c r="B12" s="642" t="s">
        <v>200</v>
      </c>
      <c r="C12" s="48" t="s">
        <v>179</v>
      </c>
    </row>
    <row r="13" spans="1:3" ht="14.4" customHeight="1" x14ac:dyDescent="0.3">
      <c r="A13" s="266" t="str">
        <f t="shared" si="2"/>
        <v>LŽ PL Detail</v>
      </c>
      <c r="B13" s="179" t="s">
        <v>1237</v>
      </c>
      <c r="C13" s="48" t="s">
        <v>181</v>
      </c>
    </row>
    <row r="14" spans="1:3" ht="14.4" customHeight="1" x14ac:dyDescent="0.3">
      <c r="A14" s="266" t="str">
        <f t="shared" si="2"/>
        <v>LŽ Statim</v>
      </c>
      <c r="B14" s="454" t="s">
        <v>291</v>
      </c>
      <c r="C14" s="48" t="s">
        <v>301</v>
      </c>
    </row>
    <row r="15" spans="1:3" ht="14.4" customHeight="1" x14ac:dyDescent="0.3">
      <c r="A15" s="266" t="str">
        <f t="shared" si="2"/>
        <v>Léky Recepty</v>
      </c>
      <c r="B15" s="179" t="s">
        <v>171</v>
      </c>
      <c r="C15" s="48" t="s">
        <v>135</v>
      </c>
    </row>
    <row r="16" spans="1:3" ht="14.4" customHeight="1" x14ac:dyDescent="0.3">
      <c r="A16" s="266" t="str">
        <f t="shared" si="2"/>
        <v>LRp Lékaři</v>
      </c>
      <c r="B16" s="179" t="s">
        <v>184</v>
      </c>
      <c r="C16" s="48" t="s">
        <v>185</v>
      </c>
    </row>
    <row r="17" spans="1:3" ht="14.4" customHeight="1" x14ac:dyDescent="0.3">
      <c r="A17" s="266" t="str">
        <f t="shared" si="2"/>
        <v>LRp Detail</v>
      </c>
      <c r="B17" s="179" t="s">
        <v>1786</v>
      </c>
      <c r="C17" s="48" t="s">
        <v>136</v>
      </c>
    </row>
    <row r="18" spans="1:3" ht="28.8" customHeight="1" x14ac:dyDescent="0.3">
      <c r="A18" s="266" t="str">
        <f t="shared" si="2"/>
        <v>LRp PL</v>
      </c>
      <c r="B18" s="642" t="s">
        <v>1787</v>
      </c>
      <c r="C18" s="48" t="s">
        <v>180</v>
      </c>
    </row>
    <row r="19" spans="1:3" ht="14.4" customHeight="1" x14ac:dyDescent="0.3">
      <c r="A19" s="266" t="str">
        <f>HYPERLINK("#'"&amp;C19&amp;"'!A1",C19)</f>
        <v>LRp PL Detail</v>
      </c>
      <c r="B19" s="179" t="s">
        <v>1808</v>
      </c>
      <c r="C19" s="48" t="s">
        <v>182</v>
      </c>
    </row>
    <row r="20" spans="1:3" ht="14.4" customHeight="1" x14ac:dyDescent="0.3">
      <c r="A20" s="267" t="str">
        <f t="shared" ref="A20" si="3">HYPERLINK("#'"&amp;C20&amp;"'!A1",C20)</f>
        <v>Materiál Žádanky</v>
      </c>
      <c r="B20" s="179" t="s">
        <v>172</v>
      </c>
      <c r="C20" s="48" t="s">
        <v>137</v>
      </c>
    </row>
    <row r="21" spans="1:3" ht="14.4" customHeight="1" x14ac:dyDescent="0.3">
      <c r="A21" s="266" t="str">
        <f t="shared" si="2"/>
        <v>MŽ Detail</v>
      </c>
      <c r="B21" s="179" t="s">
        <v>2340</v>
      </c>
      <c r="C21" s="48" t="s">
        <v>138</v>
      </c>
    </row>
    <row r="22" spans="1:3" ht="14.4" customHeight="1" thickBot="1" x14ac:dyDescent="0.35">
      <c r="A22" s="267" t="str">
        <f t="shared" si="2"/>
        <v>Osobní náklady</v>
      </c>
      <c r="B22" s="179" t="s">
        <v>124</v>
      </c>
      <c r="C22" s="48" t="s">
        <v>139</v>
      </c>
    </row>
    <row r="23" spans="1:3" ht="14.4" customHeight="1" thickBot="1" x14ac:dyDescent="0.35">
      <c r="A23" s="181"/>
      <c r="B23" s="181"/>
    </row>
    <row r="24" spans="1:3" ht="14.4" customHeight="1" thickBot="1" x14ac:dyDescent="0.35">
      <c r="A24" s="469" t="s">
        <v>128</v>
      </c>
      <c r="B24" s="467"/>
    </row>
    <row r="25" spans="1:3" ht="14.4" customHeight="1" x14ac:dyDescent="0.3">
      <c r="A25" s="268" t="str">
        <f t="shared" ref="A25:A35" si="4">HYPERLINK("#'"&amp;C25&amp;"'!A1",C25)</f>
        <v>ZV Vykáz.-A</v>
      </c>
      <c r="B25" s="178" t="s">
        <v>2345</v>
      </c>
      <c r="C25" s="48" t="s">
        <v>147</v>
      </c>
    </row>
    <row r="26" spans="1:3" ht="14.4" customHeight="1" x14ac:dyDescent="0.3">
      <c r="A26" s="266" t="str">
        <f t="shared" ref="A26" si="5">HYPERLINK("#'"&amp;C26&amp;"'!A1",C26)</f>
        <v>ZV Vykáz.-A Lékaři</v>
      </c>
      <c r="B26" s="179" t="s">
        <v>2355</v>
      </c>
      <c r="C26" s="48" t="s">
        <v>304</v>
      </c>
    </row>
    <row r="27" spans="1:3" ht="14.4" customHeight="1" x14ac:dyDescent="0.3">
      <c r="A27" s="266" t="str">
        <f t="shared" si="4"/>
        <v>ZV Vykáz.-A Detail</v>
      </c>
      <c r="B27" s="179" t="s">
        <v>2508</v>
      </c>
      <c r="C27" s="48" t="s">
        <v>148</v>
      </c>
    </row>
    <row r="28" spans="1:3" ht="14.4" customHeight="1" x14ac:dyDescent="0.3">
      <c r="A28" s="266" t="str">
        <f t="shared" si="4"/>
        <v>ZV Vykáz.-H</v>
      </c>
      <c r="B28" s="179" t="s">
        <v>151</v>
      </c>
      <c r="C28" s="48" t="s">
        <v>149</v>
      </c>
    </row>
    <row r="29" spans="1:3" ht="14.4" customHeight="1" x14ac:dyDescent="0.3">
      <c r="A29" s="266" t="str">
        <f t="shared" si="4"/>
        <v>ZV Vykáz.-H Detail</v>
      </c>
      <c r="B29" s="179" t="s">
        <v>2799</v>
      </c>
      <c r="C29" s="48" t="s">
        <v>150</v>
      </c>
    </row>
    <row r="30" spans="1:3" ht="14.4" customHeight="1" x14ac:dyDescent="0.3">
      <c r="A30" s="268" t="str">
        <f t="shared" si="4"/>
        <v>CaseMix</v>
      </c>
      <c r="B30" s="179" t="s">
        <v>129</v>
      </c>
      <c r="C30" s="48" t="s">
        <v>140</v>
      </c>
    </row>
    <row r="31" spans="1:3" ht="14.4" customHeight="1" x14ac:dyDescent="0.3">
      <c r="A31" s="266" t="str">
        <f t="shared" si="4"/>
        <v>ALOS</v>
      </c>
      <c r="B31" s="179" t="s">
        <v>109</v>
      </c>
      <c r="C31" s="48" t="s">
        <v>80</v>
      </c>
    </row>
    <row r="32" spans="1:3" ht="14.4" customHeight="1" x14ac:dyDescent="0.3">
      <c r="A32" s="266" t="str">
        <f t="shared" si="4"/>
        <v>Total</v>
      </c>
      <c r="B32" s="179" t="s">
        <v>2942</v>
      </c>
      <c r="C32" s="48" t="s">
        <v>141</v>
      </c>
    </row>
    <row r="33" spans="1:3" ht="14.4" customHeight="1" x14ac:dyDescent="0.3">
      <c r="A33" s="266" t="str">
        <f t="shared" si="4"/>
        <v>ZV Vyžád.</v>
      </c>
      <c r="B33" s="179" t="s">
        <v>152</v>
      </c>
      <c r="C33" s="48" t="s">
        <v>144</v>
      </c>
    </row>
    <row r="34" spans="1:3" ht="14.4" customHeight="1" x14ac:dyDescent="0.3">
      <c r="A34" s="266" t="str">
        <f t="shared" si="4"/>
        <v>ZV Vyžád. Detail</v>
      </c>
      <c r="B34" s="179" t="s">
        <v>3286</v>
      </c>
      <c r="C34" s="48" t="s">
        <v>143</v>
      </c>
    </row>
    <row r="35" spans="1:3" ht="14.4" customHeight="1" x14ac:dyDescent="0.3">
      <c r="A35" s="266" t="str">
        <f t="shared" si="4"/>
        <v>OD TISS</v>
      </c>
      <c r="B35" s="179" t="s">
        <v>175</v>
      </c>
      <c r="C35" s="48" t="s">
        <v>142</v>
      </c>
    </row>
  </sheetData>
  <mergeCells count="4">
    <mergeCell ref="A3:B3"/>
    <mergeCell ref="A9:B9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8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8"/>
  </cols>
  <sheetData>
    <row r="1" spans="1:17" ht="18.600000000000001" customHeight="1" thickBot="1" x14ac:dyDescent="0.4">
      <c r="A1" s="498" t="s">
        <v>291</v>
      </c>
      <c r="B1" s="498"/>
      <c r="C1" s="498"/>
      <c r="D1" s="498"/>
      <c r="E1" s="498"/>
      <c r="F1" s="471"/>
      <c r="G1" s="471"/>
      <c r="H1" s="471"/>
      <c r="I1" s="471"/>
      <c r="J1" s="491"/>
      <c r="K1" s="491"/>
      <c r="L1" s="491"/>
      <c r="M1" s="491"/>
      <c r="N1" s="491"/>
      <c r="O1" s="491"/>
      <c r="P1" s="491"/>
      <c r="Q1" s="491"/>
    </row>
    <row r="2" spans="1:17" ht="14.4" customHeight="1" thickBot="1" x14ac:dyDescent="0.35">
      <c r="A2" s="375" t="s">
        <v>320</v>
      </c>
      <c r="B2" s="336"/>
      <c r="C2" s="336"/>
      <c r="D2" s="336"/>
      <c r="E2" s="336"/>
    </row>
    <row r="3" spans="1:17" ht="14.4" customHeight="1" thickBot="1" x14ac:dyDescent="0.35">
      <c r="A3" s="447" t="s">
        <v>3</v>
      </c>
      <c r="B3" s="451">
        <f>SUM(B6:B1048576)</f>
        <v>1012</v>
      </c>
      <c r="C3" s="452">
        <f>SUM(C6:C1048576)</f>
        <v>160</v>
      </c>
      <c r="D3" s="452">
        <f>SUM(D6:D1048576)</f>
        <v>85</v>
      </c>
      <c r="E3" s="453">
        <f>SUM(E6:E1048576)</f>
        <v>0</v>
      </c>
      <c r="F3" s="450">
        <f>IF(SUM($B3:$E3)=0,"",B3/SUM($B3:$E3))</f>
        <v>0.80509148766905325</v>
      </c>
      <c r="G3" s="448">
        <f t="shared" ref="G3:I3" si="0">IF(SUM($B3:$E3)=0,"",C3/SUM($B3:$E3))</f>
        <v>0.12728719172633254</v>
      </c>
      <c r="H3" s="448">
        <f t="shared" si="0"/>
        <v>6.7621320604614163E-2</v>
      </c>
      <c r="I3" s="449">
        <f t="shared" si="0"/>
        <v>0</v>
      </c>
      <c r="J3" s="452">
        <f>SUM(J6:J1048576)</f>
        <v>260</v>
      </c>
      <c r="K3" s="452">
        <f>SUM(K6:K1048576)</f>
        <v>89</v>
      </c>
      <c r="L3" s="452">
        <f>SUM(L6:L1048576)</f>
        <v>85</v>
      </c>
      <c r="M3" s="453">
        <f>SUM(M6:M1048576)</f>
        <v>0</v>
      </c>
      <c r="N3" s="450">
        <f>IF(SUM($J3:$M3)=0,"",J3/SUM($J3:$M3))</f>
        <v>0.59907834101382484</v>
      </c>
      <c r="O3" s="448">
        <f t="shared" ref="O3:Q3" si="1">IF(SUM($J3:$M3)=0,"",K3/SUM($J3:$M3))</f>
        <v>0.20506912442396313</v>
      </c>
      <c r="P3" s="448">
        <f t="shared" si="1"/>
        <v>0.19585253456221199</v>
      </c>
      <c r="Q3" s="449">
        <f t="shared" si="1"/>
        <v>0</v>
      </c>
    </row>
    <row r="4" spans="1:17" ht="14.4" customHeight="1" thickBot="1" x14ac:dyDescent="0.35">
      <c r="A4" s="446"/>
      <c r="B4" s="511" t="s">
        <v>293</v>
      </c>
      <c r="C4" s="512"/>
      <c r="D4" s="512"/>
      <c r="E4" s="513"/>
      <c r="F4" s="508" t="s">
        <v>298</v>
      </c>
      <c r="G4" s="509"/>
      <c r="H4" s="509"/>
      <c r="I4" s="510"/>
      <c r="J4" s="511" t="s">
        <v>299</v>
      </c>
      <c r="K4" s="512"/>
      <c r="L4" s="512"/>
      <c r="M4" s="513"/>
      <c r="N4" s="508" t="s">
        <v>300</v>
      </c>
      <c r="O4" s="509"/>
      <c r="P4" s="509"/>
      <c r="Q4" s="510"/>
    </row>
    <row r="5" spans="1:17" ht="14.4" customHeight="1" thickBot="1" x14ac:dyDescent="0.35">
      <c r="A5" s="646" t="s">
        <v>292</v>
      </c>
      <c r="B5" s="647" t="s">
        <v>294</v>
      </c>
      <c r="C5" s="647" t="s">
        <v>295</v>
      </c>
      <c r="D5" s="647" t="s">
        <v>296</v>
      </c>
      <c r="E5" s="648" t="s">
        <v>297</v>
      </c>
      <c r="F5" s="649" t="s">
        <v>294</v>
      </c>
      <c r="G5" s="650" t="s">
        <v>295</v>
      </c>
      <c r="H5" s="650" t="s">
        <v>296</v>
      </c>
      <c r="I5" s="651" t="s">
        <v>297</v>
      </c>
      <c r="J5" s="647" t="s">
        <v>294</v>
      </c>
      <c r="K5" s="647" t="s">
        <v>295</v>
      </c>
      <c r="L5" s="647" t="s">
        <v>296</v>
      </c>
      <c r="M5" s="648" t="s">
        <v>297</v>
      </c>
      <c r="N5" s="649" t="s">
        <v>294</v>
      </c>
      <c r="O5" s="650" t="s">
        <v>295</v>
      </c>
      <c r="P5" s="650" t="s">
        <v>296</v>
      </c>
      <c r="Q5" s="651" t="s">
        <v>297</v>
      </c>
    </row>
    <row r="6" spans="1:17" ht="14.4" customHeight="1" x14ac:dyDescent="0.3">
      <c r="A6" s="655" t="s">
        <v>1238</v>
      </c>
      <c r="B6" s="661"/>
      <c r="C6" s="611"/>
      <c r="D6" s="611"/>
      <c r="E6" s="612"/>
      <c r="F6" s="658"/>
      <c r="G6" s="629"/>
      <c r="H6" s="629"/>
      <c r="I6" s="664"/>
      <c r="J6" s="661"/>
      <c r="K6" s="611"/>
      <c r="L6" s="611"/>
      <c r="M6" s="612"/>
      <c r="N6" s="658"/>
      <c r="O6" s="629"/>
      <c r="P6" s="629"/>
      <c r="Q6" s="652"/>
    </row>
    <row r="7" spans="1:17" ht="14.4" customHeight="1" x14ac:dyDescent="0.3">
      <c r="A7" s="656" t="s">
        <v>1239</v>
      </c>
      <c r="B7" s="662">
        <v>435</v>
      </c>
      <c r="C7" s="617">
        <v>159</v>
      </c>
      <c r="D7" s="617">
        <v>85</v>
      </c>
      <c r="E7" s="618"/>
      <c r="F7" s="659">
        <v>0.64064801178203246</v>
      </c>
      <c r="G7" s="630">
        <v>0.2341678939617084</v>
      </c>
      <c r="H7" s="630">
        <v>0.1251840942562592</v>
      </c>
      <c r="I7" s="665">
        <v>0</v>
      </c>
      <c r="J7" s="662">
        <v>78</v>
      </c>
      <c r="K7" s="617">
        <v>88</v>
      </c>
      <c r="L7" s="617">
        <v>85</v>
      </c>
      <c r="M7" s="618"/>
      <c r="N7" s="659">
        <v>0.31075697211155379</v>
      </c>
      <c r="O7" s="630">
        <v>0.35059760956175301</v>
      </c>
      <c r="P7" s="630">
        <v>0.3386454183266932</v>
      </c>
      <c r="Q7" s="653">
        <v>0</v>
      </c>
    </row>
    <row r="8" spans="1:17" ht="14.4" customHeight="1" x14ac:dyDescent="0.3">
      <c r="A8" s="656" t="s">
        <v>1240</v>
      </c>
      <c r="B8" s="662">
        <v>204</v>
      </c>
      <c r="C8" s="617">
        <v>1</v>
      </c>
      <c r="D8" s="617"/>
      <c r="E8" s="618"/>
      <c r="F8" s="659">
        <v>0.99512195121951219</v>
      </c>
      <c r="G8" s="630">
        <v>4.8780487804878049E-3</v>
      </c>
      <c r="H8" s="630">
        <v>0</v>
      </c>
      <c r="I8" s="665">
        <v>0</v>
      </c>
      <c r="J8" s="662">
        <v>57</v>
      </c>
      <c r="K8" s="617">
        <v>1</v>
      </c>
      <c r="L8" s="617"/>
      <c r="M8" s="618"/>
      <c r="N8" s="659">
        <v>0.98275862068965514</v>
      </c>
      <c r="O8" s="630">
        <v>1.7241379310344827E-2</v>
      </c>
      <c r="P8" s="630">
        <v>0</v>
      </c>
      <c r="Q8" s="653">
        <v>0</v>
      </c>
    </row>
    <row r="9" spans="1:17" ht="14.4" customHeight="1" x14ac:dyDescent="0.3">
      <c r="A9" s="656" t="s">
        <v>1241</v>
      </c>
      <c r="B9" s="662">
        <v>199</v>
      </c>
      <c r="C9" s="617"/>
      <c r="D9" s="617"/>
      <c r="E9" s="618"/>
      <c r="F9" s="659">
        <v>1</v>
      </c>
      <c r="G9" s="630">
        <v>0</v>
      </c>
      <c r="H9" s="630">
        <v>0</v>
      </c>
      <c r="I9" s="665">
        <v>0</v>
      </c>
      <c r="J9" s="662">
        <v>53</v>
      </c>
      <c r="K9" s="617"/>
      <c r="L9" s="617"/>
      <c r="M9" s="618"/>
      <c r="N9" s="659">
        <v>1</v>
      </c>
      <c r="O9" s="630">
        <v>0</v>
      </c>
      <c r="P9" s="630">
        <v>0</v>
      </c>
      <c r="Q9" s="653">
        <v>0</v>
      </c>
    </row>
    <row r="10" spans="1:17" ht="14.4" customHeight="1" thickBot="1" x14ac:dyDescent="0.35">
      <c r="A10" s="657" t="s">
        <v>1242</v>
      </c>
      <c r="B10" s="663">
        <v>174</v>
      </c>
      <c r="C10" s="623"/>
      <c r="D10" s="623"/>
      <c r="E10" s="624"/>
      <c r="F10" s="660">
        <v>1</v>
      </c>
      <c r="G10" s="631">
        <v>0</v>
      </c>
      <c r="H10" s="631">
        <v>0</v>
      </c>
      <c r="I10" s="666">
        <v>0</v>
      </c>
      <c r="J10" s="663">
        <v>72</v>
      </c>
      <c r="K10" s="623"/>
      <c r="L10" s="623"/>
      <c r="M10" s="624"/>
      <c r="N10" s="660">
        <v>1</v>
      </c>
      <c r="O10" s="631">
        <v>0</v>
      </c>
      <c r="P10" s="631">
        <v>0</v>
      </c>
      <c r="Q10" s="6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8" customWidth="1"/>
    <col min="2" max="2" width="34.21875" style="248" customWidth="1"/>
    <col min="3" max="3" width="11.109375" style="248" bestFit="1" customWidth="1"/>
    <col min="4" max="4" width="7.33203125" style="248" bestFit="1" customWidth="1"/>
    <col min="5" max="5" width="11.109375" style="248" bestFit="1" customWidth="1"/>
    <col min="6" max="6" width="5.33203125" style="248" customWidth="1"/>
    <col min="7" max="7" width="7.33203125" style="248" bestFit="1" customWidth="1"/>
    <col min="8" max="8" width="5.33203125" style="248" customWidth="1"/>
    <col min="9" max="9" width="11.109375" style="248" customWidth="1"/>
    <col min="10" max="10" width="5.33203125" style="248" customWidth="1"/>
    <col min="11" max="11" width="7.33203125" style="248" customWidth="1"/>
    <col min="12" max="12" width="5.33203125" style="248" customWidth="1"/>
    <col min="13" max="13" width="0" style="248" hidden="1" customWidth="1"/>
    <col min="14" max="16384" width="8.88671875" style="248"/>
  </cols>
  <sheetData>
    <row r="1" spans="1:14" ht="18.600000000000001" customHeight="1" thickBot="1" x14ac:dyDescent="0.4">
      <c r="A1" s="498" t="s">
        <v>171</v>
      </c>
      <c r="B1" s="498"/>
      <c r="C1" s="498"/>
      <c r="D1" s="498"/>
      <c r="E1" s="498"/>
      <c r="F1" s="498"/>
      <c r="G1" s="498"/>
      <c r="H1" s="498"/>
      <c r="I1" s="471"/>
      <c r="J1" s="471"/>
      <c r="K1" s="471"/>
      <c r="L1" s="471"/>
    </row>
    <row r="2" spans="1:14" ht="14.4" customHeight="1" thickBot="1" x14ac:dyDescent="0.35">
      <c r="A2" s="375" t="s">
        <v>320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15" t="s">
        <v>15</v>
      </c>
      <c r="D3" s="514"/>
      <c r="E3" s="514" t="s">
        <v>16</v>
      </c>
      <c r="F3" s="514"/>
      <c r="G3" s="514"/>
      <c r="H3" s="514"/>
      <c r="I3" s="514" t="s">
        <v>183</v>
      </c>
      <c r="J3" s="514"/>
      <c r="K3" s="514"/>
      <c r="L3" s="516"/>
    </row>
    <row r="4" spans="1:14" ht="14.4" customHeight="1" thickBot="1" x14ac:dyDescent="0.35">
      <c r="A4" s="101" t="s">
        <v>17</v>
      </c>
      <c r="B4" s="102" t="s">
        <v>18</v>
      </c>
      <c r="C4" s="103" t="s">
        <v>19</v>
      </c>
      <c r="D4" s="103" t="s">
        <v>20</v>
      </c>
      <c r="E4" s="103" t="s">
        <v>19</v>
      </c>
      <c r="F4" s="103" t="s">
        <v>2</v>
      </c>
      <c r="G4" s="103" t="s">
        <v>20</v>
      </c>
      <c r="H4" s="103" t="s">
        <v>2</v>
      </c>
      <c r="I4" s="103" t="s">
        <v>19</v>
      </c>
      <c r="J4" s="103" t="s">
        <v>2</v>
      </c>
      <c r="K4" s="103" t="s">
        <v>20</v>
      </c>
      <c r="L4" s="104" t="s">
        <v>2</v>
      </c>
    </row>
    <row r="5" spans="1:14" ht="14.4" customHeight="1" x14ac:dyDescent="0.3">
      <c r="A5" s="597">
        <v>25</v>
      </c>
      <c r="B5" s="598" t="s">
        <v>1112</v>
      </c>
      <c r="C5" s="601">
        <v>250219.40000000002</v>
      </c>
      <c r="D5" s="601">
        <v>1502.5</v>
      </c>
      <c r="E5" s="601">
        <v>105018.23000000007</v>
      </c>
      <c r="F5" s="667">
        <v>0.41970458725422594</v>
      </c>
      <c r="G5" s="601">
        <v>555</v>
      </c>
      <c r="H5" s="667">
        <v>0.36938435940099834</v>
      </c>
      <c r="I5" s="601">
        <v>145201.16999999995</v>
      </c>
      <c r="J5" s="667">
        <v>0.58029541274577412</v>
      </c>
      <c r="K5" s="601">
        <v>947.5</v>
      </c>
      <c r="L5" s="667">
        <v>0.63061564059900166</v>
      </c>
      <c r="M5" s="601" t="s">
        <v>68</v>
      </c>
      <c r="N5" s="269"/>
    </row>
    <row r="6" spans="1:14" ht="14.4" customHeight="1" x14ac:dyDescent="0.3">
      <c r="A6" s="597">
        <v>25</v>
      </c>
      <c r="B6" s="598" t="s">
        <v>1243</v>
      </c>
      <c r="C6" s="601">
        <v>250219.40000000002</v>
      </c>
      <c r="D6" s="601">
        <v>1494.5</v>
      </c>
      <c r="E6" s="601">
        <v>105018.23000000007</v>
      </c>
      <c r="F6" s="667">
        <v>0.41970458725422594</v>
      </c>
      <c r="G6" s="601">
        <v>550</v>
      </c>
      <c r="H6" s="667">
        <v>0.36801605888256944</v>
      </c>
      <c r="I6" s="601">
        <v>145201.16999999995</v>
      </c>
      <c r="J6" s="667">
        <v>0.58029541274577412</v>
      </c>
      <c r="K6" s="601">
        <v>944.5</v>
      </c>
      <c r="L6" s="667">
        <v>0.63198394111743061</v>
      </c>
      <c r="M6" s="601" t="s">
        <v>1</v>
      </c>
      <c r="N6" s="269"/>
    </row>
    <row r="7" spans="1:14" ht="14.4" customHeight="1" x14ac:dyDescent="0.3">
      <c r="A7" s="597">
        <v>25</v>
      </c>
      <c r="B7" s="598" t="s">
        <v>1244</v>
      </c>
      <c r="C7" s="601">
        <v>0</v>
      </c>
      <c r="D7" s="601">
        <v>8</v>
      </c>
      <c r="E7" s="601">
        <v>0</v>
      </c>
      <c r="F7" s="667" t="s">
        <v>325</v>
      </c>
      <c r="G7" s="601">
        <v>5</v>
      </c>
      <c r="H7" s="667">
        <v>0.625</v>
      </c>
      <c r="I7" s="601">
        <v>0</v>
      </c>
      <c r="J7" s="667" t="s">
        <v>325</v>
      </c>
      <c r="K7" s="601">
        <v>3</v>
      </c>
      <c r="L7" s="667">
        <v>0.375</v>
      </c>
      <c r="M7" s="601" t="s">
        <v>1</v>
      </c>
      <c r="N7" s="269"/>
    </row>
    <row r="8" spans="1:14" ht="14.4" customHeight="1" x14ac:dyDescent="0.3">
      <c r="A8" s="597" t="s">
        <v>323</v>
      </c>
      <c r="B8" s="598" t="s">
        <v>3</v>
      </c>
      <c r="C8" s="601">
        <v>250219.40000000002</v>
      </c>
      <c r="D8" s="601">
        <v>1502.5</v>
      </c>
      <c r="E8" s="601">
        <v>105018.23000000007</v>
      </c>
      <c r="F8" s="667">
        <v>0.41970458725422594</v>
      </c>
      <c r="G8" s="601">
        <v>555</v>
      </c>
      <c r="H8" s="667">
        <v>0.36938435940099834</v>
      </c>
      <c r="I8" s="601">
        <v>145201.16999999995</v>
      </c>
      <c r="J8" s="667">
        <v>0.58029541274577412</v>
      </c>
      <c r="K8" s="601">
        <v>947.5</v>
      </c>
      <c r="L8" s="667">
        <v>0.63061564059900166</v>
      </c>
      <c r="M8" s="601" t="s">
        <v>334</v>
      </c>
      <c r="N8" s="269"/>
    </row>
    <row r="10" spans="1:14" ht="14.4" customHeight="1" x14ac:dyDescent="0.3">
      <c r="A10" s="597">
        <v>25</v>
      </c>
      <c r="B10" s="598" t="s">
        <v>1112</v>
      </c>
      <c r="C10" s="601" t="s">
        <v>325</v>
      </c>
      <c r="D10" s="601" t="s">
        <v>325</v>
      </c>
      <c r="E10" s="601" t="s">
        <v>325</v>
      </c>
      <c r="F10" s="667" t="s">
        <v>325</v>
      </c>
      <c r="G10" s="601" t="s">
        <v>325</v>
      </c>
      <c r="H10" s="667" t="s">
        <v>325</v>
      </c>
      <c r="I10" s="601" t="s">
        <v>325</v>
      </c>
      <c r="J10" s="667" t="s">
        <v>325</v>
      </c>
      <c r="K10" s="601" t="s">
        <v>325</v>
      </c>
      <c r="L10" s="667" t="s">
        <v>325</v>
      </c>
      <c r="M10" s="601" t="s">
        <v>68</v>
      </c>
      <c r="N10" s="269"/>
    </row>
    <row r="11" spans="1:14" ht="14.4" customHeight="1" x14ac:dyDescent="0.3">
      <c r="A11" s="597" t="s">
        <v>1245</v>
      </c>
      <c r="B11" s="598" t="s">
        <v>1243</v>
      </c>
      <c r="C11" s="601">
        <v>30437.94000000001</v>
      </c>
      <c r="D11" s="601">
        <v>142</v>
      </c>
      <c r="E11" s="601">
        <v>20739.560000000009</v>
      </c>
      <c r="F11" s="667">
        <v>0.68137199823641159</v>
      </c>
      <c r="G11" s="601">
        <v>54</v>
      </c>
      <c r="H11" s="667">
        <v>0.38028169014084506</v>
      </c>
      <c r="I11" s="601">
        <v>9698.3800000000028</v>
      </c>
      <c r="J11" s="667">
        <v>0.31862800176358846</v>
      </c>
      <c r="K11" s="601">
        <v>88</v>
      </c>
      <c r="L11" s="667">
        <v>0.61971830985915488</v>
      </c>
      <c r="M11" s="601" t="s">
        <v>1</v>
      </c>
      <c r="N11" s="269"/>
    </row>
    <row r="12" spans="1:14" ht="14.4" customHeight="1" x14ac:dyDescent="0.3">
      <c r="A12" s="597" t="s">
        <v>1245</v>
      </c>
      <c r="B12" s="598" t="s">
        <v>1244</v>
      </c>
      <c r="C12" s="601">
        <v>0</v>
      </c>
      <c r="D12" s="601">
        <v>1</v>
      </c>
      <c r="E12" s="601">
        <v>0</v>
      </c>
      <c r="F12" s="667" t="s">
        <v>325</v>
      </c>
      <c r="G12" s="601">
        <v>1</v>
      </c>
      <c r="H12" s="667">
        <v>1</v>
      </c>
      <c r="I12" s="601" t="s">
        <v>325</v>
      </c>
      <c r="J12" s="667" t="s">
        <v>325</v>
      </c>
      <c r="K12" s="601" t="s">
        <v>325</v>
      </c>
      <c r="L12" s="667">
        <v>0</v>
      </c>
      <c r="M12" s="601" t="s">
        <v>1</v>
      </c>
      <c r="N12" s="269"/>
    </row>
    <row r="13" spans="1:14" ht="14.4" customHeight="1" x14ac:dyDescent="0.3">
      <c r="A13" s="597" t="s">
        <v>1245</v>
      </c>
      <c r="B13" s="598" t="s">
        <v>1246</v>
      </c>
      <c r="C13" s="601">
        <v>30437.94000000001</v>
      </c>
      <c r="D13" s="601">
        <v>143</v>
      </c>
      <c r="E13" s="601">
        <v>20739.560000000009</v>
      </c>
      <c r="F13" s="667">
        <v>0.68137199823641159</v>
      </c>
      <c r="G13" s="601">
        <v>55</v>
      </c>
      <c r="H13" s="667">
        <v>0.38461538461538464</v>
      </c>
      <c r="I13" s="601">
        <v>9698.3800000000028</v>
      </c>
      <c r="J13" s="667">
        <v>0.31862800176358846</v>
      </c>
      <c r="K13" s="601">
        <v>88</v>
      </c>
      <c r="L13" s="667">
        <v>0.61538461538461542</v>
      </c>
      <c r="M13" s="601" t="s">
        <v>338</v>
      </c>
      <c r="N13" s="269"/>
    </row>
    <row r="14" spans="1:14" ht="14.4" customHeight="1" x14ac:dyDescent="0.3">
      <c r="A14" s="597" t="s">
        <v>325</v>
      </c>
      <c r="B14" s="598" t="s">
        <v>325</v>
      </c>
      <c r="C14" s="601" t="s">
        <v>325</v>
      </c>
      <c r="D14" s="601" t="s">
        <v>325</v>
      </c>
      <c r="E14" s="601" t="s">
        <v>325</v>
      </c>
      <c r="F14" s="667" t="s">
        <v>325</v>
      </c>
      <c r="G14" s="601" t="s">
        <v>325</v>
      </c>
      <c r="H14" s="667" t="s">
        <v>325</v>
      </c>
      <c r="I14" s="601" t="s">
        <v>325</v>
      </c>
      <c r="J14" s="667" t="s">
        <v>325</v>
      </c>
      <c r="K14" s="601" t="s">
        <v>325</v>
      </c>
      <c r="L14" s="667" t="s">
        <v>325</v>
      </c>
      <c r="M14" s="601" t="s">
        <v>339</v>
      </c>
      <c r="N14" s="269"/>
    </row>
    <row r="15" spans="1:14" ht="14.4" customHeight="1" x14ac:dyDescent="0.3">
      <c r="A15" s="597" t="s">
        <v>1247</v>
      </c>
      <c r="B15" s="598" t="s">
        <v>1243</v>
      </c>
      <c r="C15" s="601">
        <v>159713.93000000002</v>
      </c>
      <c r="D15" s="601">
        <v>950</v>
      </c>
      <c r="E15" s="601">
        <v>78306.930000000037</v>
      </c>
      <c r="F15" s="667">
        <v>0.49029492918995871</v>
      </c>
      <c r="G15" s="601">
        <v>456</v>
      </c>
      <c r="H15" s="667">
        <v>0.48</v>
      </c>
      <c r="I15" s="601">
        <v>81406.999999999985</v>
      </c>
      <c r="J15" s="667">
        <v>0.50970507081004124</v>
      </c>
      <c r="K15" s="601">
        <v>494</v>
      </c>
      <c r="L15" s="667">
        <v>0.52</v>
      </c>
      <c r="M15" s="601" t="s">
        <v>1</v>
      </c>
      <c r="N15" s="269"/>
    </row>
    <row r="16" spans="1:14" ht="14.4" customHeight="1" x14ac:dyDescent="0.3">
      <c r="A16" s="597" t="s">
        <v>1247</v>
      </c>
      <c r="B16" s="598" t="s">
        <v>1244</v>
      </c>
      <c r="C16" s="601">
        <v>0</v>
      </c>
      <c r="D16" s="601">
        <v>7</v>
      </c>
      <c r="E16" s="601">
        <v>0</v>
      </c>
      <c r="F16" s="667" t="s">
        <v>325</v>
      </c>
      <c r="G16" s="601">
        <v>4</v>
      </c>
      <c r="H16" s="667">
        <v>0.5714285714285714</v>
      </c>
      <c r="I16" s="601">
        <v>0</v>
      </c>
      <c r="J16" s="667" t="s">
        <v>325</v>
      </c>
      <c r="K16" s="601">
        <v>3</v>
      </c>
      <c r="L16" s="667">
        <v>0.42857142857142855</v>
      </c>
      <c r="M16" s="601" t="s">
        <v>1</v>
      </c>
      <c r="N16" s="269"/>
    </row>
    <row r="17" spans="1:14" ht="14.4" customHeight="1" x14ac:dyDescent="0.3">
      <c r="A17" s="597" t="s">
        <v>1247</v>
      </c>
      <c r="B17" s="598" t="s">
        <v>1248</v>
      </c>
      <c r="C17" s="601">
        <v>159713.93000000002</v>
      </c>
      <c r="D17" s="601">
        <v>957</v>
      </c>
      <c r="E17" s="601">
        <v>78306.930000000037</v>
      </c>
      <c r="F17" s="667">
        <v>0.49029492918995871</v>
      </c>
      <c r="G17" s="601">
        <v>460</v>
      </c>
      <c r="H17" s="667">
        <v>0.48066875653082547</v>
      </c>
      <c r="I17" s="601">
        <v>81406.999999999985</v>
      </c>
      <c r="J17" s="667">
        <v>0.50970507081004124</v>
      </c>
      <c r="K17" s="601">
        <v>497</v>
      </c>
      <c r="L17" s="667">
        <v>0.51933124346917448</v>
      </c>
      <c r="M17" s="601" t="s">
        <v>338</v>
      </c>
      <c r="N17" s="269"/>
    </row>
    <row r="18" spans="1:14" ht="14.4" customHeight="1" x14ac:dyDescent="0.3">
      <c r="A18" s="597" t="s">
        <v>325</v>
      </c>
      <c r="B18" s="598" t="s">
        <v>325</v>
      </c>
      <c r="C18" s="601" t="s">
        <v>325</v>
      </c>
      <c r="D18" s="601" t="s">
        <v>325</v>
      </c>
      <c r="E18" s="601" t="s">
        <v>325</v>
      </c>
      <c r="F18" s="667" t="s">
        <v>325</v>
      </c>
      <c r="G18" s="601" t="s">
        <v>325</v>
      </c>
      <c r="H18" s="667" t="s">
        <v>325</v>
      </c>
      <c r="I18" s="601" t="s">
        <v>325</v>
      </c>
      <c r="J18" s="667" t="s">
        <v>325</v>
      </c>
      <c r="K18" s="601" t="s">
        <v>325</v>
      </c>
      <c r="L18" s="667" t="s">
        <v>325</v>
      </c>
      <c r="M18" s="601" t="s">
        <v>339</v>
      </c>
      <c r="N18" s="269"/>
    </row>
    <row r="19" spans="1:14" ht="14.4" customHeight="1" x14ac:dyDescent="0.3">
      <c r="A19" s="597" t="s">
        <v>1249</v>
      </c>
      <c r="B19" s="598" t="s">
        <v>1243</v>
      </c>
      <c r="C19" s="601">
        <v>6310.4700000000012</v>
      </c>
      <c r="D19" s="601">
        <v>41</v>
      </c>
      <c r="E19" s="601">
        <v>3337.5000000000005</v>
      </c>
      <c r="F19" s="667">
        <v>0.52888295166604071</v>
      </c>
      <c r="G19" s="601">
        <v>23</v>
      </c>
      <c r="H19" s="667">
        <v>0.56097560975609762</v>
      </c>
      <c r="I19" s="601">
        <v>2972.9700000000007</v>
      </c>
      <c r="J19" s="667">
        <v>0.47111704833395929</v>
      </c>
      <c r="K19" s="601">
        <v>18</v>
      </c>
      <c r="L19" s="667">
        <v>0.43902439024390244</v>
      </c>
      <c r="M19" s="601" t="s">
        <v>1</v>
      </c>
      <c r="N19" s="269"/>
    </row>
    <row r="20" spans="1:14" ht="14.4" customHeight="1" x14ac:dyDescent="0.3">
      <c r="A20" s="597" t="s">
        <v>1249</v>
      </c>
      <c r="B20" s="598" t="s">
        <v>1250</v>
      </c>
      <c r="C20" s="601">
        <v>6310.4700000000012</v>
      </c>
      <c r="D20" s="601">
        <v>41</v>
      </c>
      <c r="E20" s="601">
        <v>3337.5000000000005</v>
      </c>
      <c r="F20" s="667">
        <v>0.52888295166604071</v>
      </c>
      <c r="G20" s="601">
        <v>23</v>
      </c>
      <c r="H20" s="667">
        <v>0.56097560975609762</v>
      </c>
      <c r="I20" s="601">
        <v>2972.9700000000007</v>
      </c>
      <c r="J20" s="667">
        <v>0.47111704833395929</v>
      </c>
      <c r="K20" s="601">
        <v>18</v>
      </c>
      <c r="L20" s="667">
        <v>0.43902439024390244</v>
      </c>
      <c r="M20" s="601" t="s">
        <v>338</v>
      </c>
      <c r="N20" s="269"/>
    </row>
    <row r="21" spans="1:14" ht="14.4" customHeight="1" x14ac:dyDescent="0.3">
      <c r="A21" s="597" t="s">
        <v>325</v>
      </c>
      <c r="B21" s="598" t="s">
        <v>325</v>
      </c>
      <c r="C21" s="601" t="s">
        <v>325</v>
      </c>
      <c r="D21" s="601" t="s">
        <v>325</v>
      </c>
      <c r="E21" s="601" t="s">
        <v>325</v>
      </c>
      <c r="F21" s="667" t="s">
        <v>325</v>
      </c>
      <c r="G21" s="601" t="s">
        <v>325</v>
      </c>
      <c r="H21" s="667" t="s">
        <v>325</v>
      </c>
      <c r="I21" s="601" t="s">
        <v>325</v>
      </c>
      <c r="J21" s="667" t="s">
        <v>325</v>
      </c>
      <c r="K21" s="601" t="s">
        <v>325</v>
      </c>
      <c r="L21" s="667" t="s">
        <v>325</v>
      </c>
      <c r="M21" s="601" t="s">
        <v>339</v>
      </c>
      <c r="N21" s="269"/>
    </row>
    <row r="22" spans="1:14" ht="14.4" customHeight="1" x14ac:dyDescent="0.3">
      <c r="A22" s="597" t="s">
        <v>1251</v>
      </c>
      <c r="B22" s="598" t="s">
        <v>1243</v>
      </c>
      <c r="C22" s="601">
        <v>53757.060000000041</v>
      </c>
      <c r="D22" s="601">
        <v>361.5</v>
      </c>
      <c r="E22" s="601">
        <v>2634.2400000000002</v>
      </c>
      <c r="F22" s="667">
        <v>4.9002679834053389E-2</v>
      </c>
      <c r="G22" s="601">
        <v>17</v>
      </c>
      <c r="H22" s="667">
        <v>4.7026279391424619E-2</v>
      </c>
      <c r="I22" s="601">
        <v>51122.820000000043</v>
      </c>
      <c r="J22" s="667">
        <v>0.95099732016594662</v>
      </c>
      <c r="K22" s="601">
        <v>344.5</v>
      </c>
      <c r="L22" s="667">
        <v>0.95297372060857533</v>
      </c>
      <c r="M22" s="601" t="s">
        <v>1</v>
      </c>
      <c r="N22" s="269"/>
    </row>
    <row r="23" spans="1:14" ht="14.4" customHeight="1" x14ac:dyDescent="0.3">
      <c r="A23" s="597" t="s">
        <v>1251</v>
      </c>
      <c r="B23" s="598" t="s">
        <v>1252</v>
      </c>
      <c r="C23" s="601">
        <v>53757.060000000041</v>
      </c>
      <c r="D23" s="601">
        <v>361.5</v>
      </c>
      <c r="E23" s="601">
        <v>2634.2400000000002</v>
      </c>
      <c r="F23" s="667">
        <v>4.9002679834053389E-2</v>
      </c>
      <c r="G23" s="601">
        <v>17</v>
      </c>
      <c r="H23" s="667">
        <v>4.7026279391424619E-2</v>
      </c>
      <c r="I23" s="601">
        <v>51122.820000000043</v>
      </c>
      <c r="J23" s="667">
        <v>0.95099732016594662</v>
      </c>
      <c r="K23" s="601">
        <v>344.5</v>
      </c>
      <c r="L23" s="667">
        <v>0.95297372060857533</v>
      </c>
      <c r="M23" s="601" t="s">
        <v>338</v>
      </c>
      <c r="N23" s="269"/>
    </row>
    <row r="24" spans="1:14" ht="14.4" customHeight="1" x14ac:dyDescent="0.3">
      <c r="A24" s="597" t="s">
        <v>325</v>
      </c>
      <c r="B24" s="598" t="s">
        <v>325</v>
      </c>
      <c r="C24" s="601" t="s">
        <v>325</v>
      </c>
      <c r="D24" s="601" t="s">
        <v>325</v>
      </c>
      <c r="E24" s="601" t="s">
        <v>325</v>
      </c>
      <c r="F24" s="667" t="s">
        <v>325</v>
      </c>
      <c r="G24" s="601" t="s">
        <v>325</v>
      </c>
      <c r="H24" s="667" t="s">
        <v>325</v>
      </c>
      <c r="I24" s="601" t="s">
        <v>325</v>
      </c>
      <c r="J24" s="667" t="s">
        <v>325</v>
      </c>
      <c r="K24" s="601" t="s">
        <v>325</v>
      </c>
      <c r="L24" s="667" t="s">
        <v>325</v>
      </c>
      <c r="M24" s="601" t="s">
        <v>339</v>
      </c>
      <c r="N24" s="269"/>
    </row>
    <row r="25" spans="1:14" ht="14.4" customHeight="1" x14ac:dyDescent="0.3">
      <c r="A25" s="597" t="s">
        <v>323</v>
      </c>
      <c r="B25" s="598" t="s">
        <v>1253</v>
      </c>
      <c r="C25" s="601">
        <v>250219.40000000008</v>
      </c>
      <c r="D25" s="601">
        <v>1502.5</v>
      </c>
      <c r="E25" s="601">
        <v>105018.23000000005</v>
      </c>
      <c r="F25" s="667">
        <v>0.41970458725422577</v>
      </c>
      <c r="G25" s="601">
        <v>555</v>
      </c>
      <c r="H25" s="667">
        <v>0.36938435940099834</v>
      </c>
      <c r="I25" s="601">
        <v>145201.17000000004</v>
      </c>
      <c r="J25" s="667">
        <v>0.58029541274577434</v>
      </c>
      <c r="K25" s="601">
        <v>947.5</v>
      </c>
      <c r="L25" s="667">
        <v>0.63061564059900166</v>
      </c>
      <c r="M25" s="601" t="s">
        <v>334</v>
      </c>
      <c r="N25" s="269"/>
    </row>
    <row r="26" spans="1:14" ht="14.4" customHeight="1" x14ac:dyDescent="0.3">
      <c r="A26" s="668" t="s">
        <v>1254</v>
      </c>
    </row>
    <row r="27" spans="1:14" ht="14.4" customHeight="1" x14ac:dyDescent="0.3">
      <c r="A27" s="669" t="s">
        <v>1255</v>
      </c>
    </row>
    <row r="28" spans="1:14" ht="14.4" customHeight="1" x14ac:dyDescent="0.3">
      <c r="A28" s="668" t="s">
        <v>1256</v>
      </c>
    </row>
  </sheetData>
  <autoFilter ref="A4:M4"/>
  <mergeCells count="4">
    <mergeCell ref="E3:H3"/>
    <mergeCell ref="C3:D3"/>
    <mergeCell ref="I3:L3"/>
    <mergeCell ref="A1:L1"/>
  </mergeCells>
  <conditionalFormatting sqref="F4 F9 F26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5">
    <cfRule type="expression" dxfId="46" priority="4">
      <formula>AND(LEFT(M10,6)&lt;&gt;"mezera",M10&lt;&gt;"")</formula>
    </cfRule>
  </conditionalFormatting>
  <conditionalFormatting sqref="A10:A25">
    <cfRule type="expression" dxfId="45" priority="2">
      <formula>AND(M10&lt;&gt;"",M10&lt;&gt;"mezeraKL")</formula>
    </cfRule>
  </conditionalFormatting>
  <conditionalFormatting sqref="F10:F25">
    <cfRule type="cellIs" dxfId="44" priority="1" operator="lessThan">
      <formula>0.6</formula>
    </cfRule>
  </conditionalFormatting>
  <conditionalFormatting sqref="B10:L25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5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8" customWidth="1"/>
    <col min="2" max="2" width="11.109375" style="329" bestFit="1" customWidth="1"/>
    <col min="3" max="3" width="11.109375" style="248" hidden="1" customWidth="1"/>
    <col min="4" max="4" width="7.33203125" style="329" bestFit="1" customWidth="1"/>
    <col min="5" max="5" width="7.33203125" style="248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8" hidden="1" customWidth="1"/>
    <col min="15" max="16384" width="8.88671875" style="248"/>
  </cols>
  <sheetData>
    <row r="1" spans="1:13" ht="18.600000000000001" customHeight="1" thickBot="1" x14ac:dyDescent="0.4">
      <c r="A1" s="498" t="s">
        <v>184</v>
      </c>
      <c r="B1" s="498"/>
      <c r="C1" s="498"/>
      <c r="D1" s="498"/>
      <c r="E1" s="498"/>
      <c r="F1" s="498"/>
      <c r="G1" s="498"/>
      <c r="H1" s="498"/>
      <c r="I1" s="498"/>
      <c r="J1" s="471"/>
      <c r="K1" s="471"/>
      <c r="L1" s="471"/>
      <c r="M1" s="471"/>
    </row>
    <row r="2" spans="1:13" ht="14.4" customHeight="1" thickBot="1" x14ac:dyDescent="0.35">
      <c r="A2" s="375" t="s">
        <v>320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15" t="s">
        <v>15</v>
      </c>
      <c r="C3" s="517"/>
      <c r="D3" s="514"/>
      <c r="E3" s="261"/>
      <c r="F3" s="514" t="s">
        <v>16</v>
      </c>
      <c r="G3" s="514"/>
      <c r="H3" s="514"/>
      <c r="I3" s="514"/>
      <c r="J3" s="514" t="s">
        <v>183</v>
      </c>
      <c r="K3" s="514"/>
      <c r="L3" s="514"/>
      <c r="M3" s="516"/>
    </row>
    <row r="4" spans="1:13" ht="14.4" customHeight="1" thickBot="1" x14ac:dyDescent="0.35">
      <c r="A4" s="646" t="s">
        <v>161</v>
      </c>
      <c r="B4" s="647" t="s">
        <v>19</v>
      </c>
      <c r="C4" s="673"/>
      <c r="D4" s="647" t="s">
        <v>20</v>
      </c>
      <c r="E4" s="673"/>
      <c r="F4" s="647" t="s">
        <v>19</v>
      </c>
      <c r="G4" s="650" t="s">
        <v>2</v>
      </c>
      <c r="H4" s="647" t="s">
        <v>20</v>
      </c>
      <c r="I4" s="650" t="s">
        <v>2</v>
      </c>
      <c r="J4" s="647" t="s">
        <v>19</v>
      </c>
      <c r="K4" s="650" t="s">
        <v>2</v>
      </c>
      <c r="L4" s="647" t="s">
        <v>20</v>
      </c>
      <c r="M4" s="651" t="s">
        <v>2</v>
      </c>
    </row>
    <row r="5" spans="1:13" ht="14.4" customHeight="1" x14ac:dyDescent="0.3">
      <c r="A5" s="670" t="s">
        <v>1257</v>
      </c>
      <c r="B5" s="661">
        <v>5898.9400000000014</v>
      </c>
      <c r="C5" s="608">
        <v>1</v>
      </c>
      <c r="D5" s="674">
        <v>40</v>
      </c>
      <c r="E5" s="677" t="s">
        <v>1257</v>
      </c>
      <c r="F5" s="661">
        <v>308.72000000000003</v>
      </c>
      <c r="G5" s="629">
        <v>5.2334826256920729E-2</v>
      </c>
      <c r="H5" s="611">
        <v>2</v>
      </c>
      <c r="I5" s="652">
        <v>0.05</v>
      </c>
      <c r="J5" s="680">
        <v>5590.2200000000012</v>
      </c>
      <c r="K5" s="629">
        <v>0.94766517374307924</v>
      </c>
      <c r="L5" s="611">
        <v>38</v>
      </c>
      <c r="M5" s="652">
        <v>0.95</v>
      </c>
    </row>
    <row r="6" spans="1:13" ht="14.4" customHeight="1" x14ac:dyDescent="0.3">
      <c r="A6" s="671" t="s">
        <v>1258</v>
      </c>
      <c r="B6" s="662">
        <v>2983.9000000000005</v>
      </c>
      <c r="C6" s="614">
        <v>1</v>
      </c>
      <c r="D6" s="675">
        <v>20</v>
      </c>
      <c r="E6" s="678" t="s">
        <v>1258</v>
      </c>
      <c r="F6" s="662">
        <v>178.58</v>
      </c>
      <c r="G6" s="630">
        <v>5.9847850129025763E-2</v>
      </c>
      <c r="H6" s="617">
        <v>1</v>
      </c>
      <c r="I6" s="653">
        <v>0.05</v>
      </c>
      <c r="J6" s="681">
        <v>2805.3200000000006</v>
      </c>
      <c r="K6" s="630">
        <v>0.94015214987097429</v>
      </c>
      <c r="L6" s="617">
        <v>19</v>
      </c>
      <c r="M6" s="653">
        <v>0.95</v>
      </c>
    </row>
    <row r="7" spans="1:13" ht="14.4" customHeight="1" x14ac:dyDescent="0.3">
      <c r="A7" s="671" t="s">
        <v>1259</v>
      </c>
      <c r="B7" s="662">
        <v>1823.67</v>
      </c>
      <c r="C7" s="614">
        <v>1</v>
      </c>
      <c r="D7" s="675"/>
      <c r="E7" s="678" t="s">
        <v>1259</v>
      </c>
      <c r="F7" s="662">
        <v>154.36000000000001</v>
      </c>
      <c r="G7" s="630">
        <v>8.4642506593846478E-2</v>
      </c>
      <c r="H7" s="617"/>
      <c r="I7" s="653"/>
      <c r="J7" s="681">
        <v>1669.31</v>
      </c>
      <c r="K7" s="630">
        <v>0.91535749340615347</v>
      </c>
      <c r="L7" s="617"/>
      <c r="M7" s="653"/>
    </row>
    <row r="8" spans="1:13" ht="14.4" customHeight="1" x14ac:dyDescent="0.3">
      <c r="A8" s="671" t="s">
        <v>1260</v>
      </c>
      <c r="B8" s="662">
        <v>26616.110000000004</v>
      </c>
      <c r="C8" s="614">
        <v>1</v>
      </c>
      <c r="D8" s="675">
        <v>187</v>
      </c>
      <c r="E8" s="678" t="s">
        <v>1260</v>
      </c>
      <c r="F8" s="662">
        <v>7283.6700000000019</v>
      </c>
      <c r="G8" s="630">
        <v>0.27365644340964929</v>
      </c>
      <c r="H8" s="617">
        <v>58</v>
      </c>
      <c r="I8" s="653">
        <v>0.31016042780748665</v>
      </c>
      <c r="J8" s="681">
        <v>19332.440000000002</v>
      </c>
      <c r="K8" s="630">
        <v>0.72634355659035066</v>
      </c>
      <c r="L8" s="617">
        <v>129</v>
      </c>
      <c r="M8" s="653">
        <v>0.68983957219251335</v>
      </c>
    </row>
    <row r="9" spans="1:13" ht="14.4" customHeight="1" x14ac:dyDescent="0.3">
      <c r="A9" s="671" t="s">
        <v>1261</v>
      </c>
      <c r="B9" s="662">
        <v>974.58000000000015</v>
      </c>
      <c r="C9" s="614">
        <v>1</v>
      </c>
      <c r="D9" s="675">
        <v>7</v>
      </c>
      <c r="E9" s="678" t="s">
        <v>1261</v>
      </c>
      <c r="F9" s="662"/>
      <c r="G9" s="630">
        <v>0</v>
      </c>
      <c r="H9" s="617"/>
      <c r="I9" s="653">
        <v>0</v>
      </c>
      <c r="J9" s="681">
        <v>974.58000000000015</v>
      </c>
      <c r="K9" s="630">
        <v>1</v>
      </c>
      <c r="L9" s="617">
        <v>7</v>
      </c>
      <c r="M9" s="653">
        <v>1</v>
      </c>
    </row>
    <row r="10" spans="1:13" ht="14.4" customHeight="1" x14ac:dyDescent="0.3">
      <c r="A10" s="671" t="s">
        <v>1262</v>
      </c>
      <c r="B10" s="662">
        <v>10940.150000000001</v>
      </c>
      <c r="C10" s="614">
        <v>1</v>
      </c>
      <c r="D10" s="675">
        <v>80</v>
      </c>
      <c r="E10" s="678" t="s">
        <v>1262</v>
      </c>
      <c r="F10" s="662">
        <v>4952.91</v>
      </c>
      <c r="G10" s="630">
        <v>0.45272779623679743</v>
      </c>
      <c r="H10" s="617">
        <v>39</v>
      </c>
      <c r="I10" s="653">
        <v>0.48749999999999999</v>
      </c>
      <c r="J10" s="681">
        <v>5987.2400000000007</v>
      </c>
      <c r="K10" s="630">
        <v>0.54727220376320251</v>
      </c>
      <c r="L10" s="617">
        <v>41</v>
      </c>
      <c r="M10" s="653">
        <v>0.51249999999999996</v>
      </c>
    </row>
    <row r="11" spans="1:13" ht="14.4" customHeight="1" x14ac:dyDescent="0.3">
      <c r="A11" s="671" t="s">
        <v>1263</v>
      </c>
      <c r="B11" s="662">
        <v>6222.9500000000016</v>
      </c>
      <c r="C11" s="614">
        <v>1</v>
      </c>
      <c r="D11" s="675">
        <v>48</v>
      </c>
      <c r="E11" s="678" t="s">
        <v>1263</v>
      </c>
      <c r="F11" s="662">
        <v>2558.7800000000007</v>
      </c>
      <c r="G11" s="630">
        <v>0.41118440610964252</v>
      </c>
      <c r="H11" s="617">
        <v>20</v>
      </c>
      <c r="I11" s="653">
        <v>0.41666666666666669</v>
      </c>
      <c r="J11" s="681">
        <v>3664.170000000001</v>
      </c>
      <c r="K11" s="630">
        <v>0.58881559389035742</v>
      </c>
      <c r="L11" s="617">
        <v>28</v>
      </c>
      <c r="M11" s="653">
        <v>0.58333333333333337</v>
      </c>
    </row>
    <row r="12" spans="1:13" ht="14.4" customHeight="1" x14ac:dyDescent="0.3">
      <c r="A12" s="671" t="s">
        <v>1264</v>
      </c>
      <c r="B12" s="662">
        <v>5345.24</v>
      </c>
      <c r="C12" s="614">
        <v>1</v>
      </c>
      <c r="D12" s="675">
        <v>15</v>
      </c>
      <c r="E12" s="678" t="s">
        <v>1264</v>
      </c>
      <c r="F12" s="662">
        <v>4145.51</v>
      </c>
      <c r="G12" s="630">
        <v>0.77555170581676414</v>
      </c>
      <c r="H12" s="617">
        <v>8</v>
      </c>
      <c r="I12" s="653">
        <v>0.53333333333333333</v>
      </c>
      <c r="J12" s="681">
        <v>1199.73</v>
      </c>
      <c r="K12" s="630">
        <v>0.22444829418323595</v>
      </c>
      <c r="L12" s="617">
        <v>7</v>
      </c>
      <c r="M12" s="653">
        <v>0.46666666666666667</v>
      </c>
    </row>
    <row r="13" spans="1:13" ht="14.4" customHeight="1" x14ac:dyDescent="0.3">
      <c r="A13" s="671" t="s">
        <v>1265</v>
      </c>
      <c r="B13" s="662">
        <v>1062.0999999999999</v>
      </c>
      <c r="C13" s="614">
        <v>1</v>
      </c>
      <c r="D13" s="675">
        <v>7</v>
      </c>
      <c r="E13" s="678" t="s">
        <v>1265</v>
      </c>
      <c r="F13" s="662"/>
      <c r="G13" s="630">
        <v>0</v>
      </c>
      <c r="H13" s="617"/>
      <c r="I13" s="653">
        <v>0</v>
      </c>
      <c r="J13" s="681">
        <v>1062.0999999999999</v>
      </c>
      <c r="K13" s="630">
        <v>1</v>
      </c>
      <c r="L13" s="617">
        <v>7</v>
      </c>
      <c r="M13" s="653">
        <v>1</v>
      </c>
    </row>
    <row r="14" spans="1:13" ht="14.4" customHeight="1" x14ac:dyDescent="0.3">
      <c r="A14" s="671" t="s">
        <v>1266</v>
      </c>
      <c r="B14" s="662">
        <v>24621.019999999997</v>
      </c>
      <c r="C14" s="614">
        <v>1</v>
      </c>
      <c r="D14" s="675">
        <v>165</v>
      </c>
      <c r="E14" s="678" t="s">
        <v>1266</v>
      </c>
      <c r="F14" s="662">
        <v>7314.0900000000011</v>
      </c>
      <c r="G14" s="630">
        <v>0.29706689649738321</v>
      </c>
      <c r="H14" s="617">
        <v>53</v>
      </c>
      <c r="I14" s="653">
        <v>0.32121212121212123</v>
      </c>
      <c r="J14" s="681">
        <v>17306.929999999997</v>
      </c>
      <c r="K14" s="630">
        <v>0.70293310350261684</v>
      </c>
      <c r="L14" s="617">
        <v>112</v>
      </c>
      <c r="M14" s="653">
        <v>0.67878787878787883</v>
      </c>
    </row>
    <row r="15" spans="1:13" ht="14.4" customHeight="1" x14ac:dyDescent="0.3">
      <c r="A15" s="671" t="s">
        <v>1267</v>
      </c>
      <c r="B15" s="662">
        <v>37587.990000000005</v>
      </c>
      <c r="C15" s="614">
        <v>1</v>
      </c>
      <c r="D15" s="675">
        <v>136</v>
      </c>
      <c r="E15" s="678" t="s">
        <v>1267</v>
      </c>
      <c r="F15" s="662">
        <v>24650.039999999997</v>
      </c>
      <c r="G15" s="630">
        <v>0.65579564110770472</v>
      </c>
      <c r="H15" s="617">
        <v>58</v>
      </c>
      <c r="I15" s="653">
        <v>0.4264705882352941</v>
      </c>
      <c r="J15" s="681">
        <v>12937.950000000006</v>
      </c>
      <c r="K15" s="630">
        <v>0.34420435889229523</v>
      </c>
      <c r="L15" s="617">
        <v>78</v>
      </c>
      <c r="M15" s="653">
        <v>0.57352941176470584</v>
      </c>
    </row>
    <row r="16" spans="1:13" ht="14.4" customHeight="1" x14ac:dyDescent="0.3">
      <c r="A16" s="671" t="s">
        <v>1268</v>
      </c>
      <c r="B16" s="662">
        <v>632.63000000000011</v>
      </c>
      <c r="C16" s="614">
        <v>1</v>
      </c>
      <c r="D16" s="675">
        <v>4.5</v>
      </c>
      <c r="E16" s="678" t="s">
        <v>1268</v>
      </c>
      <c r="F16" s="662"/>
      <c r="G16" s="630">
        <v>0</v>
      </c>
      <c r="H16" s="617"/>
      <c r="I16" s="653">
        <v>0</v>
      </c>
      <c r="J16" s="681">
        <v>632.63000000000011</v>
      </c>
      <c r="K16" s="630">
        <v>1</v>
      </c>
      <c r="L16" s="617">
        <v>4.5</v>
      </c>
      <c r="M16" s="653">
        <v>1</v>
      </c>
    </row>
    <row r="17" spans="1:13" ht="14.4" customHeight="1" x14ac:dyDescent="0.3">
      <c r="A17" s="671" t="s">
        <v>1269</v>
      </c>
      <c r="B17" s="662">
        <v>9462.880000000001</v>
      </c>
      <c r="C17" s="614">
        <v>1</v>
      </c>
      <c r="D17" s="675">
        <v>41</v>
      </c>
      <c r="E17" s="678" t="s">
        <v>1269</v>
      </c>
      <c r="F17" s="662">
        <v>3375.27</v>
      </c>
      <c r="G17" s="630">
        <v>0.35668527974570108</v>
      </c>
      <c r="H17" s="617">
        <v>20</v>
      </c>
      <c r="I17" s="653">
        <v>0.48780487804878048</v>
      </c>
      <c r="J17" s="681">
        <v>6087.6100000000006</v>
      </c>
      <c r="K17" s="630">
        <v>0.64331472025429892</v>
      </c>
      <c r="L17" s="617">
        <v>21</v>
      </c>
      <c r="M17" s="653">
        <v>0.51219512195121952</v>
      </c>
    </row>
    <row r="18" spans="1:13" ht="14.4" customHeight="1" x14ac:dyDescent="0.3">
      <c r="A18" s="671" t="s">
        <v>1270</v>
      </c>
      <c r="B18" s="662">
        <v>14105.090000000002</v>
      </c>
      <c r="C18" s="614">
        <v>1</v>
      </c>
      <c r="D18" s="675">
        <v>76</v>
      </c>
      <c r="E18" s="678" t="s">
        <v>1270</v>
      </c>
      <c r="F18" s="662">
        <v>8454.2300000000014</v>
      </c>
      <c r="G18" s="630">
        <v>0.59937441023063309</v>
      </c>
      <c r="H18" s="617">
        <v>44</v>
      </c>
      <c r="I18" s="653">
        <v>0.57894736842105265</v>
      </c>
      <c r="J18" s="681">
        <v>5650.8600000000006</v>
      </c>
      <c r="K18" s="630">
        <v>0.40062558976936691</v>
      </c>
      <c r="L18" s="617">
        <v>32</v>
      </c>
      <c r="M18" s="653">
        <v>0.42105263157894735</v>
      </c>
    </row>
    <row r="19" spans="1:13" ht="14.4" customHeight="1" x14ac:dyDescent="0.3">
      <c r="A19" s="671" t="s">
        <v>1271</v>
      </c>
      <c r="B19" s="662">
        <v>1063.24</v>
      </c>
      <c r="C19" s="614">
        <v>1</v>
      </c>
      <c r="D19" s="675">
        <v>7</v>
      </c>
      <c r="E19" s="678" t="s">
        <v>1271</v>
      </c>
      <c r="F19" s="662"/>
      <c r="G19" s="630">
        <v>0</v>
      </c>
      <c r="H19" s="617"/>
      <c r="I19" s="653">
        <v>0</v>
      </c>
      <c r="J19" s="681">
        <v>1063.24</v>
      </c>
      <c r="K19" s="630">
        <v>1</v>
      </c>
      <c r="L19" s="617">
        <v>7</v>
      </c>
      <c r="M19" s="653">
        <v>1</v>
      </c>
    </row>
    <row r="20" spans="1:13" ht="14.4" customHeight="1" x14ac:dyDescent="0.3">
      <c r="A20" s="671" t="s">
        <v>1272</v>
      </c>
      <c r="B20" s="662">
        <v>13327.269999999999</v>
      </c>
      <c r="C20" s="614">
        <v>1</v>
      </c>
      <c r="D20" s="675">
        <v>79</v>
      </c>
      <c r="E20" s="678" t="s">
        <v>1272</v>
      </c>
      <c r="F20" s="662">
        <v>9157.4699999999993</v>
      </c>
      <c r="G20" s="630">
        <v>0.68712271905649092</v>
      </c>
      <c r="H20" s="617">
        <v>54</v>
      </c>
      <c r="I20" s="653">
        <v>0.68354430379746833</v>
      </c>
      <c r="J20" s="681">
        <v>4169.7999999999993</v>
      </c>
      <c r="K20" s="630">
        <v>0.31287728094350903</v>
      </c>
      <c r="L20" s="617">
        <v>25</v>
      </c>
      <c r="M20" s="653">
        <v>0.31645569620253167</v>
      </c>
    </row>
    <row r="21" spans="1:13" ht="14.4" customHeight="1" x14ac:dyDescent="0.3">
      <c r="A21" s="671" t="s">
        <v>1273</v>
      </c>
      <c r="B21" s="662">
        <v>13814.53</v>
      </c>
      <c r="C21" s="614">
        <v>1</v>
      </c>
      <c r="D21" s="675">
        <v>43</v>
      </c>
      <c r="E21" s="678" t="s">
        <v>1273</v>
      </c>
      <c r="F21" s="662">
        <v>6468.8000000000011</v>
      </c>
      <c r="G21" s="630">
        <v>0.46826059228942285</v>
      </c>
      <c r="H21" s="617">
        <v>20</v>
      </c>
      <c r="I21" s="653">
        <v>0.46511627906976744</v>
      </c>
      <c r="J21" s="681">
        <v>7345.73</v>
      </c>
      <c r="K21" s="630">
        <v>0.53173940771057715</v>
      </c>
      <c r="L21" s="617">
        <v>23</v>
      </c>
      <c r="M21" s="653">
        <v>0.53488372093023251</v>
      </c>
    </row>
    <row r="22" spans="1:13" ht="14.4" customHeight="1" x14ac:dyDescent="0.3">
      <c r="A22" s="671" t="s">
        <v>1274</v>
      </c>
      <c r="B22" s="662">
        <v>614.17000000000007</v>
      </c>
      <c r="C22" s="614">
        <v>1</v>
      </c>
      <c r="D22" s="675">
        <v>12</v>
      </c>
      <c r="E22" s="678" t="s">
        <v>1274</v>
      </c>
      <c r="F22" s="662">
        <v>78.449999999999989</v>
      </c>
      <c r="G22" s="630">
        <v>0.12773336372665545</v>
      </c>
      <c r="H22" s="617">
        <v>3</v>
      </c>
      <c r="I22" s="653">
        <v>0.25</v>
      </c>
      <c r="J22" s="681">
        <v>535.72</v>
      </c>
      <c r="K22" s="630">
        <v>0.87226663627334444</v>
      </c>
      <c r="L22" s="617">
        <v>9</v>
      </c>
      <c r="M22" s="653">
        <v>0.75</v>
      </c>
    </row>
    <row r="23" spans="1:13" ht="14.4" customHeight="1" x14ac:dyDescent="0.3">
      <c r="A23" s="671" t="s">
        <v>1275</v>
      </c>
      <c r="B23" s="662">
        <v>1008.4</v>
      </c>
      <c r="C23" s="614">
        <v>1</v>
      </c>
      <c r="D23" s="675">
        <v>11</v>
      </c>
      <c r="E23" s="678" t="s">
        <v>1275</v>
      </c>
      <c r="F23" s="662">
        <v>518.04999999999995</v>
      </c>
      <c r="G23" s="630">
        <v>0.51373462911543033</v>
      </c>
      <c r="H23" s="617">
        <v>5</v>
      </c>
      <c r="I23" s="653">
        <v>0.45454545454545453</v>
      </c>
      <c r="J23" s="681">
        <v>490.35</v>
      </c>
      <c r="K23" s="630">
        <v>0.48626537088456967</v>
      </c>
      <c r="L23" s="617">
        <v>6</v>
      </c>
      <c r="M23" s="653">
        <v>0.54545454545454541</v>
      </c>
    </row>
    <row r="24" spans="1:13" ht="14.4" customHeight="1" x14ac:dyDescent="0.3">
      <c r="A24" s="671" t="s">
        <v>1276</v>
      </c>
      <c r="B24" s="662">
        <v>926.16000000000008</v>
      </c>
      <c r="C24" s="614">
        <v>1</v>
      </c>
      <c r="D24" s="675">
        <v>6</v>
      </c>
      <c r="E24" s="678" t="s">
        <v>1276</v>
      </c>
      <c r="F24" s="662"/>
      <c r="G24" s="630">
        <v>0</v>
      </c>
      <c r="H24" s="617"/>
      <c r="I24" s="653">
        <v>0</v>
      </c>
      <c r="J24" s="681">
        <v>926.16000000000008</v>
      </c>
      <c r="K24" s="630">
        <v>1</v>
      </c>
      <c r="L24" s="617">
        <v>6</v>
      </c>
      <c r="M24" s="653">
        <v>1</v>
      </c>
    </row>
    <row r="25" spans="1:13" ht="14.4" customHeight="1" x14ac:dyDescent="0.3">
      <c r="A25" s="671" t="s">
        <v>1277</v>
      </c>
      <c r="B25" s="662">
        <v>4427.3500000000004</v>
      </c>
      <c r="C25" s="614">
        <v>1</v>
      </c>
      <c r="D25" s="675">
        <v>25</v>
      </c>
      <c r="E25" s="678" t="s">
        <v>1277</v>
      </c>
      <c r="F25" s="662">
        <v>2407.2800000000002</v>
      </c>
      <c r="G25" s="630">
        <v>0.54372931889279141</v>
      </c>
      <c r="H25" s="617">
        <v>15</v>
      </c>
      <c r="I25" s="653">
        <v>0.6</v>
      </c>
      <c r="J25" s="681">
        <v>2020.0700000000002</v>
      </c>
      <c r="K25" s="630">
        <v>0.45627068110720859</v>
      </c>
      <c r="L25" s="617">
        <v>10</v>
      </c>
      <c r="M25" s="653">
        <v>0.4</v>
      </c>
    </row>
    <row r="26" spans="1:13" ht="14.4" customHeight="1" x14ac:dyDescent="0.3">
      <c r="A26" s="671" t="s">
        <v>1278</v>
      </c>
      <c r="B26" s="662">
        <v>2308.33</v>
      </c>
      <c r="C26" s="614">
        <v>1</v>
      </c>
      <c r="D26" s="675">
        <v>19</v>
      </c>
      <c r="E26" s="678" t="s">
        <v>1278</v>
      </c>
      <c r="F26" s="662"/>
      <c r="G26" s="630">
        <v>0</v>
      </c>
      <c r="H26" s="617"/>
      <c r="I26" s="653">
        <v>0</v>
      </c>
      <c r="J26" s="681">
        <v>2308.33</v>
      </c>
      <c r="K26" s="630">
        <v>1</v>
      </c>
      <c r="L26" s="617">
        <v>19</v>
      </c>
      <c r="M26" s="653">
        <v>1</v>
      </c>
    </row>
    <row r="27" spans="1:13" ht="14.4" customHeight="1" x14ac:dyDescent="0.3">
      <c r="A27" s="671" t="s">
        <v>1279</v>
      </c>
      <c r="B27" s="662">
        <v>1366.6</v>
      </c>
      <c r="C27" s="614">
        <v>1</v>
      </c>
      <c r="D27" s="675">
        <v>9</v>
      </c>
      <c r="E27" s="678" t="s">
        <v>1279</v>
      </c>
      <c r="F27" s="662"/>
      <c r="G27" s="630">
        <v>0</v>
      </c>
      <c r="H27" s="617"/>
      <c r="I27" s="653">
        <v>0</v>
      </c>
      <c r="J27" s="681">
        <v>1366.6</v>
      </c>
      <c r="K27" s="630">
        <v>1</v>
      </c>
      <c r="L27" s="617">
        <v>9</v>
      </c>
      <c r="M27" s="653">
        <v>1</v>
      </c>
    </row>
    <row r="28" spans="1:13" ht="14.4" customHeight="1" x14ac:dyDescent="0.3">
      <c r="A28" s="671" t="s">
        <v>1280</v>
      </c>
      <c r="B28" s="662">
        <v>35581.200000000004</v>
      </c>
      <c r="C28" s="614">
        <v>1</v>
      </c>
      <c r="D28" s="675">
        <v>244</v>
      </c>
      <c r="E28" s="678" t="s">
        <v>1280</v>
      </c>
      <c r="F28" s="662">
        <v>12500.120000000003</v>
      </c>
      <c r="G28" s="630">
        <v>0.35131249086596295</v>
      </c>
      <c r="H28" s="617">
        <v>83</v>
      </c>
      <c r="I28" s="653">
        <v>0.3401639344262295</v>
      </c>
      <c r="J28" s="681">
        <v>23081.08</v>
      </c>
      <c r="K28" s="630">
        <v>0.64868750913403705</v>
      </c>
      <c r="L28" s="617">
        <v>161</v>
      </c>
      <c r="M28" s="653">
        <v>0.6598360655737705</v>
      </c>
    </row>
    <row r="29" spans="1:13" ht="14.4" customHeight="1" x14ac:dyDescent="0.3">
      <c r="A29" s="671" t="s">
        <v>1281</v>
      </c>
      <c r="B29" s="662">
        <v>16697.09</v>
      </c>
      <c r="C29" s="614">
        <v>1</v>
      </c>
      <c r="D29" s="675">
        <v>148</v>
      </c>
      <c r="E29" s="678" t="s">
        <v>1281</v>
      </c>
      <c r="F29" s="662">
        <v>7806.4400000000014</v>
      </c>
      <c r="G29" s="630">
        <v>0.46753296532509564</v>
      </c>
      <c r="H29" s="617">
        <v>54</v>
      </c>
      <c r="I29" s="653">
        <v>0.36486486486486486</v>
      </c>
      <c r="J29" s="681">
        <v>8890.65</v>
      </c>
      <c r="K29" s="630">
        <v>0.53246703467490442</v>
      </c>
      <c r="L29" s="617">
        <v>94</v>
      </c>
      <c r="M29" s="653">
        <v>0.63513513513513509</v>
      </c>
    </row>
    <row r="30" spans="1:13" ht="14.4" customHeight="1" x14ac:dyDescent="0.3">
      <c r="A30" s="671" t="s">
        <v>1282</v>
      </c>
      <c r="B30" s="662">
        <v>1439.9299999999998</v>
      </c>
      <c r="C30" s="614">
        <v>1</v>
      </c>
      <c r="D30" s="675">
        <v>10</v>
      </c>
      <c r="E30" s="678" t="s">
        <v>1282</v>
      </c>
      <c r="F30" s="662">
        <v>300.08</v>
      </c>
      <c r="G30" s="630">
        <v>0.20839901939677624</v>
      </c>
      <c r="H30" s="617">
        <v>2</v>
      </c>
      <c r="I30" s="653">
        <v>0.2</v>
      </c>
      <c r="J30" s="681">
        <v>1139.8499999999999</v>
      </c>
      <c r="K30" s="630">
        <v>0.79160098060322381</v>
      </c>
      <c r="L30" s="617">
        <v>8</v>
      </c>
      <c r="M30" s="653">
        <v>0.8</v>
      </c>
    </row>
    <row r="31" spans="1:13" ht="14.4" customHeight="1" x14ac:dyDescent="0.3">
      <c r="A31" s="671" t="s">
        <v>1283</v>
      </c>
      <c r="B31" s="662">
        <v>4181.68</v>
      </c>
      <c r="C31" s="614">
        <v>1</v>
      </c>
      <c r="D31" s="675">
        <v>28</v>
      </c>
      <c r="E31" s="678" t="s">
        <v>1283</v>
      </c>
      <c r="F31" s="662">
        <v>1063.58</v>
      </c>
      <c r="G31" s="630">
        <v>0.2543427521952899</v>
      </c>
      <c r="H31" s="617">
        <v>6</v>
      </c>
      <c r="I31" s="653">
        <v>0.21428571428571427</v>
      </c>
      <c r="J31" s="681">
        <v>3118.1000000000004</v>
      </c>
      <c r="K31" s="630">
        <v>0.7456572478047101</v>
      </c>
      <c r="L31" s="617">
        <v>22</v>
      </c>
      <c r="M31" s="653">
        <v>0.7857142857142857</v>
      </c>
    </row>
    <row r="32" spans="1:13" ht="14.4" customHeight="1" x14ac:dyDescent="0.3">
      <c r="A32" s="671" t="s">
        <v>1284</v>
      </c>
      <c r="B32" s="662">
        <v>4019.1800000000012</v>
      </c>
      <c r="C32" s="614">
        <v>1</v>
      </c>
      <c r="D32" s="675">
        <v>28</v>
      </c>
      <c r="E32" s="678" t="s">
        <v>1284</v>
      </c>
      <c r="F32" s="662">
        <v>478.65999999999997</v>
      </c>
      <c r="G32" s="630">
        <v>0.11909394453595007</v>
      </c>
      <c r="H32" s="617">
        <v>4</v>
      </c>
      <c r="I32" s="653">
        <v>0.14285714285714285</v>
      </c>
      <c r="J32" s="681">
        <v>3540.5200000000013</v>
      </c>
      <c r="K32" s="630">
        <v>0.88090605546404999</v>
      </c>
      <c r="L32" s="617">
        <v>24</v>
      </c>
      <c r="M32" s="653">
        <v>0.8571428571428571</v>
      </c>
    </row>
    <row r="33" spans="1:13" ht="14.4" customHeight="1" x14ac:dyDescent="0.3">
      <c r="A33" s="671" t="s">
        <v>1285</v>
      </c>
      <c r="B33" s="662">
        <v>96.18</v>
      </c>
      <c r="C33" s="614">
        <v>1</v>
      </c>
      <c r="D33" s="675">
        <v>1</v>
      </c>
      <c r="E33" s="678" t="s">
        <v>1285</v>
      </c>
      <c r="F33" s="662">
        <v>96.18</v>
      </c>
      <c r="G33" s="630">
        <v>1</v>
      </c>
      <c r="H33" s="617">
        <v>1</v>
      </c>
      <c r="I33" s="653">
        <v>1</v>
      </c>
      <c r="J33" s="681"/>
      <c r="K33" s="630">
        <v>0</v>
      </c>
      <c r="L33" s="617"/>
      <c r="M33" s="653">
        <v>0</v>
      </c>
    </row>
    <row r="34" spans="1:13" ht="14.4" customHeight="1" thickBot="1" x14ac:dyDescent="0.35">
      <c r="A34" s="672" t="s">
        <v>1286</v>
      </c>
      <c r="B34" s="663">
        <v>1070.8400000000001</v>
      </c>
      <c r="C34" s="620">
        <v>1</v>
      </c>
      <c r="D34" s="676">
        <v>6</v>
      </c>
      <c r="E34" s="679" t="s">
        <v>1286</v>
      </c>
      <c r="F34" s="663">
        <v>766.96</v>
      </c>
      <c r="G34" s="631">
        <v>0.71622277837958981</v>
      </c>
      <c r="H34" s="623">
        <v>5</v>
      </c>
      <c r="I34" s="654">
        <v>0.83333333333333337</v>
      </c>
      <c r="J34" s="682">
        <v>303.88</v>
      </c>
      <c r="K34" s="631">
        <v>0.28377722162041008</v>
      </c>
      <c r="L34" s="623">
        <v>1</v>
      </c>
      <c r="M34" s="654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8" hidden="1" customWidth="1" outlineLevel="1"/>
    <col min="2" max="2" width="28.33203125" style="248" hidden="1" customWidth="1" outlineLevel="1"/>
    <col min="3" max="3" width="9" style="248" customWidth="1" collapsed="1"/>
    <col min="4" max="4" width="18.77734375" style="340" customWidth="1"/>
    <col min="5" max="5" width="13.5546875" style="330" customWidth="1"/>
    <col min="6" max="6" width="6" style="248" bestFit="1" customWidth="1"/>
    <col min="7" max="7" width="8.77734375" style="248" customWidth="1"/>
    <col min="8" max="8" width="5" style="248" bestFit="1" customWidth="1"/>
    <col min="9" max="9" width="8.5546875" style="248" hidden="1" customWidth="1" outlineLevel="1"/>
    <col min="10" max="10" width="25.77734375" style="248" customWidth="1" collapsed="1"/>
    <col min="11" max="11" width="8.77734375" style="248" customWidth="1"/>
    <col min="12" max="12" width="7.77734375" style="331" customWidth="1"/>
    <col min="13" max="13" width="11.109375" style="331" customWidth="1"/>
    <col min="14" max="14" width="7.77734375" style="248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8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8"/>
  </cols>
  <sheetData>
    <row r="1" spans="1:21" ht="18.600000000000001" customHeight="1" thickBot="1" x14ac:dyDescent="0.4">
      <c r="A1" s="489" t="s">
        <v>1786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</row>
    <row r="2" spans="1:21" ht="14.4" customHeight="1" thickBot="1" x14ac:dyDescent="0.35">
      <c r="A2" s="375" t="s">
        <v>320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21"/>
      <c r="B3" s="522"/>
      <c r="C3" s="522"/>
      <c r="D3" s="522"/>
      <c r="E3" s="522"/>
      <c r="F3" s="522"/>
      <c r="G3" s="522"/>
      <c r="H3" s="522"/>
      <c r="I3" s="522"/>
      <c r="J3" s="522"/>
      <c r="K3" s="523" t="s">
        <v>153</v>
      </c>
      <c r="L3" s="524"/>
      <c r="M3" s="65">
        <f>SUBTOTAL(9,M7:M1048576)</f>
        <v>250219.40000000002</v>
      </c>
      <c r="N3" s="65">
        <f>SUBTOTAL(9,N7:N1048576)</f>
        <v>1880</v>
      </c>
      <c r="O3" s="65">
        <f>SUBTOTAL(9,O7:O1048576)</f>
        <v>1502.5</v>
      </c>
      <c r="P3" s="65">
        <f>SUBTOTAL(9,P7:P1048576)</f>
        <v>105018.22999999995</v>
      </c>
      <c r="Q3" s="66">
        <f>IF(M3=0,0,P3/M3)</f>
        <v>0.41970458725422544</v>
      </c>
      <c r="R3" s="65">
        <f>SUBTOTAL(9,R7:R1048576)</f>
        <v>746</v>
      </c>
      <c r="S3" s="66">
        <f>IF(N3=0,0,R3/N3)</f>
        <v>0.39680851063829786</v>
      </c>
      <c r="T3" s="65">
        <f>SUBTOTAL(9,T7:T1048576)</f>
        <v>555</v>
      </c>
      <c r="U3" s="67">
        <f>IF(O3=0,0,T3/O3)</f>
        <v>0.36938435940099834</v>
      </c>
    </row>
    <row r="4" spans="1:21" ht="14.4" customHeight="1" x14ac:dyDescent="0.3">
      <c r="A4" s="68"/>
      <c r="B4" s="69"/>
      <c r="C4" s="69"/>
      <c r="D4" s="70"/>
      <c r="E4" s="262"/>
      <c r="F4" s="69"/>
      <c r="G4" s="69"/>
      <c r="H4" s="69"/>
      <c r="I4" s="69"/>
      <c r="J4" s="69"/>
      <c r="K4" s="69"/>
      <c r="L4" s="69"/>
      <c r="M4" s="525" t="s">
        <v>15</v>
      </c>
      <c r="N4" s="526"/>
      <c r="O4" s="526"/>
      <c r="P4" s="527" t="s">
        <v>21</v>
      </c>
      <c r="Q4" s="526"/>
      <c r="R4" s="526"/>
      <c r="S4" s="526"/>
      <c r="T4" s="526"/>
      <c r="U4" s="528"/>
    </row>
    <row r="5" spans="1:21" ht="14.4" customHeight="1" thickBot="1" x14ac:dyDescent="0.35">
      <c r="A5" s="71"/>
      <c r="B5" s="72"/>
      <c r="C5" s="69"/>
      <c r="D5" s="70"/>
      <c r="E5" s="262"/>
      <c r="F5" s="69"/>
      <c r="G5" s="69"/>
      <c r="H5" s="69"/>
      <c r="I5" s="69"/>
      <c r="J5" s="69"/>
      <c r="K5" s="69"/>
      <c r="L5" s="69"/>
      <c r="M5" s="105" t="s">
        <v>22</v>
      </c>
      <c r="N5" s="106" t="s">
        <v>13</v>
      </c>
      <c r="O5" s="106" t="s">
        <v>20</v>
      </c>
      <c r="P5" s="518" t="s">
        <v>22</v>
      </c>
      <c r="Q5" s="519"/>
      <c r="R5" s="518" t="s">
        <v>13</v>
      </c>
      <c r="S5" s="519"/>
      <c r="T5" s="518" t="s">
        <v>20</v>
      </c>
      <c r="U5" s="520"/>
    </row>
    <row r="6" spans="1:21" s="330" customFormat="1" ht="14.4" customHeight="1" thickBot="1" x14ac:dyDescent="0.35">
      <c r="A6" s="683" t="s">
        <v>23</v>
      </c>
      <c r="B6" s="684" t="s">
        <v>5</v>
      </c>
      <c r="C6" s="683" t="s">
        <v>24</v>
      </c>
      <c r="D6" s="684" t="s">
        <v>6</v>
      </c>
      <c r="E6" s="684" t="s">
        <v>186</v>
      </c>
      <c r="F6" s="684" t="s">
        <v>25</v>
      </c>
      <c r="G6" s="684" t="s">
        <v>26</v>
      </c>
      <c r="H6" s="684" t="s">
        <v>8</v>
      </c>
      <c r="I6" s="684" t="s">
        <v>10</v>
      </c>
      <c r="J6" s="684" t="s">
        <v>11</v>
      </c>
      <c r="K6" s="684" t="s">
        <v>12</v>
      </c>
      <c r="L6" s="684" t="s">
        <v>27</v>
      </c>
      <c r="M6" s="685" t="s">
        <v>14</v>
      </c>
      <c r="N6" s="686" t="s">
        <v>28</v>
      </c>
      <c r="O6" s="686" t="s">
        <v>28</v>
      </c>
      <c r="P6" s="686" t="s">
        <v>14</v>
      </c>
      <c r="Q6" s="686" t="s">
        <v>2</v>
      </c>
      <c r="R6" s="686" t="s">
        <v>28</v>
      </c>
      <c r="S6" s="686" t="s">
        <v>2</v>
      </c>
      <c r="T6" s="686" t="s">
        <v>28</v>
      </c>
      <c r="U6" s="687" t="s">
        <v>2</v>
      </c>
    </row>
    <row r="7" spans="1:21" ht="14.4" customHeight="1" x14ac:dyDescent="0.3">
      <c r="A7" s="688">
        <v>25</v>
      </c>
      <c r="B7" s="689" t="s">
        <v>1112</v>
      </c>
      <c r="C7" s="689" t="s">
        <v>1245</v>
      </c>
      <c r="D7" s="690" t="s">
        <v>1782</v>
      </c>
      <c r="E7" s="691" t="s">
        <v>1262</v>
      </c>
      <c r="F7" s="689" t="s">
        <v>1243</v>
      </c>
      <c r="G7" s="689" t="s">
        <v>1287</v>
      </c>
      <c r="H7" s="689" t="s">
        <v>770</v>
      </c>
      <c r="I7" s="689" t="s">
        <v>956</v>
      </c>
      <c r="J7" s="689" t="s">
        <v>864</v>
      </c>
      <c r="K7" s="689" t="s">
        <v>1196</v>
      </c>
      <c r="L7" s="692">
        <v>150.04</v>
      </c>
      <c r="M7" s="692">
        <v>300.08</v>
      </c>
      <c r="N7" s="689">
        <v>2</v>
      </c>
      <c r="O7" s="693">
        <v>2</v>
      </c>
      <c r="P7" s="692">
        <v>150.04</v>
      </c>
      <c r="Q7" s="694">
        <v>0.5</v>
      </c>
      <c r="R7" s="689">
        <v>1</v>
      </c>
      <c r="S7" s="694">
        <v>0.5</v>
      </c>
      <c r="T7" s="693">
        <v>1</v>
      </c>
      <c r="U7" s="229">
        <v>0.5</v>
      </c>
    </row>
    <row r="8" spans="1:21" ht="14.4" customHeight="1" x14ac:dyDescent="0.3">
      <c r="A8" s="613">
        <v>25</v>
      </c>
      <c r="B8" s="614" t="s">
        <v>1112</v>
      </c>
      <c r="C8" s="614" t="s">
        <v>1245</v>
      </c>
      <c r="D8" s="695" t="s">
        <v>1782</v>
      </c>
      <c r="E8" s="696" t="s">
        <v>1262</v>
      </c>
      <c r="F8" s="614" t="s">
        <v>1243</v>
      </c>
      <c r="G8" s="614" t="s">
        <v>1287</v>
      </c>
      <c r="H8" s="614" t="s">
        <v>770</v>
      </c>
      <c r="I8" s="614" t="s">
        <v>956</v>
      </c>
      <c r="J8" s="614" t="s">
        <v>864</v>
      </c>
      <c r="K8" s="614" t="s">
        <v>1196</v>
      </c>
      <c r="L8" s="615">
        <v>154.36000000000001</v>
      </c>
      <c r="M8" s="615">
        <v>1234.8800000000001</v>
      </c>
      <c r="N8" s="614">
        <v>8</v>
      </c>
      <c r="O8" s="697">
        <v>7</v>
      </c>
      <c r="P8" s="615"/>
      <c r="Q8" s="630">
        <v>0</v>
      </c>
      <c r="R8" s="614"/>
      <c r="S8" s="630">
        <v>0</v>
      </c>
      <c r="T8" s="697"/>
      <c r="U8" s="653">
        <v>0</v>
      </c>
    </row>
    <row r="9" spans="1:21" ht="14.4" customHeight="1" x14ac:dyDescent="0.3">
      <c r="A9" s="613">
        <v>25</v>
      </c>
      <c r="B9" s="614" t="s">
        <v>1112</v>
      </c>
      <c r="C9" s="614" t="s">
        <v>1245</v>
      </c>
      <c r="D9" s="695" t="s">
        <v>1782</v>
      </c>
      <c r="E9" s="696" t="s">
        <v>1262</v>
      </c>
      <c r="F9" s="614" t="s">
        <v>1243</v>
      </c>
      <c r="G9" s="614" t="s">
        <v>1287</v>
      </c>
      <c r="H9" s="614" t="s">
        <v>325</v>
      </c>
      <c r="I9" s="614" t="s">
        <v>1288</v>
      </c>
      <c r="J9" s="614" t="s">
        <v>864</v>
      </c>
      <c r="K9" s="614" t="s">
        <v>1196</v>
      </c>
      <c r="L9" s="615">
        <v>154.36000000000001</v>
      </c>
      <c r="M9" s="615">
        <v>154.36000000000001</v>
      </c>
      <c r="N9" s="614">
        <v>1</v>
      </c>
      <c r="O9" s="697">
        <v>1</v>
      </c>
      <c r="P9" s="615">
        <v>154.36000000000001</v>
      </c>
      <c r="Q9" s="630">
        <v>1</v>
      </c>
      <c r="R9" s="614">
        <v>1</v>
      </c>
      <c r="S9" s="630">
        <v>1</v>
      </c>
      <c r="T9" s="697">
        <v>1</v>
      </c>
      <c r="U9" s="653">
        <v>1</v>
      </c>
    </row>
    <row r="10" spans="1:21" ht="14.4" customHeight="1" x14ac:dyDescent="0.3">
      <c r="A10" s="613">
        <v>25</v>
      </c>
      <c r="B10" s="614" t="s">
        <v>1112</v>
      </c>
      <c r="C10" s="614" t="s">
        <v>1245</v>
      </c>
      <c r="D10" s="695" t="s">
        <v>1782</v>
      </c>
      <c r="E10" s="696" t="s">
        <v>1262</v>
      </c>
      <c r="F10" s="614" t="s">
        <v>1243</v>
      </c>
      <c r="G10" s="614" t="s">
        <v>1289</v>
      </c>
      <c r="H10" s="614" t="s">
        <v>325</v>
      </c>
      <c r="I10" s="614" t="s">
        <v>1290</v>
      </c>
      <c r="J10" s="614" t="s">
        <v>920</v>
      </c>
      <c r="K10" s="614" t="s">
        <v>1209</v>
      </c>
      <c r="L10" s="615">
        <v>0</v>
      </c>
      <c r="M10" s="615">
        <v>0</v>
      </c>
      <c r="N10" s="614">
        <v>2</v>
      </c>
      <c r="O10" s="697">
        <v>1</v>
      </c>
      <c r="P10" s="615">
        <v>0</v>
      </c>
      <c r="Q10" s="630"/>
      <c r="R10" s="614">
        <v>2</v>
      </c>
      <c r="S10" s="630">
        <v>1</v>
      </c>
      <c r="T10" s="697">
        <v>1</v>
      </c>
      <c r="U10" s="653">
        <v>1</v>
      </c>
    </row>
    <row r="11" spans="1:21" ht="14.4" customHeight="1" x14ac:dyDescent="0.3">
      <c r="A11" s="613">
        <v>25</v>
      </c>
      <c r="B11" s="614" t="s">
        <v>1112</v>
      </c>
      <c r="C11" s="614" t="s">
        <v>1245</v>
      </c>
      <c r="D11" s="695" t="s">
        <v>1782</v>
      </c>
      <c r="E11" s="696" t="s">
        <v>1262</v>
      </c>
      <c r="F11" s="614" t="s">
        <v>1243</v>
      </c>
      <c r="G11" s="614" t="s">
        <v>1291</v>
      </c>
      <c r="H11" s="614" t="s">
        <v>325</v>
      </c>
      <c r="I11" s="614" t="s">
        <v>930</v>
      </c>
      <c r="J11" s="614" t="s">
        <v>931</v>
      </c>
      <c r="K11" s="614" t="s">
        <v>932</v>
      </c>
      <c r="L11" s="615">
        <v>147.31</v>
      </c>
      <c r="M11" s="615">
        <v>736.55</v>
      </c>
      <c r="N11" s="614">
        <v>5</v>
      </c>
      <c r="O11" s="697">
        <v>4</v>
      </c>
      <c r="P11" s="615">
        <v>736.55</v>
      </c>
      <c r="Q11" s="630">
        <v>1</v>
      </c>
      <c r="R11" s="614">
        <v>5</v>
      </c>
      <c r="S11" s="630">
        <v>1</v>
      </c>
      <c r="T11" s="697">
        <v>4</v>
      </c>
      <c r="U11" s="653">
        <v>1</v>
      </c>
    </row>
    <row r="12" spans="1:21" ht="14.4" customHeight="1" x14ac:dyDescent="0.3">
      <c r="A12" s="613">
        <v>25</v>
      </c>
      <c r="B12" s="614" t="s">
        <v>1112</v>
      </c>
      <c r="C12" s="614" t="s">
        <v>1245</v>
      </c>
      <c r="D12" s="695" t="s">
        <v>1782</v>
      </c>
      <c r="E12" s="696" t="s">
        <v>1262</v>
      </c>
      <c r="F12" s="614" t="s">
        <v>1243</v>
      </c>
      <c r="G12" s="614" t="s">
        <v>1292</v>
      </c>
      <c r="H12" s="614" t="s">
        <v>770</v>
      </c>
      <c r="I12" s="614" t="s">
        <v>776</v>
      </c>
      <c r="J12" s="614" t="s">
        <v>714</v>
      </c>
      <c r="K12" s="614" t="s">
        <v>1219</v>
      </c>
      <c r="L12" s="615">
        <v>48.42</v>
      </c>
      <c r="M12" s="615">
        <v>48.42</v>
      </c>
      <c r="N12" s="614">
        <v>1</v>
      </c>
      <c r="O12" s="697">
        <v>1</v>
      </c>
      <c r="P12" s="615">
        <v>48.42</v>
      </c>
      <c r="Q12" s="630">
        <v>1</v>
      </c>
      <c r="R12" s="614">
        <v>1</v>
      </c>
      <c r="S12" s="630">
        <v>1</v>
      </c>
      <c r="T12" s="697">
        <v>1</v>
      </c>
      <c r="U12" s="653">
        <v>1</v>
      </c>
    </row>
    <row r="13" spans="1:21" ht="14.4" customHeight="1" x14ac:dyDescent="0.3">
      <c r="A13" s="613">
        <v>25</v>
      </c>
      <c r="B13" s="614" t="s">
        <v>1112</v>
      </c>
      <c r="C13" s="614" t="s">
        <v>1245</v>
      </c>
      <c r="D13" s="695" t="s">
        <v>1782</v>
      </c>
      <c r="E13" s="696" t="s">
        <v>1267</v>
      </c>
      <c r="F13" s="614" t="s">
        <v>1243</v>
      </c>
      <c r="G13" s="614" t="s">
        <v>1287</v>
      </c>
      <c r="H13" s="614" t="s">
        <v>770</v>
      </c>
      <c r="I13" s="614" t="s">
        <v>956</v>
      </c>
      <c r="J13" s="614" t="s">
        <v>864</v>
      </c>
      <c r="K13" s="614" t="s">
        <v>1196</v>
      </c>
      <c r="L13" s="615">
        <v>154.36000000000001</v>
      </c>
      <c r="M13" s="615">
        <v>2161.0400000000009</v>
      </c>
      <c r="N13" s="614">
        <v>14</v>
      </c>
      <c r="O13" s="697">
        <v>13</v>
      </c>
      <c r="P13" s="615">
        <v>308.72000000000003</v>
      </c>
      <c r="Q13" s="630">
        <v>0.14285714285714282</v>
      </c>
      <c r="R13" s="614">
        <v>2</v>
      </c>
      <c r="S13" s="630">
        <v>0.14285714285714285</v>
      </c>
      <c r="T13" s="697">
        <v>1.5</v>
      </c>
      <c r="U13" s="653">
        <v>0.11538461538461539</v>
      </c>
    </row>
    <row r="14" spans="1:21" ht="14.4" customHeight="1" x14ac:dyDescent="0.3">
      <c r="A14" s="613">
        <v>25</v>
      </c>
      <c r="B14" s="614" t="s">
        <v>1112</v>
      </c>
      <c r="C14" s="614" t="s">
        <v>1245</v>
      </c>
      <c r="D14" s="695" t="s">
        <v>1782</v>
      </c>
      <c r="E14" s="696" t="s">
        <v>1267</v>
      </c>
      <c r="F14" s="614" t="s">
        <v>1243</v>
      </c>
      <c r="G14" s="614" t="s">
        <v>1289</v>
      </c>
      <c r="H14" s="614" t="s">
        <v>325</v>
      </c>
      <c r="I14" s="614" t="s">
        <v>919</v>
      </c>
      <c r="J14" s="614" t="s">
        <v>920</v>
      </c>
      <c r="K14" s="614" t="s">
        <v>1209</v>
      </c>
      <c r="L14" s="615">
        <v>170.52</v>
      </c>
      <c r="M14" s="615">
        <v>170.52</v>
      </c>
      <c r="N14" s="614">
        <v>1</v>
      </c>
      <c r="O14" s="697">
        <v>1</v>
      </c>
      <c r="P14" s="615">
        <v>170.52</v>
      </c>
      <c r="Q14" s="630">
        <v>1</v>
      </c>
      <c r="R14" s="614">
        <v>1</v>
      </c>
      <c r="S14" s="630">
        <v>1</v>
      </c>
      <c r="T14" s="697">
        <v>1</v>
      </c>
      <c r="U14" s="653">
        <v>1</v>
      </c>
    </row>
    <row r="15" spans="1:21" ht="14.4" customHeight="1" x14ac:dyDescent="0.3">
      <c r="A15" s="613">
        <v>25</v>
      </c>
      <c r="B15" s="614" t="s">
        <v>1112</v>
      </c>
      <c r="C15" s="614" t="s">
        <v>1245</v>
      </c>
      <c r="D15" s="695" t="s">
        <v>1782</v>
      </c>
      <c r="E15" s="696" t="s">
        <v>1267</v>
      </c>
      <c r="F15" s="614" t="s">
        <v>1243</v>
      </c>
      <c r="G15" s="614" t="s">
        <v>1291</v>
      </c>
      <c r="H15" s="614" t="s">
        <v>325</v>
      </c>
      <c r="I15" s="614" t="s">
        <v>930</v>
      </c>
      <c r="J15" s="614" t="s">
        <v>931</v>
      </c>
      <c r="K15" s="614" t="s">
        <v>932</v>
      </c>
      <c r="L15" s="615">
        <v>147.31</v>
      </c>
      <c r="M15" s="615">
        <v>589.24</v>
      </c>
      <c r="N15" s="614">
        <v>4</v>
      </c>
      <c r="O15" s="697">
        <v>3</v>
      </c>
      <c r="P15" s="615">
        <v>441.93</v>
      </c>
      <c r="Q15" s="630">
        <v>0.75</v>
      </c>
      <c r="R15" s="614">
        <v>3</v>
      </c>
      <c r="S15" s="630">
        <v>0.75</v>
      </c>
      <c r="T15" s="697">
        <v>2</v>
      </c>
      <c r="U15" s="653">
        <v>0.66666666666666663</v>
      </c>
    </row>
    <row r="16" spans="1:21" ht="14.4" customHeight="1" x14ac:dyDescent="0.3">
      <c r="A16" s="613">
        <v>25</v>
      </c>
      <c r="B16" s="614" t="s">
        <v>1112</v>
      </c>
      <c r="C16" s="614" t="s">
        <v>1245</v>
      </c>
      <c r="D16" s="695" t="s">
        <v>1782</v>
      </c>
      <c r="E16" s="696" t="s">
        <v>1267</v>
      </c>
      <c r="F16" s="614" t="s">
        <v>1243</v>
      </c>
      <c r="G16" s="614" t="s">
        <v>1293</v>
      </c>
      <c r="H16" s="614" t="s">
        <v>325</v>
      </c>
      <c r="I16" s="614" t="s">
        <v>622</v>
      </c>
      <c r="J16" s="614" t="s">
        <v>623</v>
      </c>
      <c r="K16" s="614" t="s">
        <v>1294</v>
      </c>
      <c r="L16" s="615">
        <v>111.07</v>
      </c>
      <c r="M16" s="615">
        <v>444.28</v>
      </c>
      <c r="N16" s="614">
        <v>4</v>
      </c>
      <c r="O16" s="697">
        <v>1.5</v>
      </c>
      <c r="P16" s="615">
        <v>111.07</v>
      </c>
      <c r="Q16" s="630">
        <v>0.25</v>
      </c>
      <c r="R16" s="614">
        <v>1</v>
      </c>
      <c r="S16" s="630">
        <v>0.25</v>
      </c>
      <c r="T16" s="697">
        <v>0.5</v>
      </c>
      <c r="U16" s="653">
        <v>0.33333333333333331</v>
      </c>
    </row>
    <row r="17" spans="1:21" ht="14.4" customHeight="1" x14ac:dyDescent="0.3">
      <c r="A17" s="613">
        <v>25</v>
      </c>
      <c r="B17" s="614" t="s">
        <v>1112</v>
      </c>
      <c r="C17" s="614" t="s">
        <v>1245</v>
      </c>
      <c r="D17" s="695" t="s">
        <v>1782</v>
      </c>
      <c r="E17" s="696" t="s">
        <v>1267</v>
      </c>
      <c r="F17" s="614" t="s">
        <v>1243</v>
      </c>
      <c r="G17" s="614" t="s">
        <v>1293</v>
      </c>
      <c r="H17" s="614" t="s">
        <v>325</v>
      </c>
      <c r="I17" s="614" t="s">
        <v>1295</v>
      </c>
      <c r="J17" s="614" t="s">
        <v>623</v>
      </c>
      <c r="K17" s="614" t="s">
        <v>1296</v>
      </c>
      <c r="L17" s="615">
        <v>0</v>
      </c>
      <c r="M17" s="615">
        <v>0</v>
      </c>
      <c r="N17" s="614">
        <v>1</v>
      </c>
      <c r="O17" s="697">
        <v>0.5</v>
      </c>
      <c r="P17" s="615">
        <v>0</v>
      </c>
      <c r="Q17" s="630"/>
      <c r="R17" s="614">
        <v>1</v>
      </c>
      <c r="S17" s="630">
        <v>1</v>
      </c>
      <c r="T17" s="697">
        <v>0.5</v>
      </c>
      <c r="U17" s="653">
        <v>1</v>
      </c>
    </row>
    <row r="18" spans="1:21" ht="14.4" customHeight="1" x14ac:dyDescent="0.3">
      <c r="A18" s="613">
        <v>25</v>
      </c>
      <c r="B18" s="614" t="s">
        <v>1112</v>
      </c>
      <c r="C18" s="614" t="s">
        <v>1245</v>
      </c>
      <c r="D18" s="695" t="s">
        <v>1782</v>
      </c>
      <c r="E18" s="696" t="s">
        <v>1267</v>
      </c>
      <c r="F18" s="614" t="s">
        <v>1243</v>
      </c>
      <c r="G18" s="614" t="s">
        <v>1297</v>
      </c>
      <c r="H18" s="614" t="s">
        <v>325</v>
      </c>
      <c r="I18" s="614" t="s">
        <v>907</v>
      </c>
      <c r="J18" s="614" t="s">
        <v>908</v>
      </c>
      <c r="K18" s="614" t="s">
        <v>1296</v>
      </c>
      <c r="L18" s="615">
        <v>30.17</v>
      </c>
      <c r="M18" s="615">
        <v>30.17</v>
      </c>
      <c r="N18" s="614">
        <v>1</v>
      </c>
      <c r="O18" s="697">
        <v>0.5</v>
      </c>
      <c r="P18" s="615">
        <v>30.17</v>
      </c>
      <c r="Q18" s="630">
        <v>1</v>
      </c>
      <c r="R18" s="614">
        <v>1</v>
      </c>
      <c r="S18" s="630">
        <v>1</v>
      </c>
      <c r="T18" s="697">
        <v>0.5</v>
      </c>
      <c r="U18" s="653">
        <v>1</v>
      </c>
    </row>
    <row r="19" spans="1:21" ht="14.4" customHeight="1" x14ac:dyDescent="0.3">
      <c r="A19" s="613">
        <v>25</v>
      </c>
      <c r="B19" s="614" t="s">
        <v>1112</v>
      </c>
      <c r="C19" s="614" t="s">
        <v>1245</v>
      </c>
      <c r="D19" s="695" t="s">
        <v>1782</v>
      </c>
      <c r="E19" s="696" t="s">
        <v>1267</v>
      </c>
      <c r="F19" s="614" t="s">
        <v>1243</v>
      </c>
      <c r="G19" s="614" t="s">
        <v>1292</v>
      </c>
      <c r="H19" s="614" t="s">
        <v>770</v>
      </c>
      <c r="I19" s="614" t="s">
        <v>776</v>
      </c>
      <c r="J19" s="614" t="s">
        <v>714</v>
      </c>
      <c r="K19" s="614" t="s">
        <v>1219</v>
      </c>
      <c r="L19" s="615">
        <v>48.42</v>
      </c>
      <c r="M19" s="615">
        <v>48.42</v>
      </c>
      <c r="N19" s="614">
        <v>1</v>
      </c>
      <c r="O19" s="697">
        <v>0.5</v>
      </c>
      <c r="P19" s="615"/>
      <c r="Q19" s="630">
        <v>0</v>
      </c>
      <c r="R19" s="614"/>
      <c r="S19" s="630">
        <v>0</v>
      </c>
      <c r="T19" s="697"/>
      <c r="U19" s="653">
        <v>0</v>
      </c>
    </row>
    <row r="20" spans="1:21" ht="14.4" customHeight="1" x14ac:dyDescent="0.3">
      <c r="A20" s="613">
        <v>25</v>
      </c>
      <c r="B20" s="614" t="s">
        <v>1112</v>
      </c>
      <c r="C20" s="614" t="s">
        <v>1245</v>
      </c>
      <c r="D20" s="695" t="s">
        <v>1782</v>
      </c>
      <c r="E20" s="696" t="s">
        <v>1267</v>
      </c>
      <c r="F20" s="614" t="s">
        <v>1243</v>
      </c>
      <c r="G20" s="614" t="s">
        <v>1292</v>
      </c>
      <c r="H20" s="614" t="s">
        <v>325</v>
      </c>
      <c r="I20" s="614" t="s">
        <v>1298</v>
      </c>
      <c r="J20" s="614" t="s">
        <v>714</v>
      </c>
      <c r="K20" s="614" t="s">
        <v>1299</v>
      </c>
      <c r="L20" s="615">
        <v>24.22</v>
      </c>
      <c r="M20" s="615">
        <v>24.22</v>
      </c>
      <c r="N20" s="614">
        <v>1</v>
      </c>
      <c r="O20" s="697">
        <v>1</v>
      </c>
      <c r="P20" s="615">
        <v>24.22</v>
      </c>
      <c r="Q20" s="630">
        <v>1</v>
      </c>
      <c r="R20" s="614">
        <v>1</v>
      </c>
      <c r="S20" s="630">
        <v>1</v>
      </c>
      <c r="T20" s="697">
        <v>1</v>
      </c>
      <c r="U20" s="653">
        <v>1</v>
      </c>
    </row>
    <row r="21" spans="1:21" ht="14.4" customHeight="1" x14ac:dyDescent="0.3">
      <c r="A21" s="613">
        <v>25</v>
      </c>
      <c r="B21" s="614" t="s">
        <v>1112</v>
      </c>
      <c r="C21" s="614" t="s">
        <v>1245</v>
      </c>
      <c r="D21" s="695" t="s">
        <v>1782</v>
      </c>
      <c r="E21" s="696" t="s">
        <v>1267</v>
      </c>
      <c r="F21" s="614" t="s">
        <v>1243</v>
      </c>
      <c r="G21" s="614" t="s">
        <v>1300</v>
      </c>
      <c r="H21" s="614" t="s">
        <v>325</v>
      </c>
      <c r="I21" s="614" t="s">
        <v>911</v>
      </c>
      <c r="J21" s="614" t="s">
        <v>912</v>
      </c>
      <c r="K21" s="614" t="s">
        <v>1301</v>
      </c>
      <c r="L21" s="615">
        <v>22.44</v>
      </c>
      <c r="M21" s="615">
        <v>22.44</v>
      </c>
      <c r="N21" s="614">
        <v>1</v>
      </c>
      <c r="O21" s="697">
        <v>1</v>
      </c>
      <c r="P21" s="615"/>
      <c r="Q21" s="630">
        <v>0</v>
      </c>
      <c r="R21" s="614"/>
      <c r="S21" s="630">
        <v>0</v>
      </c>
      <c r="T21" s="697"/>
      <c r="U21" s="653">
        <v>0</v>
      </c>
    </row>
    <row r="22" spans="1:21" ht="14.4" customHeight="1" x14ac:dyDescent="0.3">
      <c r="A22" s="613">
        <v>25</v>
      </c>
      <c r="B22" s="614" t="s">
        <v>1112</v>
      </c>
      <c r="C22" s="614" t="s">
        <v>1245</v>
      </c>
      <c r="D22" s="695" t="s">
        <v>1782</v>
      </c>
      <c r="E22" s="696" t="s">
        <v>1267</v>
      </c>
      <c r="F22" s="614" t="s">
        <v>1243</v>
      </c>
      <c r="G22" s="614" t="s">
        <v>1302</v>
      </c>
      <c r="H22" s="614" t="s">
        <v>770</v>
      </c>
      <c r="I22" s="614" t="s">
        <v>1303</v>
      </c>
      <c r="J22" s="614" t="s">
        <v>990</v>
      </c>
      <c r="K22" s="614" t="s">
        <v>1304</v>
      </c>
      <c r="L22" s="615">
        <v>13849.26</v>
      </c>
      <c r="M22" s="615">
        <v>13849.26</v>
      </c>
      <c r="N22" s="614">
        <v>1</v>
      </c>
      <c r="O22" s="697">
        <v>1</v>
      </c>
      <c r="P22" s="615">
        <v>13849.26</v>
      </c>
      <c r="Q22" s="630">
        <v>1</v>
      </c>
      <c r="R22" s="614">
        <v>1</v>
      </c>
      <c r="S22" s="630">
        <v>1</v>
      </c>
      <c r="T22" s="697">
        <v>1</v>
      </c>
      <c r="U22" s="653">
        <v>1</v>
      </c>
    </row>
    <row r="23" spans="1:21" ht="14.4" customHeight="1" x14ac:dyDescent="0.3">
      <c r="A23" s="613">
        <v>25</v>
      </c>
      <c r="B23" s="614" t="s">
        <v>1112</v>
      </c>
      <c r="C23" s="614" t="s">
        <v>1245</v>
      </c>
      <c r="D23" s="695" t="s">
        <v>1782</v>
      </c>
      <c r="E23" s="696" t="s">
        <v>1269</v>
      </c>
      <c r="F23" s="614" t="s">
        <v>1243</v>
      </c>
      <c r="G23" s="614" t="s">
        <v>1305</v>
      </c>
      <c r="H23" s="614" t="s">
        <v>325</v>
      </c>
      <c r="I23" s="614" t="s">
        <v>1306</v>
      </c>
      <c r="J23" s="614" t="s">
        <v>539</v>
      </c>
      <c r="K23" s="614" t="s">
        <v>540</v>
      </c>
      <c r="L23" s="615">
        <v>0</v>
      </c>
      <c r="M23" s="615">
        <v>0</v>
      </c>
      <c r="N23" s="614">
        <v>1</v>
      </c>
      <c r="O23" s="697">
        <v>0.5</v>
      </c>
      <c r="P23" s="615">
        <v>0</v>
      </c>
      <c r="Q23" s="630"/>
      <c r="R23" s="614">
        <v>1</v>
      </c>
      <c r="S23" s="630">
        <v>1</v>
      </c>
      <c r="T23" s="697">
        <v>0.5</v>
      </c>
      <c r="U23" s="653">
        <v>1</v>
      </c>
    </row>
    <row r="24" spans="1:21" ht="14.4" customHeight="1" x14ac:dyDescent="0.3">
      <c r="A24" s="613">
        <v>25</v>
      </c>
      <c r="B24" s="614" t="s">
        <v>1112</v>
      </c>
      <c r="C24" s="614" t="s">
        <v>1245</v>
      </c>
      <c r="D24" s="695" t="s">
        <v>1782</v>
      </c>
      <c r="E24" s="696" t="s">
        <v>1269</v>
      </c>
      <c r="F24" s="614" t="s">
        <v>1243</v>
      </c>
      <c r="G24" s="614" t="s">
        <v>1287</v>
      </c>
      <c r="H24" s="614" t="s">
        <v>770</v>
      </c>
      <c r="I24" s="614" t="s">
        <v>956</v>
      </c>
      <c r="J24" s="614" t="s">
        <v>864</v>
      </c>
      <c r="K24" s="614" t="s">
        <v>1196</v>
      </c>
      <c r="L24" s="615">
        <v>150.04</v>
      </c>
      <c r="M24" s="615">
        <v>150.04</v>
      </c>
      <c r="N24" s="614">
        <v>1</v>
      </c>
      <c r="O24" s="697">
        <v>1</v>
      </c>
      <c r="P24" s="615"/>
      <c r="Q24" s="630">
        <v>0</v>
      </c>
      <c r="R24" s="614"/>
      <c r="S24" s="630">
        <v>0</v>
      </c>
      <c r="T24" s="697"/>
      <c r="U24" s="653">
        <v>0</v>
      </c>
    </row>
    <row r="25" spans="1:21" ht="14.4" customHeight="1" x14ac:dyDescent="0.3">
      <c r="A25" s="613">
        <v>25</v>
      </c>
      <c r="B25" s="614" t="s">
        <v>1112</v>
      </c>
      <c r="C25" s="614" t="s">
        <v>1245</v>
      </c>
      <c r="D25" s="695" t="s">
        <v>1782</v>
      </c>
      <c r="E25" s="696" t="s">
        <v>1269</v>
      </c>
      <c r="F25" s="614" t="s">
        <v>1243</v>
      </c>
      <c r="G25" s="614" t="s">
        <v>1287</v>
      </c>
      <c r="H25" s="614" t="s">
        <v>770</v>
      </c>
      <c r="I25" s="614" t="s">
        <v>956</v>
      </c>
      <c r="J25" s="614" t="s">
        <v>864</v>
      </c>
      <c r="K25" s="614" t="s">
        <v>1196</v>
      </c>
      <c r="L25" s="615">
        <v>154.36000000000001</v>
      </c>
      <c r="M25" s="615">
        <v>308.72000000000003</v>
      </c>
      <c r="N25" s="614">
        <v>2</v>
      </c>
      <c r="O25" s="697">
        <v>1.5</v>
      </c>
      <c r="P25" s="615">
        <v>154.36000000000001</v>
      </c>
      <c r="Q25" s="630">
        <v>0.5</v>
      </c>
      <c r="R25" s="614">
        <v>1</v>
      </c>
      <c r="S25" s="630">
        <v>0.5</v>
      </c>
      <c r="T25" s="697">
        <v>0.5</v>
      </c>
      <c r="U25" s="653">
        <v>0.33333333333333331</v>
      </c>
    </row>
    <row r="26" spans="1:21" ht="14.4" customHeight="1" x14ac:dyDescent="0.3">
      <c r="A26" s="613">
        <v>25</v>
      </c>
      <c r="B26" s="614" t="s">
        <v>1112</v>
      </c>
      <c r="C26" s="614" t="s">
        <v>1245</v>
      </c>
      <c r="D26" s="695" t="s">
        <v>1782</v>
      </c>
      <c r="E26" s="696" t="s">
        <v>1269</v>
      </c>
      <c r="F26" s="614" t="s">
        <v>1243</v>
      </c>
      <c r="G26" s="614" t="s">
        <v>1292</v>
      </c>
      <c r="H26" s="614" t="s">
        <v>770</v>
      </c>
      <c r="I26" s="614" t="s">
        <v>1307</v>
      </c>
      <c r="J26" s="614" t="s">
        <v>714</v>
      </c>
      <c r="K26" s="614" t="s">
        <v>1308</v>
      </c>
      <c r="L26" s="615">
        <v>24.22</v>
      </c>
      <c r="M26" s="615">
        <v>24.22</v>
      </c>
      <c r="N26" s="614">
        <v>1</v>
      </c>
      <c r="O26" s="697">
        <v>0.5</v>
      </c>
      <c r="P26" s="615">
        <v>24.22</v>
      </c>
      <c r="Q26" s="630">
        <v>1</v>
      </c>
      <c r="R26" s="614">
        <v>1</v>
      </c>
      <c r="S26" s="630">
        <v>1</v>
      </c>
      <c r="T26" s="697">
        <v>0.5</v>
      </c>
      <c r="U26" s="653">
        <v>1</v>
      </c>
    </row>
    <row r="27" spans="1:21" ht="14.4" customHeight="1" x14ac:dyDescent="0.3">
      <c r="A27" s="613">
        <v>25</v>
      </c>
      <c r="B27" s="614" t="s">
        <v>1112</v>
      </c>
      <c r="C27" s="614" t="s">
        <v>1245</v>
      </c>
      <c r="D27" s="695" t="s">
        <v>1782</v>
      </c>
      <c r="E27" s="696" t="s">
        <v>1269</v>
      </c>
      <c r="F27" s="614" t="s">
        <v>1243</v>
      </c>
      <c r="G27" s="614" t="s">
        <v>1309</v>
      </c>
      <c r="H27" s="614" t="s">
        <v>770</v>
      </c>
      <c r="I27" s="614" t="s">
        <v>805</v>
      </c>
      <c r="J27" s="614" t="s">
        <v>806</v>
      </c>
      <c r="K27" s="614" t="s">
        <v>563</v>
      </c>
      <c r="L27" s="615">
        <v>48.27</v>
      </c>
      <c r="M27" s="615">
        <v>48.27</v>
      </c>
      <c r="N27" s="614">
        <v>1</v>
      </c>
      <c r="O27" s="697">
        <v>0.5</v>
      </c>
      <c r="P27" s="615">
        <v>48.27</v>
      </c>
      <c r="Q27" s="630">
        <v>1</v>
      </c>
      <c r="R27" s="614">
        <v>1</v>
      </c>
      <c r="S27" s="630">
        <v>1</v>
      </c>
      <c r="T27" s="697">
        <v>0.5</v>
      </c>
      <c r="U27" s="653">
        <v>1</v>
      </c>
    </row>
    <row r="28" spans="1:21" ht="14.4" customHeight="1" x14ac:dyDescent="0.3">
      <c r="A28" s="613">
        <v>25</v>
      </c>
      <c r="B28" s="614" t="s">
        <v>1112</v>
      </c>
      <c r="C28" s="614" t="s">
        <v>1245</v>
      </c>
      <c r="D28" s="695" t="s">
        <v>1782</v>
      </c>
      <c r="E28" s="696" t="s">
        <v>1270</v>
      </c>
      <c r="F28" s="614" t="s">
        <v>1243</v>
      </c>
      <c r="G28" s="614" t="s">
        <v>1287</v>
      </c>
      <c r="H28" s="614" t="s">
        <v>770</v>
      </c>
      <c r="I28" s="614" t="s">
        <v>956</v>
      </c>
      <c r="J28" s="614" t="s">
        <v>864</v>
      </c>
      <c r="K28" s="614" t="s">
        <v>1196</v>
      </c>
      <c r="L28" s="615">
        <v>150.04</v>
      </c>
      <c r="M28" s="615">
        <v>300.08</v>
      </c>
      <c r="N28" s="614">
        <v>2</v>
      </c>
      <c r="O28" s="697">
        <v>2</v>
      </c>
      <c r="P28" s="615">
        <v>150.04</v>
      </c>
      <c r="Q28" s="630">
        <v>0.5</v>
      </c>
      <c r="R28" s="614">
        <v>1</v>
      </c>
      <c r="S28" s="630">
        <v>0.5</v>
      </c>
      <c r="T28" s="697">
        <v>1</v>
      </c>
      <c r="U28" s="653">
        <v>0.5</v>
      </c>
    </row>
    <row r="29" spans="1:21" ht="14.4" customHeight="1" x14ac:dyDescent="0.3">
      <c r="A29" s="613">
        <v>25</v>
      </c>
      <c r="B29" s="614" t="s">
        <v>1112</v>
      </c>
      <c r="C29" s="614" t="s">
        <v>1245</v>
      </c>
      <c r="D29" s="695" t="s">
        <v>1782</v>
      </c>
      <c r="E29" s="696" t="s">
        <v>1270</v>
      </c>
      <c r="F29" s="614" t="s">
        <v>1243</v>
      </c>
      <c r="G29" s="614" t="s">
        <v>1287</v>
      </c>
      <c r="H29" s="614" t="s">
        <v>770</v>
      </c>
      <c r="I29" s="614" t="s">
        <v>956</v>
      </c>
      <c r="J29" s="614" t="s">
        <v>864</v>
      </c>
      <c r="K29" s="614" t="s">
        <v>1196</v>
      </c>
      <c r="L29" s="615">
        <v>154.36000000000001</v>
      </c>
      <c r="M29" s="615">
        <v>771.80000000000007</v>
      </c>
      <c r="N29" s="614">
        <v>5</v>
      </c>
      <c r="O29" s="697">
        <v>5</v>
      </c>
      <c r="P29" s="615">
        <v>308.72000000000003</v>
      </c>
      <c r="Q29" s="630">
        <v>0.4</v>
      </c>
      <c r="R29" s="614">
        <v>2</v>
      </c>
      <c r="S29" s="630">
        <v>0.4</v>
      </c>
      <c r="T29" s="697">
        <v>2</v>
      </c>
      <c r="U29" s="653">
        <v>0.4</v>
      </c>
    </row>
    <row r="30" spans="1:21" ht="14.4" customHeight="1" x14ac:dyDescent="0.3">
      <c r="A30" s="613">
        <v>25</v>
      </c>
      <c r="B30" s="614" t="s">
        <v>1112</v>
      </c>
      <c r="C30" s="614" t="s">
        <v>1245</v>
      </c>
      <c r="D30" s="695" t="s">
        <v>1782</v>
      </c>
      <c r="E30" s="696" t="s">
        <v>1270</v>
      </c>
      <c r="F30" s="614" t="s">
        <v>1243</v>
      </c>
      <c r="G30" s="614" t="s">
        <v>1291</v>
      </c>
      <c r="H30" s="614" t="s">
        <v>325</v>
      </c>
      <c r="I30" s="614" t="s">
        <v>930</v>
      </c>
      <c r="J30" s="614" t="s">
        <v>931</v>
      </c>
      <c r="K30" s="614" t="s">
        <v>932</v>
      </c>
      <c r="L30" s="615">
        <v>147.31</v>
      </c>
      <c r="M30" s="615">
        <v>589.24</v>
      </c>
      <c r="N30" s="614">
        <v>4</v>
      </c>
      <c r="O30" s="697">
        <v>3</v>
      </c>
      <c r="P30" s="615">
        <v>441.93</v>
      </c>
      <c r="Q30" s="630">
        <v>0.75</v>
      </c>
      <c r="R30" s="614">
        <v>3</v>
      </c>
      <c r="S30" s="630">
        <v>0.75</v>
      </c>
      <c r="T30" s="697">
        <v>2</v>
      </c>
      <c r="U30" s="653">
        <v>0.66666666666666663</v>
      </c>
    </row>
    <row r="31" spans="1:21" ht="14.4" customHeight="1" x14ac:dyDescent="0.3">
      <c r="A31" s="613">
        <v>25</v>
      </c>
      <c r="B31" s="614" t="s">
        <v>1112</v>
      </c>
      <c r="C31" s="614" t="s">
        <v>1245</v>
      </c>
      <c r="D31" s="695" t="s">
        <v>1782</v>
      </c>
      <c r="E31" s="696" t="s">
        <v>1270</v>
      </c>
      <c r="F31" s="614" t="s">
        <v>1243</v>
      </c>
      <c r="G31" s="614" t="s">
        <v>1292</v>
      </c>
      <c r="H31" s="614" t="s">
        <v>325</v>
      </c>
      <c r="I31" s="614" t="s">
        <v>713</v>
      </c>
      <c r="J31" s="614" t="s">
        <v>714</v>
      </c>
      <c r="K31" s="614" t="s">
        <v>1310</v>
      </c>
      <c r="L31" s="615">
        <v>48.42</v>
      </c>
      <c r="M31" s="615">
        <v>48.42</v>
      </c>
      <c r="N31" s="614">
        <v>1</v>
      </c>
      <c r="O31" s="697">
        <v>1</v>
      </c>
      <c r="P31" s="615">
        <v>48.42</v>
      </c>
      <c r="Q31" s="630">
        <v>1</v>
      </c>
      <c r="R31" s="614">
        <v>1</v>
      </c>
      <c r="S31" s="630">
        <v>1</v>
      </c>
      <c r="T31" s="697">
        <v>1</v>
      </c>
      <c r="U31" s="653">
        <v>1</v>
      </c>
    </row>
    <row r="32" spans="1:21" ht="14.4" customHeight="1" x14ac:dyDescent="0.3">
      <c r="A32" s="613">
        <v>25</v>
      </c>
      <c r="B32" s="614" t="s">
        <v>1112</v>
      </c>
      <c r="C32" s="614" t="s">
        <v>1245</v>
      </c>
      <c r="D32" s="695" t="s">
        <v>1782</v>
      </c>
      <c r="E32" s="696" t="s">
        <v>1273</v>
      </c>
      <c r="F32" s="614" t="s">
        <v>1243</v>
      </c>
      <c r="G32" s="614" t="s">
        <v>1287</v>
      </c>
      <c r="H32" s="614" t="s">
        <v>770</v>
      </c>
      <c r="I32" s="614" t="s">
        <v>956</v>
      </c>
      <c r="J32" s="614" t="s">
        <v>864</v>
      </c>
      <c r="K32" s="614" t="s">
        <v>1196</v>
      </c>
      <c r="L32" s="615">
        <v>154.36000000000001</v>
      </c>
      <c r="M32" s="615">
        <v>617.44000000000005</v>
      </c>
      <c r="N32" s="614">
        <v>4</v>
      </c>
      <c r="O32" s="697">
        <v>4</v>
      </c>
      <c r="P32" s="615"/>
      <c r="Q32" s="630">
        <v>0</v>
      </c>
      <c r="R32" s="614"/>
      <c r="S32" s="630">
        <v>0</v>
      </c>
      <c r="T32" s="697"/>
      <c r="U32" s="653">
        <v>0</v>
      </c>
    </row>
    <row r="33" spans="1:21" ht="14.4" customHeight="1" x14ac:dyDescent="0.3">
      <c r="A33" s="613">
        <v>25</v>
      </c>
      <c r="B33" s="614" t="s">
        <v>1112</v>
      </c>
      <c r="C33" s="614" t="s">
        <v>1245</v>
      </c>
      <c r="D33" s="695" t="s">
        <v>1782</v>
      </c>
      <c r="E33" s="696" t="s">
        <v>1273</v>
      </c>
      <c r="F33" s="614" t="s">
        <v>1243</v>
      </c>
      <c r="G33" s="614" t="s">
        <v>1291</v>
      </c>
      <c r="H33" s="614" t="s">
        <v>325</v>
      </c>
      <c r="I33" s="614" t="s">
        <v>1079</v>
      </c>
      <c r="J33" s="614" t="s">
        <v>1080</v>
      </c>
      <c r="K33" s="614" t="s">
        <v>1311</v>
      </c>
      <c r="L33" s="615">
        <v>73.66</v>
      </c>
      <c r="M33" s="615">
        <v>73.66</v>
      </c>
      <c r="N33" s="614">
        <v>1</v>
      </c>
      <c r="O33" s="697">
        <v>1</v>
      </c>
      <c r="P33" s="615"/>
      <c r="Q33" s="630">
        <v>0</v>
      </c>
      <c r="R33" s="614"/>
      <c r="S33" s="630">
        <v>0</v>
      </c>
      <c r="T33" s="697"/>
      <c r="U33" s="653">
        <v>0</v>
      </c>
    </row>
    <row r="34" spans="1:21" ht="14.4" customHeight="1" x14ac:dyDescent="0.3">
      <c r="A34" s="613">
        <v>25</v>
      </c>
      <c r="B34" s="614" t="s">
        <v>1112</v>
      </c>
      <c r="C34" s="614" t="s">
        <v>1245</v>
      </c>
      <c r="D34" s="695" t="s">
        <v>1782</v>
      </c>
      <c r="E34" s="696" t="s">
        <v>1273</v>
      </c>
      <c r="F34" s="614" t="s">
        <v>1243</v>
      </c>
      <c r="G34" s="614" t="s">
        <v>1292</v>
      </c>
      <c r="H34" s="614" t="s">
        <v>770</v>
      </c>
      <c r="I34" s="614" t="s">
        <v>776</v>
      </c>
      <c r="J34" s="614" t="s">
        <v>714</v>
      </c>
      <c r="K34" s="614" t="s">
        <v>1219</v>
      </c>
      <c r="L34" s="615">
        <v>48.42</v>
      </c>
      <c r="M34" s="615">
        <v>48.42</v>
      </c>
      <c r="N34" s="614">
        <v>1</v>
      </c>
      <c r="O34" s="697">
        <v>1</v>
      </c>
      <c r="P34" s="615"/>
      <c r="Q34" s="630">
        <v>0</v>
      </c>
      <c r="R34" s="614"/>
      <c r="S34" s="630">
        <v>0</v>
      </c>
      <c r="T34" s="697"/>
      <c r="U34" s="653">
        <v>0</v>
      </c>
    </row>
    <row r="35" spans="1:21" ht="14.4" customHeight="1" x14ac:dyDescent="0.3">
      <c r="A35" s="613">
        <v>25</v>
      </c>
      <c r="B35" s="614" t="s">
        <v>1112</v>
      </c>
      <c r="C35" s="614" t="s">
        <v>1245</v>
      </c>
      <c r="D35" s="695" t="s">
        <v>1782</v>
      </c>
      <c r="E35" s="696" t="s">
        <v>1275</v>
      </c>
      <c r="F35" s="614" t="s">
        <v>1243</v>
      </c>
      <c r="G35" s="614" t="s">
        <v>1291</v>
      </c>
      <c r="H35" s="614" t="s">
        <v>325</v>
      </c>
      <c r="I35" s="614" t="s">
        <v>930</v>
      </c>
      <c r="J35" s="614" t="s">
        <v>931</v>
      </c>
      <c r="K35" s="614" t="s">
        <v>932</v>
      </c>
      <c r="L35" s="615">
        <v>147.31</v>
      </c>
      <c r="M35" s="615">
        <v>147.31</v>
      </c>
      <c r="N35" s="614">
        <v>1</v>
      </c>
      <c r="O35" s="697">
        <v>1</v>
      </c>
      <c r="P35" s="615"/>
      <c r="Q35" s="630">
        <v>0</v>
      </c>
      <c r="R35" s="614"/>
      <c r="S35" s="630">
        <v>0</v>
      </c>
      <c r="T35" s="697"/>
      <c r="U35" s="653">
        <v>0</v>
      </c>
    </row>
    <row r="36" spans="1:21" ht="14.4" customHeight="1" x14ac:dyDescent="0.3">
      <c r="A36" s="613">
        <v>25</v>
      </c>
      <c r="B36" s="614" t="s">
        <v>1112</v>
      </c>
      <c r="C36" s="614" t="s">
        <v>1245</v>
      </c>
      <c r="D36" s="695" t="s">
        <v>1782</v>
      </c>
      <c r="E36" s="696" t="s">
        <v>1280</v>
      </c>
      <c r="F36" s="614" t="s">
        <v>1243</v>
      </c>
      <c r="G36" s="614" t="s">
        <v>1287</v>
      </c>
      <c r="H36" s="614" t="s">
        <v>770</v>
      </c>
      <c r="I36" s="614" t="s">
        <v>956</v>
      </c>
      <c r="J36" s="614" t="s">
        <v>864</v>
      </c>
      <c r="K36" s="614" t="s">
        <v>1196</v>
      </c>
      <c r="L36" s="615">
        <v>150.04</v>
      </c>
      <c r="M36" s="615">
        <v>450.12</v>
      </c>
      <c r="N36" s="614">
        <v>3</v>
      </c>
      <c r="O36" s="697">
        <v>2.5</v>
      </c>
      <c r="P36" s="615">
        <v>300.08</v>
      </c>
      <c r="Q36" s="630">
        <v>0.66666666666666663</v>
      </c>
      <c r="R36" s="614">
        <v>2</v>
      </c>
      <c r="S36" s="630">
        <v>0.66666666666666663</v>
      </c>
      <c r="T36" s="697">
        <v>2</v>
      </c>
      <c r="U36" s="653">
        <v>0.8</v>
      </c>
    </row>
    <row r="37" spans="1:21" ht="14.4" customHeight="1" x14ac:dyDescent="0.3">
      <c r="A37" s="613">
        <v>25</v>
      </c>
      <c r="B37" s="614" t="s">
        <v>1112</v>
      </c>
      <c r="C37" s="614" t="s">
        <v>1245</v>
      </c>
      <c r="D37" s="695" t="s">
        <v>1782</v>
      </c>
      <c r="E37" s="696" t="s">
        <v>1280</v>
      </c>
      <c r="F37" s="614" t="s">
        <v>1243</v>
      </c>
      <c r="G37" s="614" t="s">
        <v>1287</v>
      </c>
      <c r="H37" s="614" t="s">
        <v>770</v>
      </c>
      <c r="I37" s="614" t="s">
        <v>956</v>
      </c>
      <c r="J37" s="614" t="s">
        <v>864</v>
      </c>
      <c r="K37" s="614" t="s">
        <v>1196</v>
      </c>
      <c r="L37" s="615">
        <v>154.36000000000001</v>
      </c>
      <c r="M37" s="615">
        <v>2932.8400000000006</v>
      </c>
      <c r="N37" s="614">
        <v>19</v>
      </c>
      <c r="O37" s="697">
        <v>13.5</v>
      </c>
      <c r="P37" s="615">
        <v>1234.8800000000001</v>
      </c>
      <c r="Q37" s="630">
        <v>0.42105263157894735</v>
      </c>
      <c r="R37" s="614">
        <v>8</v>
      </c>
      <c r="S37" s="630">
        <v>0.42105263157894735</v>
      </c>
      <c r="T37" s="697">
        <v>5</v>
      </c>
      <c r="U37" s="653">
        <v>0.37037037037037035</v>
      </c>
    </row>
    <row r="38" spans="1:21" ht="14.4" customHeight="1" x14ac:dyDescent="0.3">
      <c r="A38" s="613">
        <v>25</v>
      </c>
      <c r="B38" s="614" t="s">
        <v>1112</v>
      </c>
      <c r="C38" s="614" t="s">
        <v>1245</v>
      </c>
      <c r="D38" s="695" t="s">
        <v>1782</v>
      </c>
      <c r="E38" s="696" t="s">
        <v>1280</v>
      </c>
      <c r="F38" s="614" t="s">
        <v>1243</v>
      </c>
      <c r="G38" s="614" t="s">
        <v>1312</v>
      </c>
      <c r="H38" s="614" t="s">
        <v>325</v>
      </c>
      <c r="I38" s="614" t="s">
        <v>934</v>
      </c>
      <c r="J38" s="614" t="s">
        <v>935</v>
      </c>
      <c r="K38" s="614" t="s">
        <v>1313</v>
      </c>
      <c r="L38" s="615">
        <v>64.12</v>
      </c>
      <c r="M38" s="615">
        <v>64.12</v>
      </c>
      <c r="N38" s="614">
        <v>1</v>
      </c>
      <c r="O38" s="697">
        <v>1</v>
      </c>
      <c r="P38" s="615">
        <v>64.12</v>
      </c>
      <c r="Q38" s="630">
        <v>1</v>
      </c>
      <c r="R38" s="614">
        <v>1</v>
      </c>
      <c r="S38" s="630">
        <v>1</v>
      </c>
      <c r="T38" s="697">
        <v>1</v>
      </c>
      <c r="U38" s="653">
        <v>1</v>
      </c>
    </row>
    <row r="39" spans="1:21" ht="14.4" customHeight="1" x14ac:dyDescent="0.3">
      <c r="A39" s="613">
        <v>25</v>
      </c>
      <c r="B39" s="614" t="s">
        <v>1112</v>
      </c>
      <c r="C39" s="614" t="s">
        <v>1245</v>
      </c>
      <c r="D39" s="695" t="s">
        <v>1782</v>
      </c>
      <c r="E39" s="696" t="s">
        <v>1280</v>
      </c>
      <c r="F39" s="614" t="s">
        <v>1243</v>
      </c>
      <c r="G39" s="614" t="s">
        <v>1314</v>
      </c>
      <c r="H39" s="614" t="s">
        <v>325</v>
      </c>
      <c r="I39" s="614" t="s">
        <v>1315</v>
      </c>
      <c r="J39" s="614" t="s">
        <v>1316</v>
      </c>
      <c r="K39" s="614" t="s">
        <v>1317</v>
      </c>
      <c r="L39" s="615">
        <v>0</v>
      </c>
      <c r="M39" s="615">
        <v>0</v>
      </c>
      <c r="N39" s="614">
        <v>1</v>
      </c>
      <c r="O39" s="697">
        <v>1</v>
      </c>
      <c r="P39" s="615"/>
      <c r="Q39" s="630"/>
      <c r="R39" s="614"/>
      <c r="S39" s="630">
        <v>0</v>
      </c>
      <c r="T39" s="697"/>
      <c r="U39" s="653">
        <v>0</v>
      </c>
    </row>
    <row r="40" spans="1:21" ht="14.4" customHeight="1" x14ac:dyDescent="0.3">
      <c r="A40" s="613">
        <v>25</v>
      </c>
      <c r="B40" s="614" t="s">
        <v>1112</v>
      </c>
      <c r="C40" s="614" t="s">
        <v>1245</v>
      </c>
      <c r="D40" s="695" t="s">
        <v>1782</v>
      </c>
      <c r="E40" s="696" t="s">
        <v>1280</v>
      </c>
      <c r="F40" s="614" t="s">
        <v>1243</v>
      </c>
      <c r="G40" s="614" t="s">
        <v>1318</v>
      </c>
      <c r="H40" s="614" t="s">
        <v>325</v>
      </c>
      <c r="I40" s="614" t="s">
        <v>900</v>
      </c>
      <c r="J40" s="614" t="s">
        <v>901</v>
      </c>
      <c r="K40" s="614" t="s">
        <v>1319</v>
      </c>
      <c r="L40" s="615">
        <v>48.09</v>
      </c>
      <c r="M40" s="615">
        <v>240.45000000000002</v>
      </c>
      <c r="N40" s="614">
        <v>5</v>
      </c>
      <c r="O40" s="697">
        <v>4.5</v>
      </c>
      <c r="P40" s="615">
        <v>96.18</v>
      </c>
      <c r="Q40" s="630">
        <v>0.4</v>
      </c>
      <c r="R40" s="614">
        <v>2</v>
      </c>
      <c r="S40" s="630">
        <v>0.4</v>
      </c>
      <c r="T40" s="697">
        <v>1.5</v>
      </c>
      <c r="U40" s="653">
        <v>0.33333333333333331</v>
      </c>
    </row>
    <row r="41" spans="1:21" ht="14.4" customHeight="1" x14ac:dyDescent="0.3">
      <c r="A41" s="613">
        <v>25</v>
      </c>
      <c r="B41" s="614" t="s">
        <v>1112</v>
      </c>
      <c r="C41" s="614" t="s">
        <v>1245</v>
      </c>
      <c r="D41" s="695" t="s">
        <v>1782</v>
      </c>
      <c r="E41" s="696" t="s">
        <v>1280</v>
      </c>
      <c r="F41" s="614" t="s">
        <v>1243</v>
      </c>
      <c r="G41" s="614" t="s">
        <v>1291</v>
      </c>
      <c r="H41" s="614" t="s">
        <v>325</v>
      </c>
      <c r="I41" s="614" t="s">
        <v>930</v>
      </c>
      <c r="J41" s="614" t="s">
        <v>931</v>
      </c>
      <c r="K41" s="614" t="s">
        <v>932</v>
      </c>
      <c r="L41" s="615">
        <v>147.31</v>
      </c>
      <c r="M41" s="615">
        <v>1325.79</v>
      </c>
      <c r="N41" s="614">
        <v>9</v>
      </c>
      <c r="O41" s="697">
        <v>6.5</v>
      </c>
      <c r="P41" s="615">
        <v>441.93</v>
      </c>
      <c r="Q41" s="630">
        <v>0.33333333333333337</v>
      </c>
      <c r="R41" s="614">
        <v>3</v>
      </c>
      <c r="S41" s="630">
        <v>0.33333333333333331</v>
      </c>
      <c r="T41" s="697">
        <v>2</v>
      </c>
      <c r="U41" s="653">
        <v>0.30769230769230771</v>
      </c>
    </row>
    <row r="42" spans="1:21" ht="14.4" customHeight="1" x14ac:dyDescent="0.3">
      <c r="A42" s="613">
        <v>25</v>
      </c>
      <c r="B42" s="614" t="s">
        <v>1112</v>
      </c>
      <c r="C42" s="614" t="s">
        <v>1245</v>
      </c>
      <c r="D42" s="695" t="s">
        <v>1782</v>
      </c>
      <c r="E42" s="696" t="s">
        <v>1280</v>
      </c>
      <c r="F42" s="614" t="s">
        <v>1243</v>
      </c>
      <c r="G42" s="614" t="s">
        <v>1291</v>
      </c>
      <c r="H42" s="614" t="s">
        <v>325</v>
      </c>
      <c r="I42" s="614" t="s">
        <v>1079</v>
      </c>
      <c r="J42" s="614" t="s">
        <v>1080</v>
      </c>
      <c r="K42" s="614" t="s">
        <v>1311</v>
      </c>
      <c r="L42" s="615">
        <v>73.66</v>
      </c>
      <c r="M42" s="615">
        <v>73.66</v>
      </c>
      <c r="N42" s="614">
        <v>1</v>
      </c>
      <c r="O42" s="697">
        <v>0.5</v>
      </c>
      <c r="P42" s="615"/>
      <c r="Q42" s="630">
        <v>0</v>
      </c>
      <c r="R42" s="614"/>
      <c r="S42" s="630">
        <v>0</v>
      </c>
      <c r="T42" s="697"/>
      <c r="U42" s="653">
        <v>0</v>
      </c>
    </row>
    <row r="43" spans="1:21" ht="14.4" customHeight="1" x14ac:dyDescent="0.3">
      <c r="A43" s="613">
        <v>25</v>
      </c>
      <c r="B43" s="614" t="s">
        <v>1112</v>
      </c>
      <c r="C43" s="614" t="s">
        <v>1245</v>
      </c>
      <c r="D43" s="695" t="s">
        <v>1782</v>
      </c>
      <c r="E43" s="696" t="s">
        <v>1280</v>
      </c>
      <c r="F43" s="614" t="s">
        <v>1243</v>
      </c>
      <c r="G43" s="614" t="s">
        <v>1291</v>
      </c>
      <c r="H43" s="614" t="s">
        <v>325</v>
      </c>
      <c r="I43" s="614" t="s">
        <v>1320</v>
      </c>
      <c r="J43" s="614" t="s">
        <v>931</v>
      </c>
      <c r="K43" s="614" t="s">
        <v>932</v>
      </c>
      <c r="L43" s="615">
        <v>147.31</v>
      </c>
      <c r="M43" s="615">
        <v>147.31</v>
      </c>
      <c r="N43" s="614">
        <v>1</v>
      </c>
      <c r="O43" s="697">
        <v>1</v>
      </c>
      <c r="P43" s="615">
        <v>147.31</v>
      </c>
      <c r="Q43" s="630">
        <v>1</v>
      </c>
      <c r="R43" s="614">
        <v>1</v>
      </c>
      <c r="S43" s="630">
        <v>1</v>
      </c>
      <c r="T43" s="697">
        <v>1</v>
      </c>
      <c r="U43" s="653">
        <v>1</v>
      </c>
    </row>
    <row r="44" spans="1:21" ht="14.4" customHeight="1" x14ac:dyDescent="0.3">
      <c r="A44" s="613">
        <v>25</v>
      </c>
      <c r="B44" s="614" t="s">
        <v>1112</v>
      </c>
      <c r="C44" s="614" t="s">
        <v>1245</v>
      </c>
      <c r="D44" s="695" t="s">
        <v>1782</v>
      </c>
      <c r="E44" s="696" t="s">
        <v>1280</v>
      </c>
      <c r="F44" s="614" t="s">
        <v>1243</v>
      </c>
      <c r="G44" s="614" t="s">
        <v>1297</v>
      </c>
      <c r="H44" s="614" t="s">
        <v>325</v>
      </c>
      <c r="I44" s="614" t="s">
        <v>907</v>
      </c>
      <c r="J44" s="614" t="s">
        <v>908</v>
      </c>
      <c r="K44" s="614" t="s">
        <v>1296</v>
      </c>
      <c r="L44" s="615">
        <v>30.17</v>
      </c>
      <c r="M44" s="615">
        <v>90.51</v>
      </c>
      <c r="N44" s="614">
        <v>3</v>
      </c>
      <c r="O44" s="697">
        <v>2</v>
      </c>
      <c r="P44" s="615">
        <v>30.17</v>
      </c>
      <c r="Q44" s="630">
        <v>0.33333333333333331</v>
      </c>
      <c r="R44" s="614">
        <v>1</v>
      </c>
      <c r="S44" s="630">
        <v>0.33333333333333331</v>
      </c>
      <c r="T44" s="697">
        <v>0.5</v>
      </c>
      <c r="U44" s="653">
        <v>0.25</v>
      </c>
    </row>
    <row r="45" spans="1:21" ht="14.4" customHeight="1" x14ac:dyDescent="0.3">
      <c r="A45" s="613">
        <v>25</v>
      </c>
      <c r="B45" s="614" t="s">
        <v>1112</v>
      </c>
      <c r="C45" s="614" t="s">
        <v>1245</v>
      </c>
      <c r="D45" s="695" t="s">
        <v>1782</v>
      </c>
      <c r="E45" s="696" t="s">
        <v>1280</v>
      </c>
      <c r="F45" s="614" t="s">
        <v>1243</v>
      </c>
      <c r="G45" s="614" t="s">
        <v>1321</v>
      </c>
      <c r="H45" s="614" t="s">
        <v>325</v>
      </c>
      <c r="I45" s="614" t="s">
        <v>1322</v>
      </c>
      <c r="J45" s="614" t="s">
        <v>1323</v>
      </c>
      <c r="K45" s="614" t="s">
        <v>1324</v>
      </c>
      <c r="L45" s="615">
        <v>0</v>
      </c>
      <c r="M45" s="615">
        <v>0</v>
      </c>
      <c r="N45" s="614">
        <v>1</v>
      </c>
      <c r="O45" s="697">
        <v>0.5</v>
      </c>
      <c r="P45" s="615">
        <v>0</v>
      </c>
      <c r="Q45" s="630"/>
      <c r="R45" s="614">
        <v>1</v>
      </c>
      <c r="S45" s="630">
        <v>1</v>
      </c>
      <c r="T45" s="697">
        <v>0.5</v>
      </c>
      <c r="U45" s="653">
        <v>1</v>
      </c>
    </row>
    <row r="46" spans="1:21" ht="14.4" customHeight="1" x14ac:dyDescent="0.3">
      <c r="A46" s="613">
        <v>25</v>
      </c>
      <c r="B46" s="614" t="s">
        <v>1112</v>
      </c>
      <c r="C46" s="614" t="s">
        <v>1245</v>
      </c>
      <c r="D46" s="695" t="s">
        <v>1782</v>
      </c>
      <c r="E46" s="696" t="s">
        <v>1280</v>
      </c>
      <c r="F46" s="614" t="s">
        <v>1243</v>
      </c>
      <c r="G46" s="614" t="s">
        <v>1292</v>
      </c>
      <c r="H46" s="614" t="s">
        <v>770</v>
      </c>
      <c r="I46" s="614" t="s">
        <v>776</v>
      </c>
      <c r="J46" s="614" t="s">
        <v>714</v>
      </c>
      <c r="K46" s="614" t="s">
        <v>1219</v>
      </c>
      <c r="L46" s="615">
        <v>48.42</v>
      </c>
      <c r="M46" s="615">
        <v>823.1400000000001</v>
      </c>
      <c r="N46" s="614">
        <v>17</v>
      </c>
      <c r="O46" s="697">
        <v>12.5</v>
      </c>
      <c r="P46" s="615">
        <v>290.52000000000004</v>
      </c>
      <c r="Q46" s="630">
        <v>0.35294117647058826</v>
      </c>
      <c r="R46" s="614">
        <v>6</v>
      </c>
      <c r="S46" s="630">
        <v>0.35294117647058826</v>
      </c>
      <c r="T46" s="697">
        <v>4.5</v>
      </c>
      <c r="U46" s="653">
        <v>0.36</v>
      </c>
    </row>
    <row r="47" spans="1:21" ht="14.4" customHeight="1" x14ac:dyDescent="0.3">
      <c r="A47" s="613">
        <v>25</v>
      </c>
      <c r="B47" s="614" t="s">
        <v>1112</v>
      </c>
      <c r="C47" s="614" t="s">
        <v>1245</v>
      </c>
      <c r="D47" s="695" t="s">
        <v>1782</v>
      </c>
      <c r="E47" s="696" t="s">
        <v>1280</v>
      </c>
      <c r="F47" s="614" t="s">
        <v>1243</v>
      </c>
      <c r="G47" s="614" t="s">
        <v>1292</v>
      </c>
      <c r="H47" s="614" t="s">
        <v>325</v>
      </c>
      <c r="I47" s="614" t="s">
        <v>713</v>
      </c>
      <c r="J47" s="614" t="s">
        <v>714</v>
      </c>
      <c r="K47" s="614" t="s">
        <v>1310</v>
      </c>
      <c r="L47" s="615">
        <v>48.42</v>
      </c>
      <c r="M47" s="615">
        <v>145.26</v>
      </c>
      <c r="N47" s="614">
        <v>3</v>
      </c>
      <c r="O47" s="697">
        <v>1.5</v>
      </c>
      <c r="P47" s="615">
        <v>96.84</v>
      </c>
      <c r="Q47" s="630">
        <v>0.66666666666666674</v>
      </c>
      <c r="R47" s="614">
        <v>2</v>
      </c>
      <c r="S47" s="630">
        <v>0.66666666666666663</v>
      </c>
      <c r="T47" s="697">
        <v>1</v>
      </c>
      <c r="U47" s="653">
        <v>0.66666666666666663</v>
      </c>
    </row>
    <row r="48" spans="1:21" ht="14.4" customHeight="1" x14ac:dyDescent="0.3">
      <c r="A48" s="613">
        <v>25</v>
      </c>
      <c r="B48" s="614" t="s">
        <v>1112</v>
      </c>
      <c r="C48" s="614" t="s">
        <v>1245</v>
      </c>
      <c r="D48" s="695" t="s">
        <v>1782</v>
      </c>
      <c r="E48" s="696" t="s">
        <v>1280</v>
      </c>
      <c r="F48" s="614" t="s">
        <v>1243</v>
      </c>
      <c r="G48" s="614" t="s">
        <v>1292</v>
      </c>
      <c r="H48" s="614" t="s">
        <v>325</v>
      </c>
      <c r="I48" s="614" t="s">
        <v>1298</v>
      </c>
      <c r="J48" s="614" t="s">
        <v>714</v>
      </c>
      <c r="K48" s="614" t="s">
        <v>1299</v>
      </c>
      <c r="L48" s="615">
        <v>24.22</v>
      </c>
      <c r="M48" s="615">
        <v>24.22</v>
      </c>
      <c r="N48" s="614">
        <v>1</v>
      </c>
      <c r="O48" s="697">
        <v>1</v>
      </c>
      <c r="P48" s="615">
        <v>24.22</v>
      </c>
      <c r="Q48" s="630">
        <v>1</v>
      </c>
      <c r="R48" s="614">
        <v>1</v>
      </c>
      <c r="S48" s="630">
        <v>1</v>
      </c>
      <c r="T48" s="697">
        <v>1</v>
      </c>
      <c r="U48" s="653">
        <v>1</v>
      </c>
    </row>
    <row r="49" spans="1:21" ht="14.4" customHeight="1" x14ac:dyDescent="0.3">
      <c r="A49" s="613">
        <v>25</v>
      </c>
      <c r="B49" s="614" t="s">
        <v>1112</v>
      </c>
      <c r="C49" s="614" t="s">
        <v>1245</v>
      </c>
      <c r="D49" s="695" t="s">
        <v>1782</v>
      </c>
      <c r="E49" s="696" t="s">
        <v>1280</v>
      </c>
      <c r="F49" s="614" t="s">
        <v>1243</v>
      </c>
      <c r="G49" s="614" t="s">
        <v>1325</v>
      </c>
      <c r="H49" s="614" t="s">
        <v>325</v>
      </c>
      <c r="I49" s="614" t="s">
        <v>1326</v>
      </c>
      <c r="J49" s="614" t="s">
        <v>1327</v>
      </c>
      <c r="K49" s="614" t="s">
        <v>1328</v>
      </c>
      <c r="L49" s="615">
        <v>0</v>
      </c>
      <c r="M49" s="615">
        <v>0</v>
      </c>
      <c r="N49" s="614">
        <v>1</v>
      </c>
      <c r="O49" s="697">
        <v>1</v>
      </c>
      <c r="P49" s="615"/>
      <c r="Q49" s="630"/>
      <c r="R49" s="614"/>
      <c r="S49" s="630">
        <v>0</v>
      </c>
      <c r="T49" s="697"/>
      <c r="U49" s="653">
        <v>0</v>
      </c>
    </row>
    <row r="50" spans="1:21" ht="14.4" customHeight="1" x14ac:dyDescent="0.3">
      <c r="A50" s="613">
        <v>25</v>
      </c>
      <c r="B50" s="614" t="s">
        <v>1112</v>
      </c>
      <c r="C50" s="614" t="s">
        <v>1245</v>
      </c>
      <c r="D50" s="695" t="s">
        <v>1782</v>
      </c>
      <c r="E50" s="696" t="s">
        <v>1281</v>
      </c>
      <c r="F50" s="614" t="s">
        <v>1243</v>
      </c>
      <c r="G50" s="614" t="s">
        <v>1287</v>
      </c>
      <c r="H50" s="614" t="s">
        <v>325</v>
      </c>
      <c r="I50" s="614" t="s">
        <v>1329</v>
      </c>
      <c r="J50" s="614" t="s">
        <v>1330</v>
      </c>
      <c r="K50" s="614" t="s">
        <v>1331</v>
      </c>
      <c r="L50" s="615">
        <v>154.36000000000001</v>
      </c>
      <c r="M50" s="615">
        <v>154.36000000000001</v>
      </c>
      <c r="N50" s="614">
        <v>1</v>
      </c>
      <c r="O50" s="697">
        <v>1</v>
      </c>
      <c r="P50" s="615">
        <v>154.36000000000001</v>
      </c>
      <c r="Q50" s="630">
        <v>1</v>
      </c>
      <c r="R50" s="614">
        <v>1</v>
      </c>
      <c r="S50" s="630">
        <v>1</v>
      </c>
      <c r="T50" s="697">
        <v>1</v>
      </c>
      <c r="U50" s="653">
        <v>1</v>
      </c>
    </row>
    <row r="51" spans="1:21" ht="14.4" customHeight="1" x14ac:dyDescent="0.3">
      <c r="A51" s="613">
        <v>25</v>
      </c>
      <c r="B51" s="614" t="s">
        <v>1112</v>
      </c>
      <c r="C51" s="614" t="s">
        <v>1245</v>
      </c>
      <c r="D51" s="695" t="s">
        <v>1782</v>
      </c>
      <c r="E51" s="696" t="s">
        <v>1281</v>
      </c>
      <c r="F51" s="614" t="s">
        <v>1243</v>
      </c>
      <c r="G51" s="614" t="s">
        <v>1287</v>
      </c>
      <c r="H51" s="614" t="s">
        <v>325</v>
      </c>
      <c r="I51" s="614" t="s">
        <v>1332</v>
      </c>
      <c r="J51" s="614" t="s">
        <v>864</v>
      </c>
      <c r="K51" s="614" t="s">
        <v>566</v>
      </c>
      <c r="L51" s="615">
        <v>0</v>
      </c>
      <c r="M51" s="615">
        <v>0</v>
      </c>
      <c r="N51" s="614">
        <v>19</v>
      </c>
      <c r="O51" s="697">
        <v>19</v>
      </c>
      <c r="P51" s="615">
        <v>0</v>
      </c>
      <c r="Q51" s="630"/>
      <c r="R51" s="614">
        <v>5</v>
      </c>
      <c r="S51" s="630">
        <v>0.26315789473684209</v>
      </c>
      <c r="T51" s="697">
        <v>5</v>
      </c>
      <c r="U51" s="653">
        <v>0.26315789473684209</v>
      </c>
    </row>
    <row r="52" spans="1:21" ht="14.4" customHeight="1" x14ac:dyDescent="0.3">
      <c r="A52" s="613">
        <v>25</v>
      </c>
      <c r="B52" s="614" t="s">
        <v>1112</v>
      </c>
      <c r="C52" s="614" t="s">
        <v>1245</v>
      </c>
      <c r="D52" s="695" t="s">
        <v>1782</v>
      </c>
      <c r="E52" s="696" t="s">
        <v>1281</v>
      </c>
      <c r="F52" s="614" t="s">
        <v>1243</v>
      </c>
      <c r="G52" s="614" t="s">
        <v>1287</v>
      </c>
      <c r="H52" s="614" t="s">
        <v>325</v>
      </c>
      <c r="I52" s="614" t="s">
        <v>1288</v>
      </c>
      <c r="J52" s="614" t="s">
        <v>864</v>
      </c>
      <c r="K52" s="614" t="s">
        <v>1196</v>
      </c>
      <c r="L52" s="615">
        <v>154.36000000000001</v>
      </c>
      <c r="M52" s="615">
        <v>308.72000000000003</v>
      </c>
      <c r="N52" s="614">
        <v>2</v>
      </c>
      <c r="O52" s="697">
        <v>2</v>
      </c>
      <c r="P52" s="615">
        <v>308.72000000000003</v>
      </c>
      <c r="Q52" s="630">
        <v>1</v>
      </c>
      <c r="R52" s="614">
        <v>2</v>
      </c>
      <c r="S52" s="630">
        <v>1</v>
      </c>
      <c r="T52" s="697">
        <v>2</v>
      </c>
      <c r="U52" s="653">
        <v>1</v>
      </c>
    </row>
    <row r="53" spans="1:21" ht="14.4" customHeight="1" x14ac:dyDescent="0.3">
      <c r="A53" s="613">
        <v>25</v>
      </c>
      <c r="B53" s="614" t="s">
        <v>1112</v>
      </c>
      <c r="C53" s="614" t="s">
        <v>1245</v>
      </c>
      <c r="D53" s="695" t="s">
        <v>1782</v>
      </c>
      <c r="E53" s="696" t="s">
        <v>1281</v>
      </c>
      <c r="F53" s="614" t="s">
        <v>1243</v>
      </c>
      <c r="G53" s="614" t="s">
        <v>1333</v>
      </c>
      <c r="H53" s="614" t="s">
        <v>325</v>
      </c>
      <c r="I53" s="614" t="s">
        <v>1334</v>
      </c>
      <c r="J53" s="614" t="s">
        <v>1335</v>
      </c>
      <c r="K53" s="614" t="s">
        <v>1336</v>
      </c>
      <c r="L53" s="615">
        <v>0</v>
      </c>
      <c r="M53" s="615">
        <v>0</v>
      </c>
      <c r="N53" s="614">
        <v>1</v>
      </c>
      <c r="O53" s="697">
        <v>0.5</v>
      </c>
      <c r="P53" s="615"/>
      <c r="Q53" s="630"/>
      <c r="R53" s="614"/>
      <c r="S53" s="630">
        <v>0</v>
      </c>
      <c r="T53" s="697"/>
      <c r="U53" s="653">
        <v>0</v>
      </c>
    </row>
    <row r="54" spans="1:21" ht="14.4" customHeight="1" x14ac:dyDescent="0.3">
      <c r="A54" s="613">
        <v>25</v>
      </c>
      <c r="B54" s="614" t="s">
        <v>1112</v>
      </c>
      <c r="C54" s="614" t="s">
        <v>1245</v>
      </c>
      <c r="D54" s="695" t="s">
        <v>1782</v>
      </c>
      <c r="E54" s="696" t="s">
        <v>1281</v>
      </c>
      <c r="F54" s="614" t="s">
        <v>1243</v>
      </c>
      <c r="G54" s="614" t="s">
        <v>1289</v>
      </c>
      <c r="H54" s="614" t="s">
        <v>325</v>
      </c>
      <c r="I54" s="614" t="s">
        <v>1337</v>
      </c>
      <c r="J54" s="614" t="s">
        <v>920</v>
      </c>
      <c r="K54" s="614" t="s">
        <v>1338</v>
      </c>
      <c r="L54" s="615">
        <v>0</v>
      </c>
      <c r="M54" s="615">
        <v>0</v>
      </c>
      <c r="N54" s="614">
        <v>2</v>
      </c>
      <c r="O54" s="697">
        <v>1.5</v>
      </c>
      <c r="P54" s="615"/>
      <c r="Q54" s="630"/>
      <c r="R54" s="614"/>
      <c r="S54" s="630">
        <v>0</v>
      </c>
      <c r="T54" s="697"/>
      <c r="U54" s="653">
        <v>0</v>
      </c>
    </row>
    <row r="55" spans="1:21" ht="14.4" customHeight="1" x14ac:dyDescent="0.3">
      <c r="A55" s="613">
        <v>25</v>
      </c>
      <c r="B55" s="614" t="s">
        <v>1112</v>
      </c>
      <c r="C55" s="614" t="s">
        <v>1245</v>
      </c>
      <c r="D55" s="695" t="s">
        <v>1782</v>
      </c>
      <c r="E55" s="696" t="s">
        <v>1281</v>
      </c>
      <c r="F55" s="614" t="s">
        <v>1243</v>
      </c>
      <c r="G55" s="614" t="s">
        <v>1314</v>
      </c>
      <c r="H55" s="614" t="s">
        <v>325</v>
      </c>
      <c r="I55" s="614" t="s">
        <v>1339</v>
      </c>
      <c r="J55" s="614" t="s">
        <v>1316</v>
      </c>
      <c r="K55" s="614" t="s">
        <v>1340</v>
      </c>
      <c r="L55" s="615">
        <v>0</v>
      </c>
      <c r="M55" s="615">
        <v>0</v>
      </c>
      <c r="N55" s="614">
        <v>2</v>
      </c>
      <c r="O55" s="697">
        <v>1.5</v>
      </c>
      <c r="P55" s="615"/>
      <c r="Q55" s="630"/>
      <c r="R55" s="614"/>
      <c r="S55" s="630">
        <v>0</v>
      </c>
      <c r="T55" s="697"/>
      <c r="U55" s="653">
        <v>0</v>
      </c>
    </row>
    <row r="56" spans="1:21" ht="14.4" customHeight="1" x14ac:dyDescent="0.3">
      <c r="A56" s="613">
        <v>25</v>
      </c>
      <c r="B56" s="614" t="s">
        <v>1112</v>
      </c>
      <c r="C56" s="614" t="s">
        <v>1245</v>
      </c>
      <c r="D56" s="695" t="s">
        <v>1782</v>
      </c>
      <c r="E56" s="696" t="s">
        <v>1281</v>
      </c>
      <c r="F56" s="614" t="s">
        <v>1243</v>
      </c>
      <c r="G56" s="614" t="s">
        <v>1318</v>
      </c>
      <c r="H56" s="614" t="s">
        <v>325</v>
      </c>
      <c r="I56" s="614" t="s">
        <v>900</v>
      </c>
      <c r="J56" s="614" t="s">
        <v>901</v>
      </c>
      <c r="K56" s="614" t="s">
        <v>1319</v>
      </c>
      <c r="L56" s="615">
        <v>48.09</v>
      </c>
      <c r="M56" s="615">
        <v>48.09</v>
      </c>
      <c r="N56" s="614">
        <v>1</v>
      </c>
      <c r="O56" s="697">
        <v>1</v>
      </c>
      <c r="P56" s="615"/>
      <c r="Q56" s="630">
        <v>0</v>
      </c>
      <c r="R56" s="614"/>
      <c r="S56" s="630">
        <v>0</v>
      </c>
      <c r="T56" s="697"/>
      <c r="U56" s="653">
        <v>0</v>
      </c>
    </row>
    <row r="57" spans="1:21" ht="14.4" customHeight="1" x14ac:dyDescent="0.3">
      <c r="A57" s="613">
        <v>25</v>
      </c>
      <c r="B57" s="614" t="s">
        <v>1112</v>
      </c>
      <c r="C57" s="614" t="s">
        <v>1245</v>
      </c>
      <c r="D57" s="695" t="s">
        <v>1782</v>
      </c>
      <c r="E57" s="696" t="s">
        <v>1281</v>
      </c>
      <c r="F57" s="614" t="s">
        <v>1243</v>
      </c>
      <c r="G57" s="614" t="s">
        <v>1291</v>
      </c>
      <c r="H57" s="614" t="s">
        <v>325</v>
      </c>
      <c r="I57" s="614" t="s">
        <v>930</v>
      </c>
      <c r="J57" s="614" t="s">
        <v>931</v>
      </c>
      <c r="K57" s="614" t="s">
        <v>932</v>
      </c>
      <c r="L57" s="615">
        <v>147.31</v>
      </c>
      <c r="M57" s="615">
        <v>441.93</v>
      </c>
      <c r="N57" s="614">
        <v>3</v>
      </c>
      <c r="O57" s="697">
        <v>1.5</v>
      </c>
      <c r="P57" s="615">
        <v>294.62</v>
      </c>
      <c r="Q57" s="630">
        <v>0.66666666666666663</v>
      </c>
      <c r="R57" s="614">
        <v>2</v>
      </c>
      <c r="S57" s="630">
        <v>0.66666666666666663</v>
      </c>
      <c r="T57" s="697">
        <v>0.5</v>
      </c>
      <c r="U57" s="653">
        <v>0.33333333333333331</v>
      </c>
    </row>
    <row r="58" spans="1:21" ht="14.4" customHeight="1" x14ac:dyDescent="0.3">
      <c r="A58" s="613">
        <v>25</v>
      </c>
      <c r="B58" s="614" t="s">
        <v>1112</v>
      </c>
      <c r="C58" s="614" t="s">
        <v>1245</v>
      </c>
      <c r="D58" s="695" t="s">
        <v>1782</v>
      </c>
      <c r="E58" s="696" t="s">
        <v>1281</v>
      </c>
      <c r="F58" s="614" t="s">
        <v>1243</v>
      </c>
      <c r="G58" s="614" t="s">
        <v>1291</v>
      </c>
      <c r="H58" s="614" t="s">
        <v>325</v>
      </c>
      <c r="I58" s="614" t="s">
        <v>1320</v>
      </c>
      <c r="J58" s="614" t="s">
        <v>931</v>
      </c>
      <c r="K58" s="614" t="s">
        <v>932</v>
      </c>
      <c r="L58" s="615">
        <v>147.31</v>
      </c>
      <c r="M58" s="615">
        <v>147.31</v>
      </c>
      <c r="N58" s="614">
        <v>1</v>
      </c>
      <c r="O58" s="697">
        <v>1</v>
      </c>
      <c r="P58" s="615"/>
      <c r="Q58" s="630">
        <v>0</v>
      </c>
      <c r="R58" s="614"/>
      <c r="S58" s="630">
        <v>0</v>
      </c>
      <c r="T58" s="697"/>
      <c r="U58" s="653">
        <v>0</v>
      </c>
    </row>
    <row r="59" spans="1:21" ht="14.4" customHeight="1" x14ac:dyDescent="0.3">
      <c r="A59" s="613">
        <v>25</v>
      </c>
      <c r="B59" s="614" t="s">
        <v>1112</v>
      </c>
      <c r="C59" s="614" t="s">
        <v>1245</v>
      </c>
      <c r="D59" s="695" t="s">
        <v>1782</v>
      </c>
      <c r="E59" s="696" t="s">
        <v>1281</v>
      </c>
      <c r="F59" s="614" t="s">
        <v>1243</v>
      </c>
      <c r="G59" s="614" t="s">
        <v>1297</v>
      </c>
      <c r="H59" s="614" t="s">
        <v>325</v>
      </c>
      <c r="I59" s="614" t="s">
        <v>907</v>
      </c>
      <c r="J59" s="614" t="s">
        <v>908</v>
      </c>
      <c r="K59" s="614" t="s">
        <v>1296</v>
      </c>
      <c r="L59" s="615">
        <v>30.17</v>
      </c>
      <c r="M59" s="615">
        <v>30.17</v>
      </c>
      <c r="N59" s="614">
        <v>1</v>
      </c>
      <c r="O59" s="697">
        <v>0.5</v>
      </c>
      <c r="P59" s="615">
        <v>30.17</v>
      </c>
      <c r="Q59" s="630">
        <v>1</v>
      </c>
      <c r="R59" s="614">
        <v>1</v>
      </c>
      <c r="S59" s="630">
        <v>1</v>
      </c>
      <c r="T59" s="697">
        <v>0.5</v>
      </c>
      <c r="U59" s="653">
        <v>1</v>
      </c>
    </row>
    <row r="60" spans="1:21" ht="14.4" customHeight="1" x14ac:dyDescent="0.3">
      <c r="A60" s="613">
        <v>25</v>
      </c>
      <c r="B60" s="614" t="s">
        <v>1112</v>
      </c>
      <c r="C60" s="614" t="s">
        <v>1245</v>
      </c>
      <c r="D60" s="695" t="s">
        <v>1782</v>
      </c>
      <c r="E60" s="696" t="s">
        <v>1281</v>
      </c>
      <c r="F60" s="614" t="s">
        <v>1243</v>
      </c>
      <c r="G60" s="614" t="s">
        <v>1292</v>
      </c>
      <c r="H60" s="614" t="s">
        <v>325</v>
      </c>
      <c r="I60" s="614" t="s">
        <v>1341</v>
      </c>
      <c r="J60" s="614" t="s">
        <v>714</v>
      </c>
      <c r="K60" s="614" t="s">
        <v>1342</v>
      </c>
      <c r="L60" s="615">
        <v>0</v>
      </c>
      <c r="M60" s="615">
        <v>0</v>
      </c>
      <c r="N60" s="614">
        <v>1</v>
      </c>
      <c r="O60" s="697">
        <v>0.5</v>
      </c>
      <c r="P60" s="615"/>
      <c r="Q60" s="630"/>
      <c r="R60" s="614"/>
      <c r="S60" s="630">
        <v>0</v>
      </c>
      <c r="T60" s="697"/>
      <c r="U60" s="653">
        <v>0</v>
      </c>
    </row>
    <row r="61" spans="1:21" ht="14.4" customHeight="1" x14ac:dyDescent="0.3">
      <c r="A61" s="613">
        <v>25</v>
      </c>
      <c r="B61" s="614" t="s">
        <v>1112</v>
      </c>
      <c r="C61" s="614" t="s">
        <v>1245</v>
      </c>
      <c r="D61" s="695" t="s">
        <v>1782</v>
      </c>
      <c r="E61" s="696" t="s">
        <v>1281</v>
      </c>
      <c r="F61" s="614" t="s">
        <v>1243</v>
      </c>
      <c r="G61" s="614" t="s">
        <v>1292</v>
      </c>
      <c r="H61" s="614" t="s">
        <v>325</v>
      </c>
      <c r="I61" s="614" t="s">
        <v>1343</v>
      </c>
      <c r="J61" s="614" t="s">
        <v>714</v>
      </c>
      <c r="K61" s="614" t="s">
        <v>1308</v>
      </c>
      <c r="L61" s="615">
        <v>24.22</v>
      </c>
      <c r="M61" s="615">
        <v>48.44</v>
      </c>
      <c r="N61" s="614">
        <v>2</v>
      </c>
      <c r="O61" s="697">
        <v>2</v>
      </c>
      <c r="P61" s="615">
        <v>24.22</v>
      </c>
      <c r="Q61" s="630">
        <v>0.5</v>
      </c>
      <c r="R61" s="614">
        <v>1</v>
      </c>
      <c r="S61" s="630">
        <v>0.5</v>
      </c>
      <c r="T61" s="697">
        <v>1</v>
      </c>
      <c r="U61" s="653">
        <v>0.5</v>
      </c>
    </row>
    <row r="62" spans="1:21" ht="14.4" customHeight="1" x14ac:dyDescent="0.3">
      <c r="A62" s="613">
        <v>25</v>
      </c>
      <c r="B62" s="614" t="s">
        <v>1112</v>
      </c>
      <c r="C62" s="614" t="s">
        <v>1245</v>
      </c>
      <c r="D62" s="695" t="s">
        <v>1782</v>
      </c>
      <c r="E62" s="696" t="s">
        <v>1281</v>
      </c>
      <c r="F62" s="614" t="s">
        <v>1244</v>
      </c>
      <c r="G62" s="614" t="s">
        <v>1344</v>
      </c>
      <c r="H62" s="614" t="s">
        <v>325</v>
      </c>
      <c r="I62" s="614" t="s">
        <v>1345</v>
      </c>
      <c r="J62" s="614" t="s">
        <v>1346</v>
      </c>
      <c r="K62" s="614"/>
      <c r="L62" s="615">
        <v>0</v>
      </c>
      <c r="M62" s="615">
        <v>0</v>
      </c>
      <c r="N62" s="614">
        <v>1</v>
      </c>
      <c r="O62" s="697">
        <v>1</v>
      </c>
      <c r="P62" s="615">
        <v>0</v>
      </c>
      <c r="Q62" s="630"/>
      <c r="R62" s="614">
        <v>1</v>
      </c>
      <c r="S62" s="630">
        <v>1</v>
      </c>
      <c r="T62" s="697">
        <v>1</v>
      </c>
      <c r="U62" s="653">
        <v>1</v>
      </c>
    </row>
    <row r="63" spans="1:21" ht="14.4" customHeight="1" x14ac:dyDescent="0.3">
      <c r="A63" s="613">
        <v>25</v>
      </c>
      <c r="B63" s="614" t="s">
        <v>1112</v>
      </c>
      <c r="C63" s="614" t="s">
        <v>1247</v>
      </c>
      <c r="D63" s="695" t="s">
        <v>1783</v>
      </c>
      <c r="E63" s="696" t="s">
        <v>1260</v>
      </c>
      <c r="F63" s="614" t="s">
        <v>1243</v>
      </c>
      <c r="G63" s="614" t="s">
        <v>1287</v>
      </c>
      <c r="H63" s="614" t="s">
        <v>325</v>
      </c>
      <c r="I63" s="614" t="s">
        <v>1329</v>
      </c>
      <c r="J63" s="614" t="s">
        <v>1330</v>
      </c>
      <c r="K63" s="614" t="s">
        <v>1331</v>
      </c>
      <c r="L63" s="615">
        <v>154.36000000000001</v>
      </c>
      <c r="M63" s="615">
        <v>463.08000000000004</v>
      </c>
      <c r="N63" s="614">
        <v>3</v>
      </c>
      <c r="O63" s="697">
        <v>3</v>
      </c>
      <c r="P63" s="615">
        <v>154.36000000000001</v>
      </c>
      <c r="Q63" s="630">
        <v>0.33333333333333331</v>
      </c>
      <c r="R63" s="614">
        <v>1</v>
      </c>
      <c r="S63" s="630">
        <v>0.33333333333333331</v>
      </c>
      <c r="T63" s="697">
        <v>1</v>
      </c>
      <c r="U63" s="653">
        <v>0.33333333333333331</v>
      </c>
    </row>
    <row r="64" spans="1:21" ht="14.4" customHeight="1" x14ac:dyDescent="0.3">
      <c r="A64" s="613">
        <v>25</v>
      </c>
      <c r="B64" s="614" t="s">
        <v>1112</v>
      </c>
      <c r="C64" s="614" t="s">
        <v>1247</v>
      </c>
      <c r="D64" s="695" t="s">
        <v>1783</v>
      </c>
      <c r="E64" s="696" t="s">
        <v>1260</v>
      </c>
      <c r="F64" s="614" t="s">
        <v>1243</v>
      </c>
      <c r="G64" s="614" t="s">
        <v>1287</v>
      </c>
      <c r="H64" s="614" t="s">
        <v>770</v>
      </c>
      <c r="I64" s="614" t="s">
        <v>956</v>
      </c>
      <c r="J64" s="614" t="s">
        <v>864</v>
      </c>
      <c r="K64" s="614" t="s">
        <v>1196</v>
      </c>
      <c r="L64" s="615">
        <v>150.04</v>
      </c>
      <c r="M64" s="615">
        <v>1500.3999999999999</v>
      </c>
      <c r="N64" s="614">
        <v>10</v>
      </c>
      <c r="O64" s="697">
        <v>9</v>
      </c>
      <c r="P64" s="615">
        <v>900.2399999999999</v>
      </c>
      <c r="Q64" s="630">
        <v>0.6</v>
      </c>
      <c r="R64" s="614">
        <v>6</v>
      </c>
      <c r="S64" s="630">
        <v>0.6</v>
      </c>
      <c r="T64" s="697">
        <v>5.5</v>
      </c>
      <c r="U64" s="653">
        <v>0.61111111111111116</v>
      </c>
    </row>
    <row r="65" spans="1:21" ht="14.4" customHeight="1" x14ac:dyDescent="0.3">
      <c r="A65" s="613">
        <v>25</v>
      </c>
      <c r="B65" s="614" t="s">
        <v>1112</v>
      </c>
      <c r="C65" s="614" t="s">
        <v>1247</v>
      </c>
      <c r="D65" s="695" t="s">
        <v>1783</v>
      </c>
      <c r="E65" s="696" t="s">
        <v>1260</v>
      </c>
      <c r="F65" s="614" t="s">
        <v>1243</v>
      </c>
      <c r="G65" s="614" t="s">
        <v>1287</v>
      </c>
      <c r="H65" s="614" t="s">
        <v>770</v>
      </c>
      <c r="I65" s="614" t="s">
        <v>956</v>
      </c>
      <c r="J65" s="614" t="s">
        <v>864</v>
      </c>
      <c r="K65" s="614" t="s">
        <v>1196</v>
      </c>
      <c r="L65" s="615">
        <v>154.36000000000001</v>
      </c>
      <c r="M65" s="615">
        <v>8026.7200000000012</v>
      </c>
      <c r="N65" s="614">
        <v>52</v>
      </c>
      <c r="O65" s="697">
        <v>47.5</v>
      </c>
      <c r="P65" s="615">
        <v>2778.4800000000014</v>
      </c>
      <c r="Q65" s="630">
        <v>0.34615384615384626</v>
      </c>
      <c r="R65" s="614">
        <v>18</v>
      </c>
      <c r="S65" s="630">
        <v>0.34615384615384615</v>
      </c>
      <c r="T65" s="697">
        <v>15.5</v>
      </c>
      <c r="U65" s="653">
        <v>0.32631578947368423</v>
      </c>
    </row>
    <row r="66" spans="1:21" ht="14.4" customHeight="1" x14ac:dyDescent="0.3">
      <c r="A66" s="613">
        <v>25</v>
      </c>
      <c r="B66" s="614" t="s">
        <v>1112</v>
      </c>
      <c r="C66" s="614" t="s">
        <v>1247</v>
      </c>
      <c r="D66" s="695" t="s">
        <v>1783</v>
      </c>
      <c r="E66" s="696" t="s">
        <v>1260</v>
      </c>
      <c r="F66" s="614" t="s">
        <v>1243</v>
      </c>
      <c r="G66" s="614" t="s">
        <v>1287</v>
      </c>
      <c r="H66" s="614" t="s">
        <v>325</v>
      </c>
      <c r="I66" s="614" t="s">
        <v>1288</v>
      </c>
      <c r="J66" s="614" t="s">
        <v>864</v>
      </c>
      <c r="K66" s="614" t="s">
        <v>1196</v>
      </c>
      <c r="L66" s="615">
        <v>150.04</v>
      </c>
      <c r="M66" s="615">
        <v>150.04</v>
      </c>
      <c r="N66" s="614">
        <v>1</v>
      </c>
      <c r="O66" s="697">
        <v>1</v>
      </c>
      <c r="P66" s="615"/>
      <c r="Q66" s="630">
        <v>0</v>
      </c>
      <c r="R66" s="614"/>
      <c r="S66" s="630">
        <v>0</v>
      </c>
      <c r="T66" s="697"/>
      <c r="U66" s="653">
        <v>0</v>
      </c>
    </row>
    <row r="67" spans="1:21" ht="14.4" customHeight="1" x14ac:dyDescent="0.3">
      <c r="A67" s="613">
        <v>25</v>
      </c>
      <c r="B67" s="614" t="s">
        <v>1112</v>
      </c>
      <c r="C67" s="614" t="s">
        <v>1247</v>
      </c>
      <c r="D67" s="695" t="s">
        <v>1783</v>
      </c>
      <c r="E67" s="696" t="s">
        <v>1260</v>
      </c>
      <c r="F67" s="614" t="s">
        <v>1243</v>
      </c>
      <c r="G67" s="614" t="s">
        <v>1287</v>
      </c>
      <c r="H67" s="614" t="s">
        <v>325</v>
      </c>
      <c r="I67" s="614" t="s">
        <v>1288</v>
      </c>
      <c r="J67" s="614" t="s">
        <v>864</v>
      </c>
      <c r="K67" s="614" t="s">
        <v>1196</v>
      </c>
      <c r="L67" s="615">
        <v>154.36000000000001</v>
      </c>
      <c r="M67" s="615">
        <v>154.36000000000001</v>
      </c>
      <c r="N67" s="614">
        <v>1</v>
      </c>
      <c r="O67" s="697">
        <v>1</v>
      </c>
      <c r="P67" s="615"/>
      <c r="Q67" s="630">
        <v>0</v>
      </c>
      <c r="R67" s="614"/>
      <c r="S67" s="630">
        <v>0</v>
      </c>
      <c r="T67" s="697"/>
      <c r="U67" s="653">
        <v>0</v>
      </c>
    </row>
    <row r="68" spans="1:21" ht="14.4" customHeight="1" x14ac:dyDescent="0.3">
      <c r="A68" s="613">
        <v>25</v>
      </c>
      <c r="B68" s="614" t="s">
        <v>1112</v>
      </c>
      <c r="C68" s="614" t="s">
        <v>1247</v>
      </c>
      <c r="D68" s="695" t="s">
        <v>1783</v>
      </c>
      <c r="E68" s="696" t="s">
        <v>1260</v>
      </c>
      <c r="F68" s="614" t="s">
        <v>1243</v>
      </c>
      <c r="G68" s="614" t="s">
        <v>1347</v>
      </c>
      <c r="H68" s="614" t="s">
        <v>770</v>
      </c>
      <c r="I68" s="614" t="s">
        <v>802</v>
      </c>
      <c r="J68" s="614" t="s">
        <v>1182</v>
      </c>
      <c r="K68" s="614" t="s">
        <v>469</v>
      </c>
      <c r="L68" s="615">
        <v>58.86</v>
      </c>
      <c r="M68" s="615">
        <v>117.72</v>
      </c>
      <c r="N68" s="614">
        <v>2</v>
      </c>
      <c r="O68" s="697">
        <v>0.5</v>
      </c>
      <c r="P68" s="615"/>
      <c r="Q68" s="630">
        <v>0</v>
      </c>
      <c r="R68" s="614"/>
      <c r="S68" s="630">
        <v>0</v>
      </c>
      <c r="T68" s="697"/>
      <c r="U68" s="653">
        <v>0</v>
      </c>
    </row>
    <row r="69" spans="1:21" ht="14.4" customHeight="1" x14ac:dyDescent="0.3">
      <c r="A69" s="613">
        <v>25</v>
      </c>
      <c r="B69" s="614" t="s">
        <v>1112</v>
      </c>
      <c r="C69" s="614" t="s">
        <v>1247</v>
      </c>
      <c r="D69" s="695" t="s">
        <v>1783</v>
      </c>
      <c r="E69" s="696" t="s">
        <v>1260</v>
      </c>
      <c r="F69" s="614" t="s">
        <v>1243</v>
      </c>
      <c r="G69" s="614" t="s">
        <v>1348</v>
      </c>
      <c r="H69" s="614" t="s">
        <v>770</v>
      </c>
      <c r="I69" s="614" t="s">
        <v>1349</v>
      </c>
      <c r="J69" s="614" t="s">
        <v>1350</v>
      </c>
      <c r="K69" s="614" t="s">
        <v>1351</v>
      </c>
      <c r="L69" s="615">
        <v>86.5</v>
      </c>
      <c r="M69" s="615">
        <v>86.5</v>
      </c>
      <c r="N69" s="614">
        <v>1</v>
      </c>
      <c r="O69" s="697">
        <v>1</v>
      </c>
      <c r="P69" s="615"/>
      <c r="Q69" s="630">
        <v>0</v>
      </c>
      <c r="R69" s="614"/>
      <c r="S69" s="630">
        <v>0</v>
      </c>
      <c r="T69" s="697"/>
      <c r="U69" s="653">
        <v>0</v>
      </c>
    </row>
    <row r="70" spans="1:21" ht="14.4" customHeight="1" x14ac:dyDescent="0.3">
      <c r="A70" s="613">
        <v>25</v>
      </c>
      <c r="B70" s="614" t="s">
        <v>1112</v>
      </c>
      <c r="C70" s="614" t="s">
        <v>1247</v>
      </c>
      <c r="D70" s="695" t="s">
        <v>1783</v>
      </c>
      <c r="E70" s="696" t="s">
        <v>1260</v>
      </c>
      <c r="F70" s="614" t="s">
        <v>1243</v>
      </c>
      <c r="G70" s="614" t="s">
        <v>1352</v>
      </c>
      <c r="H70" s="614" t="s">
        <v>325</v>
      </c>
      <c r="I70" s="614" t="s">
        <v>1353</v>
      </c>
      <c r="J70" s="614" t="s">
        <v>1354</v>
      </c>
      <c r="K70" s="614" t="s">
        <v>563</v>
      </c>
      <c r="L70" s="615">
        <v>35.11</v>
      </c>
      <c r="M70" s="615">
        <v>35.11</v>
      </c>
      <c r="N70" s="614">
        <v>1</v>
      </c>
      <c r="O70" s="697">
        <v>0.5</v>
      </c>
      <c r="P70" s="615"/>
      <c r="Q70" s="630">
        <v>0</v>
      </c>
      <c r="R70" s="614"/>
      <c r="S70" s="630">
        <v>0</v>
      </c>
      <c r="T70" s="697"/>
      <c r="U70" s="653">
        <v>0</v>
      </c>
    </row>
    <row r="71" spans="1:21" ht="14.4" customHeight="1" x14ac:dyDescent="0.3">
      <c r="A71" s="613">
        <v>25</v>
      </c>
      <c r="B71" s="614" t="s">
        <v>1112</v>
      </c>
      <c r="C71" s="614" t="s">
        <v>1247</v>
      </c>
      <c r="D71" s="695" t="s">
        <v>1783</v>
      </c>
      <c r="E71" s="696" t="s">
        <v>1260</v>
      </c>
      <c r="F71" s="614" t="s">
        <v>1243</v>
      </c>
      <c r="G71" s="614" t="s">
        <v>1333</v>
      </c>
      <c r="H71" s="614" t="s">
        <v>325</v>
      </c>
      <c r="I71" s="614" t="s">
        <v>1355</v>
      </c>
      <c r="J71" s="614" t="s">
        <v>1356</v>
      </c>
      <c r="K71" s="614" t="s">
        <v>1357</v>
      </c>
      <c r="L71" s="615">
        <v>0</v>
      </c>
      <c r="M71" s="615">
        <v>0</v>
      </c>
      <c r="N71" s="614">
        <v>1</v>
      </c>
      <c r="O71" s="697">
        <v>1</v>
      </c>
      <c r="P71" s="615">
        <v>0</v>
      </c>
      <c r="Q71" s="630"/>
      <c r="R71" s="614">
        <v>1</v>
      </c>
      <c r="S71" s="630">
        <v>1</v>
      </c>
      <c r="T71" s="697">
        <v>1</v>
      </c>
      <c r="U71" s="653">
        <v>1</v>
      </c>
    </row>
    <row r="72" spans="1:21" ht="14.4" customHeight="1" x14ac:dyDescent="0.3">
      <c r="A72" s="613">
        <v>25</v>
      </c>
      <c r="B72" s="614" t="s">
        <v>1112</v>
      </c>
      <c r="C72" s="614" t="s">
        <v>1247</v>
      </c>
      <c r="D72" s="695" t="s">
        <v>1783</v>
      </c>
      <c r="E72" s="696" t="s">
        <v>1260</v>
      </c>
      <c r="F72" s="614" t="s">
        <v>1243</v>
      </c>
      <c r="G72" s="614" t="s">
        <v>1289</v>
      </c>
      <c r="H72" s="614" t="s">
        <v>325</v>
      </c>
      <c r="I72" s="614" t="s">
        <v>1337</v>
      </c>
      <c r="J72" s="614" t="s">
        <v>920</v>
      </c>
      <c r="K72" s="614" t="s">
        <v>1338</v>
      </c>
      <c r="L72" s="615">
        <v>0</v>
      </c>
      <c r="M72" s="615">
        <v>0</v>
      </c>
      <c r="N72" s="614">
        <v>1</v>
      </c>
      <c r="O72" s="697">
        <v>1</v>
      </c>
      <c r="P72" s="615"/>
      <c r="Q72" s="630"/>
      <c r="R72" s="614"/>
      <c r="S72" s="630">
        <v>0</v>
      </c>
      <c r="T72" s="697"/>
      <c r="U72" s="653">
        <v>0</v>
      </c>
    </row>
    <row r="73" spans="1:21" ht="14.4" customHeight="1" x14ac:dyDescent="0.3">
      <c r="A73" s="613">
        <v>25</v>
      </c>
      <c r="B73" s="614" t="s">
        <v>1112</v>
      </c>
      <c r="C73" s="614" t="s">
        <v>1247</v>
      </c>
      <c r="D73" s="695" t="s">
        <v>1783</v>
      </c>
      <c r="E73" s="696" t="s">
        <v>1260</v>
      </c>
      <c r="F73" s="614" t="s">
        <v>1243</v>
      </c>
      <c r="G73" s="614" t="s">
        <v>1358</v>
      </c>
      <c r="H73" s="614" t="s">
        <v>325</v>
      </c>
      <c r="I73" s="614" t="s">
        <v>1359</v>
      </c>
      <c r="J73" s="614" t="s">
        <v>1360</v>
      </c>
      <c r="K73" s="614" t="s">
        <v>1361</v>
      </c>
      <c r="L73" s="615">
        <v>75.819999999999993</v>
      </c>
      <c r="M73" s="615">
        <v>75.819999999999993</v>
      </c>
      <c r="N73" s="614">
        <v>1</v>
      </c>
      <c r="O73" s="697">
        <v>1</v>
      </c>
      <c r="P73" s="615"/>
      <c r="Q73" s="630">
        <v>0</v>
      </c>
      <c r="R73" s="614"/>
      <c r="S73" s="630">
        <v>0</v>
      </c>
      <c r="T73" s="697"/>
      <c r="U73" s="653">
        <v>0</v>
      </c>
    </row>
    <row r="74" spans="1:21" ht="14.4" customHeight="1" x14ac:dyDescent="0.3">
      <c r="A74" s="613">
        <v>25</v>
      </c>
      <c r="B74" s="614" t="s">
        <v>1112</v>
      </c>
      <c r="C74" s="614" t="s">
        <v>1247</v>
      </c>
      <c r="D74" s="695" t="s">
        <v>1783</v>
      </c>
      <c r="E74" s="696" t="s">
        <v>1260</v>
      </c>
      <c r="F74" s="614" t="s">
        <v>1243</v>
      </c>
      <c r="G74" s="614" t="s">
        <v>1362</v>
      </c>
      <c r="H74" s="614" t="s">
        <v>325</v>
      </c>
      <c r="I74" s="614" t="s">
        <v>1363</v>
      </c>
      <c r="J74" s="614" t="s">
        <v>1364</v>
      </c>
      <c r="K74" s="614" t="s">
        <v>1365</v>
      </c>
      <c r="L74" s="615">
        <v>37.89</v>
      </c>
      <c r="M74" s="615">
        <v>37.89</v>
      </c>
      <c r="N74" s="614">
        <v>1</v>
      </c>
      <c r="O74" s="697">
        <v>1</v>
      </c>
      <c r="P74" s="615">
        <v>37.89</v>
      </c>
      <c r="Q74" s="630">
        <v>1</v>
      </c>
      <c r="R74" s="614">
        <v>1</v>
      </c>
      <c r="S74" s="630">
        <v>1</v>
      </c>
      <c r="T74" s="697">
        <v>1</v>
      </c>
      <c r="U74" s="653">
        <v>1</v>
      </c>
    </row>
    <row r="75" spans="1:21" ht="14.4" customHeight="1" x14ac:dyDescent="0.3">
      <c r="A75" s="613">
        <v>25</v>
      </c>
      <c r="B75" s="614" t="s">
        <v>1112</v>
      </c>
      <c r="C75" s="614" t="s">
        <v>1247</v>
      </c>
      <c r="D75" s="695" t="s">
        <v>1783</v>
      </c>
      <c r="E75" s="696" t="s">
        <v>1260</v>
      </c>
      <c r="F75" s="614" t="s">
        <v>1243</v>
      </c>
      <c r="G75" s="614" t="s">
        <v>1366</v>
      </c>
      <c r="H75" s="614" t="s">
        <v>325</v>
      </c>
      <c r="I75" s="614" t="s">
        <v>1367</v>
      </c>
      <c r="J75" s="614" t="s">
        <v>1368</v>
      </c>
      <c r="K75" s="614" t="s">
        <v>1369</v>
      </c>
      <c r="L75" s="615">
        <v>16.14</v>
      </c>
      <c r="M75" s="615">
        <v>16.14</v>
      </c>
      <c r="N75" s="614">
        <v>1</v>
      </c>
      <c r="O75" s="697">
        <v>1</v>
      </c>
      <c r="P75" s="615">
        <v>16.14</v>
      </c>
      <c r="Q75" s="630">
        <v>1</v>
      </c>
      <c r="R75" s="614">
        <v>1</v>
      </c>
      <c r="S75" s="630">
        <v>1</v>
      </c>
      <c r="T75" s="697">
        <v>1</v>
      </c>
      <c r="U75" s="653">
        <v>1</v>
      </c>
    </row>
    <row r="76" spans="1:21" ht="14.4" customHeight="1" x14ac:dyDescent="0.3">
      <c r="A76" s="613">
        <v>25</v>
      </c>
      <c r="B76" s="614" t="s">
        <v>1112</v>
      </c>
      <c r="C76" s="614" t="s">
        <v>1247</v>
      </c>
      <c r="D76" s="695" t="s">
        <v>1783</v>
      </c>
      <c r="E76" s="696" t="s">
        <v>1260</v>
      </c>
      <c r="F76" s="614" t="s">
        <v>1243</v>
      </c>
      <c r="G76" s="614" t="s">
        <v>1314</v>
      </c>
      <c r="H76" s="614" t="s">
        <v>325</v>
      </c>
      <c r="I76" s="614" t="s">
        <v>1370</v>
      </c>
      <c r="J76" s="614" t="s">
        <v>1316</v>
      </c>
      <c r="K76" s="614" t="s">
        <v>1371</v>
      </c>
      <c r="L76" s="615">
        <v>112.6</v>
      </c>
      <c r="M76" s="615">
        <v>112.6</v>
      </c>
      <c r="N76" s="614">
        <v>1</v>
      </c>
      <c r="O76" s="697">
        <v>0.5</v>
      </c>
      <c r="P76" s="615">
        <v>112.6</v>
      </c>
      <c r="Q76" s="630">
        <v>1</v>
      </c>
      <c r="R76" s="614">
        <v>1</v>
      </c>
      <c r="S76" s="630">
        <v>1</v>
      </c>
      <c r="T76" s="697">
        <v>0.5</v>
      </c>
      <c r="U76" s="653">
        <v>1</v>
      </c>
    </row>
    <row r="77" spans="1:21" ht="14.4" customHeight="1" x14ac:dyDescent="0.3">
      <c r="A77" s="613">
        <v>25</v>
      </c>
      <c r="B77" s="614" t="s">
        <v>1112</v>
      </c>
      <c r="C77" s="614" t="s">
        <v>1247</v>
      </c>
      <c r="D77" s="695" t="s">
        <v>1783</v>
      </c>
      <c r="E77" s="696" t="s">
        <v>1260</v>
      </c>
      <c r="F77" s="614" t="s">
        <v>1243</v>
      </c>
      <c r="G77" s="614" t="s">
        <v>1372</v>
      </c>
      <c r="H77" s="614" t="s">
        <v>325</v>
      </c>
      <c r="I77" s="614" t="s">
        <v>464</v>
      </c>
      <c r="J77" s="614" t="s">
        <v>465</v>
      </c>
      <c r="K77" s="614" t="s">
        <v>1373</v>
      </c>
      <c r="L77" s="615">
        <v>156.77000000000001</v>
      </c>
      <c r="M77" s="615">
        <v>156.77000000000001</v>
      </c>
      <c r="N77" s="614">
        <v>1</v>
      </c>
      <c r="O77" s="697">
        <v>0.5</v>
      </c>
      <c r="P77" s="615"/>
      <c r="Q77" s="630">
        <v>0</v>
      </c>
      <c r="R77" s="614"/>
      <c r="S77" s="630">
        <v>0</v>
      </c>
      <c r="T77" s="697"/>
      <c r="U77" s="653">
        <v>0</v>
      </c>
    </row>
    <row r="78" spans="1:21" ht="14.4" customHeight="1" x14ac:dyDescent="0.3">
      <c r="A78" s="613">
        <v>25</v>
      </c>
      <c r="B78" s="614" t="s">
        <v>1112</v>
      </c>
      <c r="C78" s="614" t="s">
        <v>1247</v>
      </c>
      <c r="D78" s="695" t="s">
        <v>1783</v>
      </c>
      <c r="E78" s="696" t="s">
        <v>1260</v>
      </c>
      <c r="F78" s="614" t="s">
        <v>1243</v>
      </c>
      <c r="G78" s="614" t="s">
        <v>1374</v>
      </c>
      <c r="H78" s="614" t="s">
        <v>325</v>
      </c>
      <c r="I78" s="614" t="s">
        <v>1375</v>
      </c>
      <c r="J78" s="614" t="s">
        <v>1376</v>
      </c>
      <c r="K78" s="614" t="s">
        <v>1377</v>
      </c>
      <c r="L78" s="615">
        <v>70.05</v>
      </c>
      <c r="M78" s="615">
        <v>980.7</v>
      </c>
      <c r="N78" s="614">
        <v>14</v>
      </c>
      <c r="O78" s="697">
        <v>9</v>
      </c>
      <c r="P78" s="615">
        <v>210.14999999999998</v>
      </c>
      <c r="Q78" s="630">
        <v>0.21428571428571425</v>
      </c>
      <c r="R78" s="614">
        <v>3</v>
      </c>
      <c r="S78" s="630">
        <v>0.21428571428571427</v>
      </c>
      <c r="T78" s="697">
        <v>2.5</v>
      </c>
      <c r="U78" s="653">
        <v>0.27777777777777779</v>
      </c>
    </row>
    <row r="79" spans="1:21" ht="14.4" customHeight="1" x14ac:dyDescent="0.3">
      <c r="A79" s="613">
        <v>25</v>
      </c>
      <c r="B79" s="614" t="s">
        <v>1112</v>
      </c>
      <c r="C79" s="614" t="s">
        <v>1247</v>
      </c>
      <c r="D79" s="695" t="s">
        <v>1783</v>
      </c>
      <c r="E79" s="696" t="s">
        <v>1260</v>
      </c>
      <c r="F79" s="614" t="s">
        <v>1243</v>
      </c>
      <c r="G79" s="614" t="s">
        <v>1378</v>
      </c>
      <c r="H79" s="614" t="s">
        <v>325</v>
      </c>
      <c r="I79" s="614" t="s">
        <v>1379</v>
      </c>
      <c r="J79" s="614" t="s">
        <v>1380</v>
      </c>
      <c r="K79" s="614" t="s">
        <v>1381</v>
      </c>
      <c r="L79" s="615">
        <v>26.9</v>
      </c>
      <c r="M79" s="615">
        <v>188.3</v>
      </c>
      <c r="N79" s="614">
        <v>7</v>
      </c>
      <c r="O79" s="697">
        <v>6.5</v>
      </c>
      <c r="P79" s="615">
        <v>53.8</v>
      </c>
      <c r="Q79" s="630">
        <v>0.2857142857142857</v>
      </c>
      <c r="R79" s="614">
        <v>2</v>
      </c>
      <c r="S79" s="630">
        <v>0.2857142857142857</v>
      </c>
      <c r="T79" s="697">
        <v>2</v>
      </c>
      <c r="U79" s="653">
        <v>0.30769230769230771</v>
      </c>
    </row>
    <row r="80" spans="1:21" ht="14.4" customHeight="1" x14ac:dyDescent="0.3">
      <c r="A80" s="613">
        <v>25</v>
      </c>
      <c r="B80" s="614" t="s">
        <v>1112</v>
      </c>
      <c r="C80" s="614" t="s">
        <v>1247</v>
      </c>
      <c r="D80" s="695" t="s">
        <v>1783</v>
      </c>
      <c r="E80" s="696" t="s">
        <v>1260</v>
      </c>
      <c r="F80" s="614" t="s">
        <v>1243</v>
      </c>
      <c r="G80" s="614" t="s">
        <v>1378</v>
      </c>
      <c r="H80" s="614" t="s">
        <v>325</v>
      </c>
      <c r="I80" s="614" t="s">
        <v>1382</v>
      </c>
      <c r="J80" s="614" t="s">
        <v>1383</v>
      </c>
      <c r="K80" s="614" t="s">
        <v>1384</v>
      </c>
      <c r="L80" s="615">
        <v>73.73</v>
      </c>
      <c r="M80" s="615">
        <v>73.73</v>
      </c>
      <c r="N80" s="614">
        <v>1</v>
      </c>
      <c r="O80" s="697">
        <v>0.5</v>
      </c>
      <c r="P80" s="615"/>
      <c r="Q80" s="630">
        <v>0</v>
      </c>
      <c r="R80" s="614"/>
      <c r="S80" s="630">
        <v>0</v>
      </c>
      <c r="T80" s="697"/>
      <c r="U80" s="653">
        <v>0</v>
      </c>
    </row>
    <row r="81" spans="1:21" ht="14.4" customHeight="1" x14ac:dyDescent="0.3">
      <c r="A81" s="613">
        <v>25</v>
      </c>
      <c r="B81" s="614" t="s">
        <v>1112</v>
      </c>
      <c r="C81" s="614" t="s">
        <v>1247</v>
      </c>
      <c r="D81" s="695" t="s">
        <v>1783</v>
      </c>
      <c r="E81" s="696" t="s">
        <v>1260</v>
      </c>
      <c r="F81" s="614" t="s">
        <v>1243</v>
      </c>
      <c r="G81" s="614" t="s">
        <v>1378</v>
      </c>
      <c r="H81" s="614" t="s">
        <v>325</v>
      </c>
      <c r="I81" s="614" t="s">
        <v>1385</v>
      </c>
      <c r="J81" s="614" t="s">
        <v>1383</v>
      </c>
      <c r="K81" s="614" t="s">
        <v>1386</v>
      </c>
      <c r="L81" s="615">
        <v>0</v>
      </c>
      <c r="M81" s="615">
        <v>0</v>
      </c>
      <c r="N81" s="614">
        <v>1</v>
      </c>
      <c r="O81" s="697">
        <v>1</v>
      </c>
      <c r="P81" s="615"/>
      <c r="Q81" s="630"/>
      <c r="R81" s="614"/>
      <c r="S81" s="630">
        <v>0</v>
      </c>
      <c r="T81" s="697"/>
      <c r="U81" s="653">
        <v>0</v>
      </c>
    </row>
    <row r="82" spans="1:21" ht="14.4" customHeight="1" x14ac:dyDescent="0.3">
      <c r="A82" s="613">
        <v>25</v>
      </c>
      <c r="B82" s="614" t="s">
        <v>1112</v>
      </c>
      <c r="C82" s="614" t="s">
        <v>1247</v>
      </c>
      <c r="D82" s="695" t="s">
        <v>1783</v>
      </c>
      <c r="E82" s="696" t="s">
        <v>1260</v>
      </c>
      <c r="F82" s="614" t="s">
        <v>1243</v>
      </c>
      <c r="G82" s="614" t="s">
        <v>1291</v>
      </c>
      <c r="H82" s="614" t="s">
        <v>325</v>
      </c>
      <c r="I82" s="614" t="s">
        <v>930</v>
      </c>
      <c r="J82" s="614" t="s">
        <v>931</v>
      </c>
      <c r="K82" s="614" t="s">
        <v>932</v>
      </c>
      <c r="L82" s="615">
        <v>147.31</v>
      </c>
      <c r="M82" s="615">
        <v>1767.7199999999998</v>
      </c>
      <c r="N82" s="614">
        <v>12</v>
      </c>
      <c r="O82" s="697">
        <v>8.5</v>
      </c>
      <c r="P82" s="615">
        <v>883.8599999999999</v>
      </c>
      <c r="Q82" s="630">
        <v>0.5</v>
      </c>
      <c r="R82" s="614">
        <v>6</v>
      </c>
      <c r="S82" s="630">
        <v>0.5</v>
      </c>
      <c r="T82" s="697">
        <v>4.5</v>
      </c>
      <c r="U82" s="653">
        <v>0.52941176470588236</v>
      </c>
    </row>
    <row r="83" spans="1:21" ht="14.4" customHeight="1" x14ac:dyDescent="0.3">
      <c r="A83" s="613">
        <v>25</v>
      </c>
      <c r="B83" s="614" t="s">
        <v>1112</v>
      </c>
      <c r="C83" s="614" t="s">
        <v>1247</v>
      </c>
      <c r="D83" s="695" t="s">
        <v>1783</v>
      </c>
      <c r="E83" s="696" t="s">
        <v>1260</v>
      </c>
      <c r="F83" s="614" t="s">
        <v>1243</v>
      </c>
      <c r="G83" s="614" t="s">
        <v>1291</v>
      </c>
      <c r="H83" s="614" t="s">
        <v>325</v>
      </c>
      <c r="I83" s="614" t="s">
        <v>1079</v>
      </c>
      <c r="J83" s="614" t="s">
        <v>1080</v>
      </c>
      <c r="K83" s="614" t="s">
        <v>1311</v>
      </c>
      <c r="L83" s="615">
        <v>73.66</v>
      </c>
      <c r="M83" s="615">
        <v>515.61999999999989</v>
      </c>
      <c r="N83" s="614">
        <v>7</v>
      </c>
      <c r="O83" s="697">
        <v>4.5</v>
      </c>
      <c r="P83" s="615">
        <v>368.29999999999995</v>
      </c>
      <c r="Q83" s="630">
        <v>0.7142857142857143</v>
      </c>
      <c r="R83" s="614">
        <v>5</v>
      </c>
      <c r="S83" s="630">
        <v>0.7142857142857143</v>
      </c>
      <c r="T83" s="697">
        <v>3.5</v>
      </c>
      <c r="U83" s="653">
        <v>0.77777777777777779</v>
      </c>
    </row>
    <row r="84" spans="1:21" ht="14.4" customHeight="1" x14ac:dyDescent="0.3">
      <c r="A84" s="613">
        <v>25</v>
      </c>
      <c r="B84" s="614" t="s">
        <v>1112</v>
      </c>
      <c r="C84" s="614" t="s">
        <v>1247</v>
      </c>
      <c r="D84" s="695" t="s">
        <v>1783</v>
      </c>
      <c r="E84" s="696" t="s">
        <v>1260</v>
      </c>
      <c r="F84" s="614" t="s">
        <v>1243</v>
      </c>
      <c r="G84" s="614" t="s">
        <v>1291</v>
      </c>
      <c r="H84" s="614" t="s">
        <v>325</v>
      </c>
      <c r="I84" s="614" t="s">
        <v>1387</v>
      </c>
      <c r="J84" s="614" t="s">
        <v>931</v>
      </c>
      <c r="K84" s="614" t="s">
        <v>1388</v>
      </c>
      <c r="L84" s="615">
        <v>0</v>
      </c>
      <c r="M84" s="615">
        <v>0</v>
      </c>
      <c r="N84" s="614">
        <v>1</v>
      </c>
      <c r="O84" s="697">
        <v>1</v>
      </c>
      <c r="P84" s="615">
        <v>0</v>
      </c>
      <c r="Q84" s="630"/>
      <c r="R84" s="614">
        <v>1</v>
      </c>
      <c r="S84" s="630">
        <v>1</v>
      </c>
      <c r="T84" s="697">
        <v>1</v>
      </c>
      <c r="U84" s="653">
        <v>1</v>
      </c>
    </row>
    <row r="85" spans="1:21" ht="14.4" customHeight="1" x14ac:dyDescent="0.3">
      <c r="A85" s="613">
        <v>25</v>
      </c>
      <c r="B85" s="614" t="s">
        <v>1112</v>
      </c>
      <c r="C85" s="614" t="s">
        <v>1247</v>
      </c>
      <c r="D85" s="695" t="s">
        <v>1783</v>
      </c>
      <c r="E85" s="696" t="s">
        <v>1260</v>
      </c>
      <c r="F85" s="614" t="s">
        <v>1243</v>
      </c>
      <c r="G85" s="614" t="s">
        <v>1291</v>
      </c>
      <c r="H85" s="614" t="s">
        <v>325</v>
      </c>
      <c r="I85" s="614" t="s">
        <v>1320</v>
      </c>
      <c r="J85" s="614" t="s">
        <v>931</v>
      </c>
      <c r="K85" s="614" t="s">
        <v>932</v>
      </c>
      <c r="L85" s="615">
        <v>147.31</v>
      </c>
      <c r="M85" s="615">
        <v>294.62</v>
      </c>
      <c r="N85" s="614">
        <v>2</v>
      </c>
      <c r="O85" s="697">
        <v>1</v>
      </c>
      <c r="P85" s="615"/>
      <c r="Q85" s="630">
        <v>0</v>
      </c>
      <c r="R85" s="614"/>
      <c r="S85" s="630">
        <v>0</v>
      </c>
      <c r="T85" s="697"/>
      <c r="U85" s="653">
        <v>0</v>
      </c>
    </row>
    <row r="86" spans="1:21" ht="14.4" customHeight="1" x14ac:dyDescent="0.3">
      <c r="A86" s="613">
        <v>25</v>
      </c>
      <c r="B86" s="614" t="s">
        <v>1112</v>
      </c>
      <c r="C86" s="614" t="s">
        <v>1247</v>
      </c>
      <c r="D86" s="695" t="s">
        <v>1783</v>
      </c>
      <c r="E86" s="696" t="s">
        <v>1260</v>
      </c>
      <c r="F86" s="614" t="s">
        <v>1243</v>
      </c>
      <c r="G86" s="614" t="s">
        <v>1389</v>
      </c>
      <c r="H86" s="614" t="s">
        <v>325</v>
      </c>
      <c r="I86" s="614" t="s">
        <v>1390</v>
      </c>
      <c r="J86" s="614" t="s">
        <v>1391</v>
      </c>
      <c r="K86" s="614" t="s">
        <v>1392</v>
      </c>
      <c r="L86" s="615">
        <v>49.37</v>
      </c>
      <c r="M86" s="615">
        <v>148.10999999999999</v>
      </c>
      <c r="N86" s="614">
        <v>3</v>
      </c>
      <c r="O86" s="697">
        <v>2</v>
      </c>
      <c r="P86" s="615">
        <v>98.74</v>
      </c>
      <c r="Q86" s="630">
        <v>0.66666666666666674</v>
      </c>
      <c r="R86" s="614">
        <v>2</v>
      </c>
      <c r="S86" s="630">
        <v>0.66666666666666663</v>
      </c>
      <c r="T86" s="697">
        <v>1.5</v>
      </c>
      <c r="U86" s="653">
        <v>0.75</v>
      </c>
    </row>
    <row r="87" spans="1:21" ht="14.4" customHeight="1" x14ac:dyDescent="0.3">
      <c r="A87" s="613">
        <v>25</v>
      </c>
      <c r="B87" s="614" t="s">
        <v>1112</v>
      </c>
      <c r="C87" s="614" t="s">
        <v>1247</v>
      </c>
      <c r="D87" s="695" t="s">
        <v>1783</v>
      </c>
      <c r="E87" s="696" t="s">
        <v>1260</v>
      </c>
      <c r="F87" s="614" t="s">
        <v>1243</v>
      </c>
      <c r="G87" s="614" t="s">
        <v>1293</v>
      </c>
      <c r="H87" s="614" t="s">
        <v>325</v>
      </c>
      <c r="I87" s="614" t="s">
        <v>1393</v>
      </c>
      <c r="J87" s="614" t="s">
        <v>623</v>
      </c>
      <c r="K87" s="614" t="s">
        <v>1394</v>
      </c>
      <c r="L87" s="615">
        <v>174.86</v>
      </c>
      <c r="M87" s="615">
        <v>174.86</v>
      </c>
      <c r="N87" s="614">
        <v>1</v>
      </c>
      <c r="O87" s="697">
        <v>1</v>
      </c>
      <c r="P87" s="615">
        <v>174.86</v>
      </c>
      <c r="Q87" s="630">
        <v>1</v>
      </c>
      <c r="R87" s="614">
        <v>1</v>
      </c>
      <c r="S87" s="630">
        <v>1</v>
      </c>
      <c r="T87" s="697">
        <v>1</v>
      </c>
      <c r="U87" s="653">
        <v>1</v>
      </c>
    </row>
    <row r="88" spans="1:21" ht="14.4" customHeight="1" x14ac:dyDescent="0.3">
      <c r="A88" s="613">
        <v>25</v>
      </c>
      <c r="B88" s="614" t="s">
        <v>1112</v>
      </c>
      <c r="C88" s="614" t="s">
        <v>1247</v>
      </c>
      <c r="D88" s="695" t="s">
        <v>1783</v>
      </c>
      <c r="E88" s="696" t="s">
        <v>1260</v>
      </c>
      <c r="F88" s="614" t="s">
        <v>1243</v>
      </c>
      <c r="G88" s="614" t="s">
        <v>1395</v>
      </c>
      <c r="H88" s="614" t="s">
        <v>325</v>
      </c>
      <c r="I88" s="614" t="s">
        <v>1396</v>
      </c>
      <c r="J88" s="614" t="s">
        <v>1397</v>
      </c>
      <c r="K88" s="614" t="s">
        <v>1398</v>
      </c>
      <c r="L88" s="615">
        <v>816.97</v>
      </c>
      <c r="M88" s="615">
        <v>816.97</v>
      </c>
      <c r="N88" s="614">
        <v>1</v>
      </c>
      <c r="O88" s="697">
        <v>1</v>
      </c>
      <c r="P88" s="615"/>
      <c r="Q88" s="630">
        <v>0</v>
      </c>
      <c r="R88" s="614"/>
      <c r="S88" s="630">
        <v>0</v>
      </c>
      <c r="T88" s="697"/>
      <c r="U88" s="653">
        <v>0</v>
      </c>
    </row>
    <row r="89" spans="1:21" ht="14.4" customHeight="1" x14ac:dyDescent="0.3">
      <c r="A89" s="613">
        <v>25</v>
      </c>
      <c r="B89" s="614" t="s">
        <v>1112</v>
      </c>
      <c r="C89" s="614" t="s">
        <v>1247</v>
      </c>
      <c r="D89" s="695" t="s">
        <v>1783</v>
      </c>
      <c r="E89" s="696" t="s">
        <v>1260</v>
      </c>
      <c r="F89" s="614" t="s">
        <v>1243</v>
      </c>
      <c r="G89" s="614" t="s">
        <v>1399</v>
      </c>
      <c r="H89" s="614" t="s">
        <v>770</v>
      </c>
      <c r="I89" s="614" t="s">
        <v>1400</v>
      </c>
      <c r="J89" s="614" t="s">
        <v>1401</v>
      </c>
      <c r="K89" s="614" t="s">
        <v>1402</v>
      </c>
      <c r="L89" s="615">
        <v>340.97</v>
      </c>
      <c r="M89" s="615">
        <v>340.97</v>
      </c>
      <c r="N89" s="614">
        <v>1</v>
      </c>
      <c r="O89" s="697">
        <v>1</v>
      </c>
      <c r="P89" s="615"/>
      <c r="Q89" s="630">
        <v>0</v>
      </c>
      <c r="R89" s="614"/>
      <c r="S89" s="630">
        <v>0</v>
      </c>
      <c r="T89" s="697"/>
      <c r="U89" s="653">
        <v>0</v>
      </c>
    </row>
    <row r="90" spans="1:21" ht="14.4" customHeight="1" x14ac:dyDescent="0.3">
      <c r="A90" s="613">
        <v>25</v>
      </c>
      <c r="B90" s="614" t="s">
        <v>1112</v>
      </c>
      <c r="C90" s="614" t="s">
        <v>1247</v>
      </c>
      <c r="D90" s="695" t="s">
        <v>1783</v>
      </c>
      <c r="E90" s="696" t="s">
        <v>1260</v>
      </c>
      <c r="F90" s="614" t="s">
        <v>1243</v>
      </c>
      <c r="G90" s="614" t="s">
        <v>1403</v>
      </c>
      <c r="H90" s="614" t="s">
        <v>325</v>
      </c>
      <c r="I90" s="614" t="s">
        <v>1404</v>
      </c>
      <c r="J90" s="614" t="s">
        <v>1405</v>
      </c>
      <c r="K90" s="614" t="s">
        <v>1406</v>
      </c>
      <c r="L90" s="615">
        <v>38.56</v>
      </c>
      <c r="M90" s="615">
        <v>38.56</v>
      </c>
      <c r="N90" s="614">
        <v>1</v>
      </c>
      <c r="O90" s="697">
        <v>0.5</v>
      </c>
      <c r="P90" s="615"/>
      <c r="Q90" s="630">
        <v>0</v>
      </c>
      <c r="R90" s="614"/>
      <c r="S90" s="630">
        <v>0</v>
      </c>
      <c r="T90" s="697"/>
      <c r="U90" s="653">
        <v>0</v>
      </c>
    </row>
    <row r="91" spans="1:21" ht="14.4" customHeight="1" x14ac:dyDescent="0.3">
      <c r="A91" s="613">
        <v>25</v>
      </c>
      <c r="B91" s="614" t="s">
        <v>1112</v>
      </c>
      <c r="C91" s="614" t="s">
        <v>1247</v>
      </c>
      <c r="D91" s="695" t="s">
        <v>1783</v>
      </c>
      <c r="E91" s="696" t="s">
        <v>1260</v>
      </c>
      <c r="F91" s="614" t="s">
        <v>1243</v>
      </c>
      <c r="G91" s="614" t="s">
        <v>1297</v>
      </c>
      <c r="H91" s="614" t="s">
        <v>325</v>
      </c>
      <c r="I91" s="614" t="s">
        <v>907</v>
      </c>
      <c r="J91" s="614" t="s">
        <v>908</v>
      </c>
      <c r="K91" s="614" t="s">
        <v>1296</v>
      </c>
      <c r="L91" s="615">
        <v>30.17</v>
      </c>
      <c r="M91" s="615">
        <v>60.34</v>
      </c>
      <c r="N91" s="614">
        <v>2</v>
      </c>
      <c r="O91" s="697">
        <v>2</v>
      </c>
      <c r="P91" s="615"/>
      <c r="Q91" s="630">
        <v>0</v>
      </c>
      <c r="R91" s="614"/>
      <c r="S91" s="630">
        <v>0</v>
      </c>
      <c r="T91" s="697"/>
      <c r="U91" s="653">
        <v>0</v>
      </c>
    </row>
    <row r="92" spans="1:21" ht="14.4" customHeight="1" x14ac:dyDescent="0.3">
      <c r="A92" s="613">
        <v>25</v>
      </c>
      <c r="B92" s="614" t="s">
        <v>1112</v>
      </c>
      <c r="C92" s="614" t="s">
        <v>1247</v>
      </c>
      <c r="D92" s="695" t="s">
        <v>1783</v>
      </c>
      <c r="E92" s="696" t="s">
        <v>1260</v>
      </c>
      <c r="F92" s="614" t="s">
        <v>1243</v>
      </c>
      <c r="G92" s="614" t="s">
        <v>1292</v>
      </c>
      <c r="H92" s="614" t="s">
        <v>770</v>
      </c>
      <c r="I92" s="614" t="s">
        <v>1307</v>
      </c>
      <c r="J92" s="614" t="s">
        <v>714</v>
      </c>
      <c r="K92" s="614" t="s">
        <v>1308</v>
      </c>
      <c r="L92" s="615">
        <v>24.22</v>
      </c>
      <c r="M92" s="615">
        <v>557.06000000000006</v>
      </c>
      <c r="N92" s="614">
        <v>23</v>
      </c>
      <c r="O92" s="697">
        <v>17.5</v>
      </c>
      <c r="P92" s="615">
        <v>169.54</v>
      </c>
      <c r="Q92" s="630">
        <v>0.30434782608695649</v>
      </c>
      <c r="R92" s="614">
        <v>7</v>
      </c>
      <c r="S92" s="630">
        <v>0.30434782608695654</v>
      </c>
      <c r="T92" s="697">
        <v>4</v>
      </c>
      <c r="U92" s="653">
        <v>0.22857142857142856</v>
      </c>
    </row>
    <row r="93" spans="1:21" ht="14.4" customHeight="1" x14ac:dyDescent="0.3">
      <c r="A93" s="613">
        <v>25</v>
      </c>
      <c r="B93" s="614" t="s">
        <v>1112</v>
      </c>
      <c r="C93" s="614" t="s">
        <v>1247</v>
      </c>
      <c r="D93" s="695" t="s">
        <v>1783</v>
      </c>
      <c r="E93" s="696" t="s">
        <v>1260</v>
      </c>
      <c r="F93" s="614" t="s">
        <v>1243</v>
      </c>
      <c r="G93" s="614" t="s">
        <v>1292</v>
      </c>
      <c r="H93" s="614" t="s">
        <v>325</v>
      </c>
      <c r="I93" s="614" t="s">
        <v>1298</v>
      </c>
      <c r="J93" s="614" t="s">
        <v>714</v>
      </c>
      <c r="K93" s="614" t="s">
        <v>1299</v>
      </c>
      <c r="L93" s="615">
        <v>24.22</v>
      </c>
      <c r="M93" s="615">
        <v>48.44</v>
      </c>
      <c r="N93" s="614">
        <v>2</v>
      </c>
      <c r="O93" s="697">
        <v>0.5</v>
      </c>
      <c r="P93" s="615">
        <v>48.44</v>
      </c>
      <c r="Q93" s="630">
        <v>1</v>
      </c>
      <c r="R93" s="614">
        <v>2</v>
      </c>
      <c r="S93" s="630">
        <v>1</v>
      </c>
      <c r="T93" s="697">
        <v>0.5</v>
      </c>
      <c r="U93" s="653">
        <v>1</v>
      </c>
    </row>
    <row r="94" spans="1:21" ht="14.4" customHeight="1" x14ac:dyDescent="0.3">
      <c r="A94" s="613">
        <v>25</v>
      </c>
      <c r="B94" s="614" t="s">
        <v>1112</v>
      </c>
      <c r="C94" s="614" t="s">
        <v>1247</v>
      </c>
      <c r="D94" s="695" t="s">
        <v>1783</v>
      </c>
      <c r="E94" s="696" t="s">
        <v>1260</v>
      </c>
      <c r="F94" s="614" t="s">
        <v>1243</v>
      </c>
      <c r="G94" s="614" t="s">
        <v>1292</v>
      </c>
      <c r="H94" s="614" t="s">
        <v>770</v>
      </c>
      <c r="I94" s="614" t="s">
        <v>1407</v>
      </c>
      <c r="J94" s="614" t="s">
        <v>714</v>
      </c>
      <c r="K94" s="614" t="s">
        <v>1408</v>
      </c>
      <c r="L94" s="615">
        <v>0</v>
      </c>
      <c r="M94" s="615">
        <v>0</v>
      </c>
      <c r="N94" s="614">
        <v>2</v>
      </c>
      <c r="O94" s="697">
        <v>2</v>
      </c>
      <c r="P94" s="615">
        <v>0</v>
      </c>
      <c r="Q94" s="630"/>
      <c r="R94" s="614">
        <v>1</v>
      </c>
      <c r="S94" s="630">
        <v>0.5</v>
      </c>
      <c r="T94" s="697">
        <v>1</v>
      </c>
      <c r="U94" s="653">
        <v>0.5</v>
      </c>
    </row>
    <row r="95" spans="1:21" ht="14.4" customHeight="1" x14ac:dyDescent="0.3">
      <c r="A95" s="613">
        <v>25</v>
      </c>
      <c r="B95" s="614" t="s">
        <v>1112</v>
      </c>
      <c r="C95" s="614" t="s">
        <v>1247</v>
      </c>
      <c r="D95" s="695" t="s">
        <v>1783</v>
      </c>
      <c r="E95" s="696" t="s">
        <v>1260</v>
      </c>
      <c r="F95" s="614" t="s">
        <v>1243</v>
      </c>
      <c r="G95" s="614" t="s">
        <v>1409</v>
      </c>
      <c r="H95" s="614" t="s">
        <v>770</v>
      </c>
      <c r="I95" s="614" t="s">
        <v>1410</v>
      </c>
      <c r="J95" s="614" t="s">
        <v>1411</v>
      </c>
      <c r="K95" s="614" t="s">
        <v>524</v>
      </c>
      <c r="L95" s="615">
        <v>132</v>
      </c>
      <c r="M95" s="615">
        <v>264</v>
      </c>
      <c r="N95" s="614">
        <v>2</v>
      </c>
      <c r="O95" s="697">
        <v>1</v>
      </c>
      <c r="P95" s="615"/>
      <c r="Q95" s="630">
        <v>0</v>
      </c>
      <c r="R95" s="614"/>
      <c r="S95" s="630">
        <v>0</v>
      </c>
      <c r="T95" s="697"/>
      <c r="U95" s="653">
        <v>0</v>
      </c>
    </row>
    <row r="96" spans="1:21" ht="14.4" customHeight="1" x14ac:dyDescent="0.3">
      <c r="A96" s="613">
        <v>25</v>
      </c>
      <c r="B96" s="614" t="s">
        <v>1112</v>
      </c>
      <c r="C96" s="614" t="s">
        <v>1247</v>
      </c>
      <c r="D96" s="695" t="s">
        <v>1783</v>
      </c>
      <c r="E96" s="696" t="s">
        <v>1260</v>
      </c>
      <c r="F96" s="614" t="s">
        <v>1243</v>
      </c>
      <c r="G96" s="614" t="s">
        <v>1412</v>
      </c>
      <c r="H96" s="614" t="s">
        <v>770</v>
      </c>
      <c r="I96" s="614" t="s">
        <v>1413</v>
      </c>
      <c r="J96" s="614" t="s">
        <v>1414</v>
      </c>
      <c r="K96" s="614" t="s">
        <v>1415</v>
      </c>
      <c r="L96" s="615">
        <v>614.29999999999995</v>
      </c>
      <c r="M96" s="615">
        <v>614.29999999999995</v>
      </c>
      <c r="N96" s="614">
        <v>1</v>
      </c>
      <c r="O96" s="697">
        <v>0.5</v>
      </c>
      <c r="P96" s="615"/>
      <c r="Q96" s="630">
        <v>0</v>
      </c>
      <c r="R96" s="614"/>
      <c r="S96" s="630">
        <v>0</v>
      </c>
      <c r="T96" s="697"/>
      <c r="U96" s="653">
        <v>0</v>
      </c>
    </row>
    <row r="97" spans="1:21" ht="14.4" customHeight="1" x14ac:dyDescent="0.3">
      <c r="A97" s="613">
        <v>25</v>
      </c>
      <c r="B97" s="614" t="s">
        <v>1112</v>
      </c>
      <c r="C97" s="614" t="s">
        <v>1247</v>
      </c>
      <c r="D97" s="695" t="s">
        <v>1783</v>
      </c>
      <c r="E97" s="696" t="s">
        <v>1260</v>
      </c>
      <c r="F97" s="614" t="s">
        <v>1243</v>
      </c>
      <c r="G97" s="614" t="s">
        <v>1416</v>
      </c>
      <c r="H97" s="614" t="s">
        <v>325</v>
      </c>
      <c r="I97" s="614" t="s">
        <v>1417</v>
      </c>
      <c r="J97" s="614" t="s">
        <v>461</v>
      </c>
      <c r="K97" s="614" t="s">
        <v>1418</v>
      </c>
      <c r="L97" s="615">
        <v>0</v>
      </c>
      <c r="M97" s="615">
        <v>0</v>
      </c>
      <c r="N97" s="614">
        <v>1</v>
      </c>
      <c r="O97" s="697">
        <v>1</v>
      </c>
      <c r="P97" s="615">
        <v>0</v>
      </c>
      <c r="Q97" s="630"/>
      <c r="R97" s="614">
        <v>1</v>
      </c>
      <c r="S97" s="630">
        <v>1</v>
      </c>
      <c r="T97" s="697">
        <v>1</v>
      </c>
      <c r="U97" s="653">
        <v>1</v>
      </c>
    </row>
    <row r="98" spans="1:21" ht="14.4" customHeight="1" x14ac:dyDescent="0.3">
      <c r="A98" s="613">
        <v>25</v>
      </c>
      <c r="B98" s="614" t="s">
        <v>1112</v>
      </c>
      <c r="C98" s="614" t="s">
        <v>1247</v>
      </c>
      <c r="D98" s="695" t="s">
        <v>1783</v>
      </c>
      <c r="E98" s="696" t="s">
        <v>1260</v>
      </c>
      <c r="F98" s="614" t="s">
        <v>1243</v>
      </c>
      <c r="G98" s="614" t="s">
        <v>1419</v>
      </c>
      <c r="H98" s="614" t="s">
        <v>325</v>
      </c>
      <c r="I98" s="614" t="s">
        <v>1420</v>
      </c>
      <c r="J98" s="614" t="s">
        <v>1421</v>
      </c>
      <c r="K98" s="614" t="s">
        <v>1422</v>
      </c>
      <c r="L98" s="615">
        <v>316.36</v>
      </c>
      <c r="M98" s="615">
        <v>316.36</v>
      </c>
      <c r="N98" s="614">
        <v>1</v>
      </c>
      <c r="O98" s="697">
        <v>1</v>
      </c>
      <c r="P98" s="615"/>
      <c r="Q98" s="630">
        <v>0</v>
      </c>
      <c r="R98" s="614"/>
      <c r="S98" s="630">
        <v>0</v>
      </c>
      <c r="T98" s="697"/>
      <c r="U98" s="653">
        <v>0</v>
      </c>
    </row>
    <row r="99" spans="1:21" ht="14.4" customHeight="1" x14ac:dyDescent="0.3">
      <c r="A99" s="613">
        <v>25</v>
      </c>
      <c r="B99" s="614" t="s">
        <v>1112</v>
      </c>
      <c r="C99" s="614" t="s">
        <v>1247</v>
      </c>
      <c r="D99" s="695" t="s">
        <v>1783</v>
      </c>
      <c r="E99" s="696" t="s">
        <v>1260</v>
      </c>
      <c r="F99" s="614" t="s">
        <v>1243</v>
      </c>
      <c r="G99" s="614" t="s">
        <v>1423</v>
      </c>
      <c r="H99" s="614" t="s">
        <v>770</v>
      </c>
      <c r="I99" s="614" t="s">
        <v>1424</v>
      </c>
      <c r="J99" s="614" t="s">
        <v>1425</v>
      </c>
      <c r="K99" s="614" t="s">
        <v>1426</v>
      </c>
      <c r="L99" s="615">
        <v>246.39</v>
      </c>
      <c r="M99" s="615">
        <v>1231.9499999999998</v>
      </c>
      <c r="N99" s="614">
        <v>5</v>
      </c>
      <c r="O99" s="697">
        <v>1.5</v>
      </c>
      <c r="P99" s="615"/>
      <c r="Q99" s="630">
        <v>0</v>
      </c>
      <c r="R99" s="614"/>
      <c r="S99" s="630">
        <v>0</v>
      </c>
      <c r="T99" s="697"/>
      <c r="U99" s="653">
        <v>0</v>
      </c>
    </row>
    <row r="100" spans="1:21" ht="14.4" customHeight="1" x14ac:dyDescent="0.3">
      <c r="A100" s="613">
        <v>25</v>
      </c>
      <c r="B100" s="614" t="s">
        <v>1112</v>
      </c>
      <c r="C100" s="614" t="s">
        <v>1247</v>
      </c>
      <c r="D100" s="695" t="s">
        <v>1783</v>
      </c>
      <c r="E100" s="696" t="s">
        <v>1260</v>
      </c>
      <c r="F100" s="614" t="s">
        <v>1243</v>
      </c>
      <c r="G100" s="614" t="s">
        <v>1427</v>
      </c>
      <c r="H100" s="614" t="s">
        <v>325</v>
      </c>
      <c r="I100" s="614" t="s">
        <v>915</v>
      </c>
      <c r="J100" s="614" t="s">
        <v>916</v>
      </c>
      <c r="K100" s="614" t="s">
        <v>1428</v>
      </c>
      <c r="L100" s="615">
        <v>186.27</v>
      </c>
      <c r="M100" s="615">
        <v>186.27</v>
      </c>
      <c r="N100" s="614">
        <v>1</v>
      </c>
      <c r="O100" s="697">
        <v>1</v>
      </c>
      <c r="P100" s="615"/>
      <c r="Q100" s="630">
        <v>0</v>
      </c>
      <c r="R100" s="614"/>
      <c r="S100" s="630">
        <v>0</v>
      </c>
      <c r="T100" s="697"/>
      <c r="U100" s="653">
        <v>0</v>
      </c>
    </row>
    <row r="101" spans="1:21" ht="14.4" customHeight="1" x14ac:dyDescent="0.3">
      <c r="A101" s="613">
        <v>25</v>
      </c>
      <c r="B101" s="614" t="s">
        <v>1112</v>
      </c>
      <c r="C101" s="614" t="s">
        <v>1247</v>
      </c>
      <c r="D101" s="695" t="s">
        <v>1783</v>
      </c>
      <c r="E101" s="696" t="s">
        <v>1260</v>
      </c>
      <c r="F101" s="614" t="s">
        <v>1243</v>
      </c>
      <c r="G101" s="614" t="s">
        <v>1429</v>
      </c>
      <c r="H101" s="614" t="s">
        <v>325</v>
      </c>
      <c r="I101" s="614" t="s">
        <v>1430</v>
      </c>
      <c r="J101" s="614" t="s">
        <v>1431</v>
      </c>
      <c r="K101" s="614" t="s">
        <v>1432</v>
      </c>
      <c r="L101" s="615">
        <v>0</v>
      </c>
      <c r="M101" s="615">
        <v>0</v>
      </c>
      <c r="N101" s="614">
        <v>3</v>
      </c>
      <c r="O101" s="697">
        <v>2</v>
      </c>
      <c r="P101" s="615">
        <v>0</v>
      </c>
      <c r="Q101" s="630"/>
      <c r="R101" s="614">
        <v>1</v>
      </c>
      <c r="S101" s="630">
        <v>0.33333333333333331</v>
      </c>
      <c r="T101" s="697">
        <v>1</v>
      </c>
      <c r="U101" s="653">
        <v>0.5</v>
      </c>
    </row>
    <row r="102" spans="1:21" ht="14.4" customHeight="1" x14ac:dyDescent="0.3">
      <c r="A102" s="613">
        <v>25</v>
      </c>
      <c r="B102" s="614" t="s">
        <v>1112</v>
      </c>
      <c r="C102" s="614" t="s">
        <v>1247</v>
      </c>
      <c r="D102" s="695" t="s">
        <v>1783</v>
      </c>
      <c r="E102" s="696" t="s">
        <v>1260</v>
      </c>
      <c r="F102" s="614" t="s">
        <v>1243</v>
      </c>
      <c r="G102" s="614" t="s">
        <v>1429</v>
      </c>
      <c r="H102" s="614" t="s">
        <v>325</v>
      </c>
      <c r="I102" s="614" t="s">
        <v>1433</v>
      </c>
      <c r="J102" s="614" t="s">
        <v>1431</v>
      </c>
      <c r="K102" s="614" t="s">
        <v>1434</v>
      </c>
      <c r="L102" s="615">
        <v>0</v>
      </c>
      <c r="M102" s="615">
        <v>0</v>
      </c>
      <c r="N102" s="614">
        <v>2</v>
      </c>
      <c r="O102" s="697">
        <v>1</v>
      </c>
      <c r="P102" s="615"/>
      <c r="Q102" s="630"/>
      <c r="R102" s="614"/>
      <c r="S102" s="630">
        <v>0</v>
      </c>
      <c r="T102" s="697"/>
      <c r="U102" s="653">
        <v>0</v>
      </c>
    </row>
    <row r="103" spans="1:21" ht="14.4" customHeight="1" x14ac:dyDescent="0.3">
      <c r="A103" s="613">
        <v>25</v>
      </c>
      <c r="B103" s="614" t="s">
        <v>1112</v>
      </c>
      <c r="C103" s="614" t="s">
        <v>1247</v>
      </c>
      <c r="D103" s="695" t="s">
        <v>1783</v>
      </c>
      <c r="E103" s="696" t="s">
        <v>1260</v>
      </c>
      <c r="F103" s="614" t="s">
        <v>1244</v>
      </c>
      <c r="G103" s="614" t="s">
        <v>1344</v>
      </c>
      <c r="H103" s="614" t="s">
        <v>325</v>
      </c>
      <c r="I103" s="614" t="s">
        <v>1435</v>
      </c>
      <c r="J103" s="614" t="s">
        <v>1346</v>
      </c>
      <c r="K103" s="614"/>
      <c r="L103" s="615">
        <v>0</v>
      </c>
      <c r="M103" s="615">
        <v>0</v>
      </c>
      <c r="N103" s="614">
        <v>3</v>
      </c>
      <c r="O103" s="697">
        <v>3</v>
      </c>
      <c r="P103" s="615">
        <v>0</v>
      </c>
      <c r="Q103" s="630"/>
      <c r="R103" s="614">
        <v>1</v>
      </c>
      <c r="S103" s="630">
        <v>0.33333333333333331</v>
      </c>
      <c r="T103" s="697">
        <v>1</v>
      </c>
      <c r="U103" s="653">
        <v>0.33333333333333331</v>
      </c>
    </row>
    <row r="104" spans="1:21" ht="14.4" customHeight="1" x14ac:dyDescent="0.3">
      <c r="A104" s="613">
        <v>25</v>
      </c>
      <c r="B104" s="614" t="s">
        <v>1112</v>
      </c>
      <c r="C104" s="614" t="s">
        <v>1247</v>
      </c>
      <c r="D104" s="695" t="s">
        <v>1783</v>
      </c>
      <c r="E104" s="696" t="s">
        <v>1262</v>
      </c>
      <c r="F104" s="614" t="s">
        <v>1243</v>
      </c>
      <c r="G104" s="614" t="s">
        <v>1287</v>
      </c>
      <c r="H104" s="614" t="s">
        <v>770</v>
      </c>
      <c r="I104" s="614" t="s">
        <v>956</v>
      </c>
      <c r="J104" s="614" t="s">
        <v>864</v>
      </c>
      <c r="K104" s="614" t="s">
        <v>1196</v>
      </c>
      <c r="L104" s="615">
        <v>150.04</v>
      </c>
      <c r="M104" s="615">
        <v>150.04</v>
      </c>
      <c r="N104" s="614">
        <v>1</v>
      </c>
      <c r="O104" s="697">
        <v>1</v>
      </c>
      <c r="P104" s="615">
        <v>150.04</v>
      </c>
      <c r="Q104" s="630">
        <v>1</v>
      </c>
      <c r="R104" s="614">
        <v>1</v>
      </c>
      <c r="S104" s="630">
        <v>1</v>
      </c>
      <c r="T104" s="697">
        <v>1</v>
      </c>
      <c r="U104" s="653">
        <v>1</v>
      </c>
    </row>
    <row r="105" spans="1:21" ht="14.4" customHeight="1" x14ac:dyDescent="0.3">
      <c r="A105" s="613">
        <v>25</v>
      </c>
      <c r="B105" s="614" t="s">
        <v>1112</v>
      </c>
      <c r="C105" s="614" t="s">
        <v>1247</v>
      </c>
      <c r="D105" s="695" t="s">
        <v>1783</v>
      </c>
      <c r="E105" s="696" t="s">
        <v>1262</v>
      </c>
      <c r="F105" s="614" t="s">
        <v>1243</v>
      </c>
      <c r="G105" s="614" t="s">
        <v>1287</v>
      </c>
      <c r="H105" s="614" t="s">
        <v>770</v>
      </c>
      <c r="I105" s="614" t="s">
        <v>956</v>
      </c>
      <c r="J105" s="614" t="s">
        <v>864</v>
      </c>
      <c r="K105" s="614" t="s">
        <v>1196</v>
      </c>
      <c r="L105" s="615">
        <v>154.36000000000001</v>
      </c>
      <c r="M105" s="615">
        <v>2006.68</v>
      </c>
      <c r="N105" s="614">
        <v>13</v>
      </c>
      <c r="O105" s="697">
        <v>12.5</v>
      </c>
      <c r="P105" s="615">
        <v>1080.52</v>
      </c>
      <c r="Q105" s="630">
        <v>0.53846153846153844</v>
      </c>
      <c r="R105" s="614">
        <v>7</v>
      </c>
      <c r="S105" s="630">
        <v>0.53846153846153844</v>
      </c>
      <c r="T105" s="697">
        <v>6.5</v>
      </c>
      <c r="U105" s="653">
        <v>0.52</v>
      </c>
    </row>
    <row r="106" spans="1:21" ht="14.4" customHeight="1" x14ac:dyDescent="0.3">
      <c r="A106" s="613">
        <v>25</v>
      </c>
      <c r="B106" s="614" t="s">
        <v>1112</v>
      </c>
      <c r="C106" s="614" t="s">
        <v>1247</v>
      </c>
      <c r="D106" s="695" t="s">
        <v>1783</v>
      </c>
      <c r="E106" s="696" t="s">
        <v>1262</v>
      </c>
      <c r="F106" s="614" t="s">
        <v>1243</v>
      </c>
      <c r="G106" s="614" t="s">
        <v>1287</v>
      </c>
      <c r="H106" s="614" t="s">
        <v>770</v>
      </c>
      <c r="I106" s="614" t="s">
        <v>1067</v>
      </c>
      <c r="J106" s="614" t="s">
        <v>1234</v>
      </c>
      <c r="K106" s="614" t="s">
        <v>1195</v>
      </c>
      <c r="L106" s="615">
        <v>149.52000000000001</v>
      </c>
      <c r="M106" s="615">
        <v>149.52000000000001</v>
      </c>
      <c r="N106" s="614">
        <v>1</v>
      </c>
      <c r="O106" s="697">
        <v>1</v>
      </c>
      <c r="P106" s="615"/>
      <c r="Q106" s="630">
        <v>0</v>
      </c>
      <c r="R106" s="614"/>
      <c r="S106" s="630">
        <v>0</v>
      </c>
      <c r="T106" s="697"/>
      <c r="U106" s="653">
        <v>0</v>
      </c>
    </row>
    <row r="107" spans="1:21" ht="14.4" customHeight="1" x14ac:dyDescent="0.3">
      <c r="A107" s="613">
        <v>25</v>
      </c>
      <c r="B107" s="614" t="s">
        <v>1112</v>
      </c>
      <c r="C107" s="614" t="s">
        <v>1247</v>
      </c>
      <c r="D107" s="695" t="s">
        <v>1783</v>
      </c>
      <c r="E107" s="696" t="s">
        <v>1262</v>
      </c>
      <c r="F107" s="614" t="s">
        <v>1243</v>
      </c>
      <c r="G107" s="614" t="s">
        <v>1287</v>
      </c>
      <c r="H107" s="614" t="s">
        <v>770</v>
      </c>
      <c r="I107" s="614" t="s">
        <v>1436</v>
      </c>
      <c r="J107" s="614" t="s">
        <v>1437</v>
      </c>
      <c r="K107" s="614" t="s">
        <v>1438</v>
      </c>
      <c r="L107" s="615">
        <v>80.28</v>
      </c>
      <c r="M107" s="615">
        <v>80.28</v>
      </c>
      <c r="N107" s="614">
        <v>1</v>
      </c>
      <c r="O107" s="697">
        <v>1</v>
      </c>
      <c r="P107" s="615"/>
      <c r="Q107" s="630">
        <v>0</v>
      </c>
      <c r="R107" s="614"/>
      <c r="S107" s="630">
        <v>0</v>
      </c>
      <c r="T107" s="697"/>
      <c r="U107" s="653">
        <v>0</v>
      </c>
    </row>
    <row r="108" spans="1:21" ht="14.4" customHeight="1" x14ac:dyDescent="0.3">
      <c r="A108" s="613">
        <v>25</v>
      </c>
      <c r="B108" s="614" t="s">
        <v>1112</v>
      </c>
      <c r="C108" s="614" t="s">
        <v>1247</v>
      </c>
      <c r="D108" s="695" t="s">
        <v>1783</v>
      </c>
      <c r="E108" s="696" t="s">
        <v>1262</v>
      </c>
      <c r="F108" s="614" t="s">
        <v>1243</v>
      </c>
      <c r="G108" s="614" t="s">
        <v>1289</v>
      </c>
      <c r="H108" s="614" t="s">
        <v>325</v>
      </c>
      <c r="I108" s="614" t="s">
        <v>919</v>
      </c>
      <c r="J108" s="614" t="s">
        <v>920</v>
      </c>
      <c r="K108" s="614" t="s">
        <v>1209</v>
      </c>
      <c r="L108" s="615">
        <v>170.52</v>
      </c>
      <c r="M108" s="615">
        <v>170.52</v>
      </c>
      <c r="N108" s="614">
        <v>1</v>
      </c>
      <c r="O108" s="697">
        <v>1</v>
      </c>
      <c r="P108" s="615"/>
      <c r="Q108" s="630">
        <v>0</v>
      </c>
      <c r="R108" s="614"/>
      <c r="S108" s="630">
        <v>0</v>
      </c>
      <c r="T108" s="697"/>
      <c r="U108" s="653">
        <v>0</v>
      </c>
    </row>
    <row r="109" spans="1:21" ht="14.4" customHeight="1" x14ac:dyDescent="0.3">
      <c r="A109" s="613">
        <v>25</v>
      </c>
      <c r="B109" s="614" t="s">
        <v>1112</v>
      </c>
      <c r="C109" s="614" t="s">
        <v>1247</v>
      </c>
      <c r="D109" s="695" t="s">
        <v>1783</v>
      </c>
      <c r="E109" s="696" t="s">
        <v>1262</v>
      </c>
      <c r="F109" s="614" t="s">
        <v>1243</v>
      </c>
      <c r="G109" s="614" t="s">
        <v>1289</v>
      </c>
      <c r="H109" s="614" t="s">
        <v>325</v>
      </c>
      <c r="I109" s="614" t="s">
        <v>1337</v>
      </c>
      <c r="J109" s="614" t="s">
        <v>920</v>
      </c>
      <c r="K109" s="614" t="s">
        <v>1338</v>
      </c>
      <c r="L109" s="615">
        <v>0</v>
      </c>
      <c r="M109" s="615">
        <v>0</v>
      </c>
      <c r="N109" s="614">
        <v>2</v>
      </c>
      <c r="O109" s="697">
        <v>1</v>
      </c>
      <c r="P109" s="615">
        <v>0</v>
      </c>
      <c r="Q109" s="630"/>
      <c r="R109" s="614">
        <v>2</v>
      </c>
      <c r="S109" s="630">
        <v>1</v>
      </c>
      <c r="T109" s="697">
        <v>1</v>
      </c>
      <c r="U109" s="653">
        <v>1</v>
      </c>
    </row>
    <row r="110" spans="1:21" ht="14.4" customHeight="1" x14ac:dyDescent="0.3">
      <c r="A110" s="613">
        <v>25</v>
      </c>
      <c r="B110" s="614" t="s">
        <v>1112</v>
      </c>
      <c r="C110" s="614" t="s">
        <v>1247</v>
      </c>
      <c r="D110" s="695" t="s">
        <v>1783</v>
      </c>
      <c r="E110" s="696" t="s">
        <v>1262</v>
      </c>
      <c r="F110" s="614" t="s">
        <v>1243</v>
      </c>
      <c r="G110" s="614" t="s">
        <v>1358</v>
      </c>
      <c r="H110" s="614" t="s">
        <v>325</v>
      </c>
      <c r="I110" s="614" t="s">
        <v>923</v>
      </c>
      <c r="J110" s="614" t="s">
        <v>924</v>
      </c>
      <c r="K110" s="614" t="s">
        <v>1209</v>
      </c>
      <c r="L110" s="615">
        <v>78.33</v>
      </c>
      <c r="M110" s="615">
        <v>626.64</v>
      </c>
      <c r="N110" s="614">
        <v>8</v>
      </c>
      <c r="O110" s="697">
        <v>4</v>
      </c>
      <c r="P110" s="615">
        <v>469.98</v>
      </c>
      <c r="Q110" s="630">
        <v>0.75</v>
      </c>
      <c r="R110" s="614">
        <v>6</v>
      </c>
      <c r="S110" s="630">
        <v>0.75</v>
      </c>
      <c r="T110" s="697">
        <v>3</v>
      </c>
      <c r="U110" s="653">
        <v>0.75</v>
      </c>
    </row>
    <row r="111" spans="1:21" ht="14.4" customHeight="1" x14ac:dyDescent="0.3">
      <c r="A111" s="613">
        <v>25</v>
      </c>
      <c r="B111" s="614" t="s">
        <v>1112</v>
      </c>
      <c r="C111" s="614" t="s">
        <v>1247</v>
      </c>
      <c r="D111" s="695" t="s">
        <v>1783</v>
      </c>
      <c r="E111" s="696" t="s">
        <v>1262</v>
      </c>
      <c r="F111" s="614" t="s">
        <v>1243</v>
      </c>
      <c r="G111" s="614" t="s">
        <v>1362</v>
      </c>
      <c r="H111" s="614" t="s">
        <v>325</v>
      </c>
      <c r="I111" s="614" t="s">
        <v>1439</v>
      </c>
      <c r="J111" s="614" t="s">
        <v>1440</v>
      </c>
      <c r="K111" s="614" t="s">
        <v>1441</v>
      </c>
      <c r="L111" s="615">
        <v>189.43</v>
      </c>
      <c r="M111" s="615">
        <v>189.43</v>
      </c>
      <c r="N111" s="614">
        <v>1</v>
      </c>
      <c r="O111" s="697">
        <v>1</v>
      </c>
      <c r="P111" s="615">
        <v>189.43</v>
      </c>
      <c r="Q111" s="630">
        <v>1</v>
      </c>
      <c r="R111" s="614">
        <v>1</v>
      </c>
      <c r="S111" s="630">
        <v>1</v>
      </c>
      <c r="T111" s="697">
        <v>1</v>
      </c>
      <c r="U111" s="653">
        <v>1</v>
      </c>
    </row>
    <row r="112" spans="1:21" ht="14.4" customHeight="1" x14ac:dyDescent="0.3">
      <c r="A112" s="613">
        <v>25</v>
      </c>
      <c r="B112" s="614" t="s">
        <v>1112</v>
      </c>
      <c r="C112" s="614" t="s">
        <v>1247</v>
      </c>
      <c r="D112" s="695" t="s">
        <v>1783</v>
      </c>
      <c r="E112" s="696" t="s">
        <v>1262</v>
      </c>
      <c r="F112" s="614" t="s">
        <v>1243</v>
      </c>
      <c r="G112" s="614" t="s">
        <v>1442</v>
      </c>
      <c r="H112" s="614" t="s">
        <v>325</v>
      </c>
      <c r="I112" s="614" t="s">
        <v>1443</v>
      </c>
      <c r="J112" s="614" t="s">
        <v>1444</v>
      </c>
      <c r="K112" s="614" t="s">
        <v>1445</v>
      </c>
      <c r="L112" s="615">
        <v>79.48</v>
      </c>
      <c r="M112" s="615">
        <v>79.48</v>
      </c>
      <c r="N112" s="614">
        <v>1</v>
      </c>
      <c r="O112" s="697">
        <v>1</v>
      </c>
      <c r="P112" s="615"/>
      <c r="Q112" s="630">
        <v>0</v>
      </c>
      <c r="R112" s="614"/>
      <c r="S112" s="630">
        <v>0</v>
      </c>
      <c r="T112" s="697"/>
      <c r="U112" s="653">
        <v>0</v>
      </c>
    </row>
    <row r="113" spans="1:21" ht="14.4" customHeight="1" x14ac:dyDescent="0.3">
      <c r="A113" s="613">
        <v>25</v>
      </c>
      <c r="B113" s="614" t="s">
        <v>1112</v>
      </c>
      <c r="C113" s="614" t="s">
        <v>1247</v>
      </c>
      <c r="D113" s="695" t="s">
        <v>1783</v>
      </c>
      <c r="E113" s="696" t="s">
        <v>1262</v>
      </c>
      <c r="F113" s="614" t="s">
        <v>1243</v>
      </c>
      <c r="G113" s="614" t="s">
        <v>1446</v>
      </c>
      <c r="H113" s="614" t="s">
        <v>325</v>
      </c>
      <c r="I113" s="614" t="s">
        <v>1447</v>
      </c>
      <c r="J113" s="614" t="s">
        <v>1448</v>
      </c>
      <c r="K113" s="614" t="s">
        <v>1449</v>
      </c>
      <c r="L113" s="615">
        <v>71.930000000000007</v>
      </c>
      <c r="M113" s="615">
        <v>71.930000000000007</v>
      </c>
      <c r="N113" s="614">
        <v>1</v>
      </c>
      <c r="O113" s="697">
        <v>1</v>
      </c>
      <c r="P113" s="615"/>
      <c r="Q113" s="630">
        <v>0</v>
      </c>
      <c r="R113" s="614"/>
      <c r="S113" s="630">
        <v>0</v>
      </c>
      <c r="T113" s="697"/>
      <c r="U113" s="653">
        <v>0</v>
      </c>
    </row>
    <row r="114" spans="1:21" ht="14.4" customHeight="1" x14ac:dyDescent="0.3">
      <c r="A114" s="613">
        <v>25</v>
      </c>
      <c r="B114" s="614" t="s">
        <v>1112</v>
      </c>
      <c r="C114" s="614" t="s">
        <v>1247</v>
      </c>
      <c r="D114" s="695" t="s">
        <v>1783</v>
      </c>
      <c r="E114" s="696" t="s">
        <v>1262</v>
      </c>
      <c r="F114" s="614" t="s">
        <v>1243</v>
      </c>
      <c r="G114" s="614" t="s">
        <v>1314</v>
      </c>
      <c r="H114" s="614" t="s">
        <v>325</v>
      </c>
      <c r="I114" s="614" t="s">
        <v>1339</v>
      </c>
      <c r="J114" s="614" t="s">
        <v>1316</v>
      </c>
      <c r="K114" s="614" t="s">
        <v>1340</v>
      </c>
      <c r="L114" s="615">
        <v>0</v>
      </c>
      <c r="M114" s="615">
        <v>0</v>
      </c>
      <c r="N114" s="614">
        <v>1</v>
      </c>
      <c r="O114" s="697">
        <v>0.5</v>
      </c>
      <c r="P114" s="615">
        <v>0</v>
      </c>
      <c r="Q114" s="630"/>
      <c r="R114" s="614">
        <v>1</v>
      </c>
      <c r="S114" s="630">
        <v>1</v>
      </c>
      <c r="T114" s="697">
        <v>0.5</v>
      </c>
      <c r="U114" s="653">
        <v>1</v>
      </c>
    </row>
    <row r="115" spans="1:21" ht="14.4" customHeight="1" x14ac:dyDescent="0.3">
      <c r="A115" s="613">
        <v>25</v>
      </c>
      <c r="B115" s="614" t="s">
        <v>1112</v>
      </c>
      <c r="C115" s="614" t="s">
        <v>1247</v>
      </c>
      <c r="D115" s="695" t="s">
        <v>1783</v>
      </c>
      <c r="E115" s="696" t="s">
        <v>1262</v>
      </c>
      <c r="F115" s="614" t="s">
        <v>1243</v>
      </c>
      <c r="G115" s="614" t="s">
        <v>1314</v>
      </c>
      <c r="H115" s="614" t="s">
        <v>325</v>
      </c>
      <c r="I115" s="614" t="s">
        <v>1315</v>
      </c>
      <c r="J115" s="614" t="s">
        <v>1316</v>
      </c>
      <c r="K115" s="614" t="s">
        <v>1317</v>
      </c>
      <c r="L115" s="615">
        <v>0</v>
      </c>
      <c r="M115" s="615">
        <v>0</v>
      </c>
      <c r="N115" s="614">
        <v>4</v>
      </c>
      <c r="O115" s="697">
        <v>4</v>
      </c>
      <c r="P115" s="615">
        <v>0</v>
      </c>
      <c r="Q115" s="630"/>
      <c r="R115" s="614">
        <v>1</v>
      </c>
      <c r="S115" s="630">
        <v>0.25</v>
      </c>
      <c r="T115" s="697">
        <v>1</v>
      </c>
      <c r="U115" s="653">
        <v>0.25</v>
      </c>
    </row>
    <row r="116" spans="1:21" ht="14.4" customHeight="1" x14ac:dyDescent="0.3">
      <c r="A116" s="613">
        <v>25</v>
      </c>
      <c r="B116" s="614" t="s">
        <v>1112</v>
      </c>
      <c r="C116" s="614" t="s">
        <v>1247</v>
      </c>
      <c r="D116" s="695" t="s">
        <v>1783</v>
      </c>
      <c r="E116" s="696" t="s">
        <v>1262</v>
      </c>
      <c r="F116" s="614" t="s">
        <v>1243</v>
      </c>
      <c r="G116" s="614" t="s">
        <v>1314</v>
      </c>
      <c r="H116" s="614" t="s">
        <v>325</v>
      </c>
      <c r="I116" s="614" t="s">
        <v>1370</v>
      </c>
      <c r="J116" s="614" t="s">
        <v>1316</v>
      </c>
      <c r="K116" s="614" t="s">
        <v>1371</v>
      </c>
      <c r="L116" s="615">
        <v>120.89</v>
      </c>
      <c r="M116" s="615">
        <v>120.89</v>
      </c>
      <c r="N116" s="614">
        <v>1</v>
      </c>
      <c r="O116" s="697">
        <v>1</v>
      </c>
      <c r="P116" s="615">
        <v>120.89</v>
      </c>
      <c r="Q116" s="630">
        <v>1</v>
      </c>
      <c r="R116" s="614">
        <v>1</v>
      </c>
      <c r="S116" s="630">
        <v>1</v>
      </c>
      <c r="T116" s="697">
        <v>1</v>
      </c>
      <c r="U116" s="653">
        <v>1</v>
      </c>
    </row>
    <row r="117" spans="1:21" ht="14.4" customHeight="1" x14ac:dyDescent="0.3">
      <c r="A117" s="613">
        <v>25</v>
      </c>
      <c r="B117" s="614" t="s">
        <v>1112</v>
      </c>
      <c r="C117" s="614" t="s">
        <v>1247</v>
      </c>
      <c r="D117" s="695" t="s">
        <v>1783</v>
      </c>
      <c r="E117" s="696" t="s">
        <v>1262</v>
      </c>
      <c r="F117" s="614" t="s">
        <v>1243</v>
      </c>
      <c r="G117" s="614" t="s">
        <v>1450</v>
      </c>
      <c r="H117" s="614" t="s">
        <v>325</v>
      </c>
      <c r="I117" s="614" t="s">
        <v>1451</v>
      </c>
      <c r="J117" s="614" t="s">
        <v>1452</v>
      </c>
      <c r="K117" s="614" t="s">
        <v>1453</v>
      </c>
      <c r="L117" s="615">
        <v>268.57</v>
      </c>
      <c r="M117" s="615">
        <v>268.57</v>
      </c>
      <c r="N117" s="614">
        <v>1</v>
      </c>
      <c r="O117" s="697">
        <v>1</v>
      </c>
      <c r="P117" s="615"/>
      <c r="Q117" s="630">
        <v>0</v>
      </c>
      <c r="R117" s="614"/>
      <c r="S117" s="630">
        <v>0</v>
      </c>
      <c r="T117" s="697"/>
      <c r="U117" s="653">
        <v>0</v>
      </c>
    </row>
    <row r="118" spans="1:21" ht="14.4" customHeight="1" x14ac:dyDescent="0.3">
      <c r="A118" s="613">
        <v>25</v>
      </c>
      <c r="B118" s="614" t="s">
        <v>1112</v>
      </c>
      <c r="C118" s="614" t="s">
        <v>1247</v>
      </c>
      <c r="D118" s="695" t="s">
        <v>1783</v>
      </c>
      <c r="E118" s="696" t="s">
        <v>1262</v>
      </c>
      <c r="F118" s="614" t="s">
        <v>1243</v>
      </c>
      <c r="G118" s="614" t="s">
        <v>1454</v>
      </c>
      <c r="H118" s="614" t="s">
        <v>325</v>
      </c>
      <c r="I118" s="614" t="s">
        <v>1455</v>
      </c>
      <c r="J118" s="614" t="s">
        <v>1456</v>
      </c>
      <c r="K118" s="614" t="s">
        <v>1457</v>
      </c>
      <c r="L118" s="615">
        <v>0</v>
      </c>
      <c r="M118" s="615">
        <v>0</v>
      </c>
      <c r="N118" s="614">
        <v>1</v>
      </c>
      <c r="O118" s="697">
        <v>1</v>
      </c>
      <c r="P118" s="615"/>
      <c r="Q118" s="630"/>
      <c r="R118" s="614"/>
      <c r="S118" s="630">
        <v>0</v>
      </c>
      <c r="T118" s="697"/>
      <c r="U118" s="653">
        <v>0</v>
      </c>
    </row>
    <row r="119" spans="1:21" ht="14.4" customHeight="1" x14ac:dyDescent="0.3">
      <c r="A119" s="613">
        <v>25</v>
      </c>
      <c r="B119" s="614" t="s">
        <v>1112</v>
      </c>
      <c r="C119" s="614" t="s">
        <v>1247</v>
      </c>
      <c r="D119" s="695" t="s">
        <v>1783</v>
      </c>
      <c r="E119" s="696" t="s">
        <v>1262</v>
      </c>
      <c r="F119" s="614" t="s">
        <v>1243</v>
      </c>
      <c r="G119" s="614" t="s">
        <v>1374</v>
      </c>
      <c r="H119" s="614" t="s">
        <v>325</v>
      </c>
      <c r="I119" s="614" t="s">
        <v>1458</v>
      </c>
      <c r="J119" s="614" t="s">
        <v>1459</v>
      </c>
      <c r="K119" s="614" t="s">
        <v>1460</v>
      </c>
      <c r="L119" s="615">
        <v>76.22</v>
      </c>
      <c r="M119" s="615">
        <v>152.44</v>
      </c>
      <c r="N119" s="614">
        <v>2</v>
      </c>
      <c r="O119" s="697">
        <v>1.5</v>
      </c>
      <c r="P119" s="615">
        <v>152.44</v>
      </c>
      <c r="Q119" s="630">
        <v>1</v>
      </c>
      <c r="R119" s="614">
        <v>2</v>
      </c>
      <c r="S119" s="630">
        <v>1</v>
      </c>
      <c r="T119" s="697">
        <v>1.5</v>
      </c>
      <c r="U119" s="653">
        <v>1</v>
      </c>
    </row>
    <row r="120" spans="1:21" ht="14.4" customHeight="1" x14ac:dyDescent="0.3">
      <c r="A120" s="613">
        <v>25</v>
      </c>
      <c r="B120" s="614" t="s">
        <v>1112</v>
      </c>
      <c r="C120" s="614" t="s">
        <v>1247</v>
      </c>
      <c r="D120" s="695" t="s">
        <v>1783</v>
      </c>
      <c r="E120" s="696" t="s">
        <v>1262</v>
      </c>
      <c r="F120" s="614" t="s">
        <v>1243</v>
      </c>
      <c r="G120" s="614" t="s">
        <v>1291</v>
      </c>
      <c r="H120" s="614" t="s">
        <v>325</v>
      </c>
      <c r="I120" s="614" t="s">
        <v>930</v>
      </c>
      <c r="J120" s="614" t="s">
        <v>931</v>
      </c>
      <c r="K120" s="614" t="s">
        <v>932</v>
      </c>
      <c r="L120" s="615">
        <v>147.31</v>
      </c>
      <c r="M120" s="615">
        <v>1031.17</v>
      </c>
      <c r="N120" s="614">
        <v>7</v>
      </c>
      <c r="O120" s="697">
        <v>5</v>
      </c>
      <c r="P120" s="615">
        <v>589.24</v>
      </c>
      <c r="Q120" s="630">
        <v>0.5714285714285714</v>
      </c>
      <c r="R120" s="614">
        <v>4</v>
      </c>
      <c r="S120" s="630">
        <v>0.5714285714285714</v>
      </c>
      <c r="T120" s="697">
        <v>3</v>
      </c>
      <c r="U120" s="653">
        <v>0.6</v>
      </c>
    </row>
    <row r="121" spans="1:21" ht="14.4" customHeight="1" x14ac:dyDescent="0.3">
      <c r="A121" s="613">
        <v>25</v>
      </c>
      <c r="B121" s="614" t="s">
        <v>1112</v>
      </c>
      <c r="C121" s="614" t="s">
        <v>1247</v>
      </c>
      <c r="D121" s="695" t="s">
        <v>1783</v>
      </c>
      <c r="E121" s="696" t="s">
        <v>1262</v>
      </c>
      <c r="F121" s="614" t="s">
        <v>1243</v>
      </c>
      <c r="G121" s="614" t="s">
        <v>1291</v>
      </c>
      <c r="H121" s="614" t="s">
        <v>325</v>
      </c>
      <c r="I121" s="614" t="s">
        <v>1320</v>
      </c>
      <c r="J121" s="614" t="s">
        <v>931</v>
      </c>
      <c r="K121" s="614" t="s">
        <v>932</v>
      </c>
      <c r="L121" s="615">
        <v>147.31</v>
      </c>
      <c r="M121" s="615">
        <v>147.31</v>
      </c>
      <c r="N121" s="614">
        <v>1</v>
      </c>
      <c r="O121" s="697">
        <v>1</v>
      </c>
      <c r="P121" s="615">
        <v>147.31</v>
      </c>
      <c r="Q121" s="630">
        <v>1</v>
      </c>
      <c r="R121" s="614">
        <v>1</v>
      </c>
      <c r="S121" s="630">
        <v>1</v>
      </c>
      <c r="T121" s="697">
        <v>1</v>
      </c>
      <c r="U121" s="653">
        <v>1</v>
      </c>
    </row>
    <row r="122" spans="1:21" ht="14.4" customHeight="1" x14ac:dyDescent="0.3">
      <c r="A122" s="613">
        <v>25</v>
      </c>
      <c r="B122" s="614" t="s">
        <v>1112</v>
      </c>
      <c r="C122" s="614" t="s">
        <v>1247</v>
      </c>
      <c r="D122" s="695" t="s">
        <v>1783</v>
      </c>
      <c r="E122" s="696" t="s">
        <v>1262</v>
      </c>
      <c r="F122" s="614" t="s">
        <v>1243</v>
      </c>
      <c r="G122" s="614" t="s">
        <v>1389</v>
      </c>
      <c r="H122" s="614" t="s">
        <v>325</v>
      </c>
      <c r="I122" s="614" t="s">
        <v>1390</v>
      </c>
      <c r="J122" s="614" t="s">
        <v>1391</v>
      </c>
      <c r="K122" s="614" t="s">
        <v>1392</v>
      </c>
      <c r="L122" s="615">
        <v>49.37</v>
      </c>
      <c r="M122" s="615">
        <v>49.37</v>
      </c>
      <c r="N122" s="614">
        <v>1</v>
      </c>
      <c r="O122" s="697">
        <v>1</v>
      </c>
      <c r="P122" s="615">
        <v>49.37</v>
      </c>
      <c r="Q122" s="630">
        <v>1</v>
      </c>
      <c r="R122" s="614">
        <v>1</v>
      </c>
      <c r="S122" s="630">
        <v>1</v>
      </c>
      <c r="T122" s="697">
        <v>1</v>
      </c>
      <c r="U122" s="653">
        <v>1</v>
      </c>
    </row>
    <row r="123" spans="1:21" ht="14.4" customHeight="1" x14ac:dyDescent="0.3">
      <c r="A123" s="613">
        <v>25</v>
      </c>
      <c r="B123" s="614" t="s">
        <v>1112</v>
      </c>
      <c r="C123" s="614" t="s">
        <v>1247</v>
      </c>
      <c r="D123" s="695" t="s">
        <v>1783</v>
      </c>
      <c r="E123" s="696" t="s">
        <v>1262</v>
      </c>
      <c r="F123" s="614" t="s">
        <v>1243</v>
      </c>
      <c r="G123" s="614" t="s">
        <v>1395</v>
      </c>
      <c r="H123" s="614" t="s">
        <v>325</v>
      </c>
      <c r="I123" s="614" t="s">
        <v>1461</v>
      </c>
      <c r="J123" s="614" t="s">
        <v>1397</v>
      </c>
      <c r="K123" s="614" t="s">
        <v>1398</v>
      </c>
      <c r="L123" s="615">
        <v>816.97</v>
      </c>
      <c r="M123" s="615">
        <v>816.97</v>
      </c>
      <c r="N123" s="614">
        <v>1</v>
      </c>
      <c r="O123" s="697">
        <v>1</v>
      </c>
      <c r="P123" s="615"/>
      <c r="Q123" s="630">
        <v>0</v>
      </c>
      <c r="R123" s="614"/>
      <c r="S123" s="630">
        <v>0</v>
      </c>
      <c r="T123" s="697"/>
      <c r="U123" s="653">
        <v>0</v>
      </c>
    </row>
    <row r="124" spans="1:21" ht="14.4" customHeight="1" x14ac:dyDescent="0.3">
      <c r="A124" s="613">
        <v>25</v>
      </c>
      <c r="B124" s="614" t="s">
        <v>1112</v>
      </c>
      <c r="C124" s="614" t="s">
        <v>1247</v>
      </c>
      <c r="D124" s="695" t="s">
        <v>1783</v>
      </c>
      <c r="E124" s="696" t="s">
        <v>1262</v>
      </c>
      <c r="F124" s="614" t="s">
        <v>1243</v>
      </c>
      <c r="G124" s="614" t="s">
        <v>1403</v>
      </c>
      <c r="H124" s="614" t="s">
        <v>325</v>
      </c>
      <c r="I124" s="614" t="s">
        <v>1404</v>
      </c>
      <c r="J124" s="614" t="s">
        <v>1405</v>
      </c>
      <c r="K124" s="614" t="s">
        <v>1406</v>
      </c>
      <c r="L124" s="615">
        <v>61.34</v>
      </c>
      <c r="M124" s="615">
        <v>245.36</v>
      </c>
      <c r="N124" s="614">
        <v>4</v>
      </c>
      <c r="O124" s="697">
        <v>2</v>
      </c>
      <c r="P124" s="615">
        <v>122.68</v>
      </c>
      <c r="Q124" s="630">
        <v>0.5</v>
      </c>
      <c r="R124" s="614">
        <v>2</v>
      </c>
      <c r="S124" s="630">
        <v>0.5</v>
      </c>
      <c r="T124" s="697">
        <v>1</v>
      </c>
      <c r="U124" s="653">
        <v>0.5</v>
      </c>
    </row>
    <row r="125" spans="1:21" ht="14.4" customHeight="1" x14ac:dyDescent="0.3">
      <c r="A125" s="613">
        <v>25</v>
      </c>
      <c r="B125" s="614" t="s">
        <v>1112</v>
      </c>
      <c r="C125" s="614" t="s">
        <v>1247</v>
      </c>
      <c r="D125" s="695" t="s">
        <v>1783</v>
      </c>
      <c r="E125" s="696" t="s">
        <v>1262</v>
      </c>
      <c r="F125" s="614" t="s">
        <v>1243</v>
      </c>
      <c r="G125" s="614" t="s">
        <v>1403</v>
      </c>
      <c r="H125" s="614" t="s">
        <v>325</v>
      </c>
      <c r="I125" s="614" t="s">
        <v>1404</v>
      </c>
      <c r="J125" s="614" t="s">
        <v>1405</v>
      </c>
      <c r="K125" s="614" t="s">
        <v>1406</v>
      </c>
      <c r="L125" s="615">
        <v>38.56</v>
      </c>
      <c r="M125" s="615">
        <v>77.12</v>
      </c>
      <c r="N125" s="614">
        <v>2</v>
      </c>
      <c r="O125" s="697">
        <v>1</v>
      </c>
      <c r="P125" s="615"/>
      <c r="Q125" s="630">
        <v>0</v>
      </c>
      <c r="R125" s="614"/>
      <c r="S125" s="630">
        <v>0</v>
      </c>
      <c r="T125" s="697"/>
      <c r="U125" s="653">
        <v>0</v>
      </c>
    </row>
    <row r="126" spans="1:21" ht="14.4" customHeight="1" x14ac:dyDescent="0.3">
      <c r="A126" s="613">
        <v>25</v>
      </c>
      <c r="B126" s="614" t="s">
        <v>1112</v>
      </c>
      <c r="C126" s="614" t="s">
        <v>1247</v>
      </c>
      <c r="D126" s="695" t="s">
        <v>1783</v>
      </c>
      <c r="E126" s="696" t="s">
        <v>1262</v>
      </c>
      <c r="F126" s="614" t="s">
        <v>1243</v>
      </c>
      <c r="G126" s="614" t="s">
        <v>1462</v>
      </c>
      <c r="H126" s="614" t="s">
        <v>325</v>
      </c>
      <c r="I126" s="614" t="s">
        <v>1463</v>
      </c>
      <c r="J126" s="614" t="s">
        <v>1464</v>
      </c>
      <c r="K126" s="614" t="s">
        <v>1465</v>
      </c>
      <c r="L126" s="615">
        <v>0</v>
      </c>
      <c r="M126" s="615">
        <v>0</v>
      </c>
      <c r="N126" s="614">
        <v>1</v>
      </c>
      <c r="O126" s="697">
        <v>1</v>
      </c>
      <c r="P126" s="615"/>
      <c r="Q126" s="630"/>
      <c r="R126" s="614"/>
      <c r="S126" s="630">
        <v>0</v>
      </c>
      <c r="T126" s="697"/>
      <c r="U126" s="653">
        <v>0</v>
      </c>
    </row>
    <row r="127" spans="1:21" ht="14.4" customHeight="1" x14ac:dyDescent="0.3">
      <c r="A127" s="613">
        <v>25</v>
      </c>
      <c r="B127" s="614" t="s">
        <v>1112</v>
      </c>
      <c r="C127" s="614" t="s">
        <v>1247</v>
      </c>
      <c r="D127" s="695" t="s">
        <v>1783</v>
      </c>
      <c r="E127" s="696" t="s">
        <v>1262</v>
      </c>
      <c r="F127" s="614" t="s">
        <v>1243</v>
      </c>
      <c r="G127" s="614" t="s">
        <v>1292</v>
      </c>
      <c r="H127" s="614" t="s">
        <v>770</v>
      </c>
      <c r="I127" s="614" t="s">
        <v>776</v>
      </c>
      <c r="J127" s="614" t="s">
        <v>714</v>
      </c>
      <c r="K127" s="614" t="s">
        <v>1219</v>
      </c>
      <c r="L127" s="615">
        <v>48.42</v>
      </c>
      <c r="M127" s="615">
        <v>48.42</v>
      </c>
      <c r="N127" s="614">
        <v>1</v>
      </c>
      <c r="O127" s="697">
        <v>1</v>
      </c>
      <c r="P127" s="615"/>
      <c r="Q127" s="630">
        <v>0</v>
      </c>
      <c r="R127" s="614"/>
      <c r="S127" s="630">
        <v>0</v>
      </c>
      <c r="T127" s="697"/>
      <c r="U127" s="653">
        <v>0</v>
      </c>
    </row>
    <row r="128" spans="1:21" ht="14.4" customHeight="1" x14ac:dyDescent="0.3">
      <c r="A128" s="613">
        <v>25</v>
      </c>
      <c r="B128" s="614" t="s">
        <v>1112</v>
      </c>
      <c r="C128" s="614" t="s">
        <v>1247</v>
      </c>
      <c r="D128" s="695" t="s">
        <v>1783</v>
      </c>
      <c r="E128" s="696" t="s">
        <v>1262</v>
      </c>
      <c r="F128" s="614" t="s">
        <v>1243</v>
      </c>
      <c r="G128" s="614" t="s">
        <v>1466</v>
      </c>
      <c r="H128" s="614" t="s">
        <v>325</v>
      </c>
      <c r="I128" s="614" t="s">
        <v>1467</v>
      </c>
      <c r="J128" s="614" t="s">
        <v>735</v>
      </c>
      <c r="K128" s="614" t="s">
        <v>1468</v>
      </c>
      <c r="L128" s="615">
        <v>54.23</v>
      </c>
      <c r="M128" s="615">
        <v>162.69</v>
      </c>
      <c r="N128" s="614">
        <v>3</v>
      </c>
      <c r="O128" s="697">
        <v>2.5</v>
      </c>
      <c r="P128" s="615">
        <v>108.46</v>
      </c>
      <c r="Q128" s="630">
        <v>0.66666666666666663</v>
      </c>
      <c r="R128" s="614">
        <v>2</v>
      </c>
      <c r="S128" s="630">
        <v>0.66666666666666663</v>
      </c>
      <c r="T128" s="697">
        <v>1.5</v>
      </c>
      <c r="U128" s="653">
        <v>0.6</v>
      </c>
    </row>
    <row r="129" spans="1:21" ht="14.4" customHeight="1" x14ac:dyDescent="0.3">
      <c r="A129" s="613">
        <v>25</v>
      </c>
      <c r="B129" s="614" t="s">
        <v>1112</v>
      </c>
      <c r="C129" s="614" t="s">
        <v>1247</v>
      </c>
      <c r="D129" s="695" t="s">
        <v>1783</v>
      </c>
      <c r="E129" s="696" t="s">
        <v>1262</v>
      </c>
      <c r="F129" s="614" t="s">
        <v>1243</v>
      </c>
      <c r="G129" s="614" t="s">
        <v>1469</v>
      </c>
      <c r="H129" s="614" t="s">
        <v>325</v>
      </c>
      <c r="I129" s="614" t="s">
        <v>440</v>
      </c>
      <c r="J129" s="614" t="s">
        <v>1470</v>
      </c>
      <c r="K129" s="614" t="s">
        <v>1471</v>
      </c>
      <c r="L129" s="615">
        <v>0</v>
      </c>
      <c r="M129" s="615">
        <v>0</v>
      </c>
      <c r="N129" s="614">
        <v>2</v>
      </c>
      <c r="O129" s="697">
        <v>1</v>
      </c>
      <c r="P129" s="615">
        <v>0</v>
      </c>
      <c r="Q129" s="630"/>
      <c r="R129" s="614">
        <v>2</v>
      </c>
      <c r="S129" s="630">
        <v>1</v>
      </c>
      <c r="T129" s="697">
        <v>1</v>
      </c>
      <c r="U129" s="653">
        <v>1</v>
      </c>
    </row>
    <row r="130" spans="1:21" ht="14.4" customHeight="1" x14ac:dyDescent="0.3">
      <c r="A130" s="613">
        <v>25</v>
      </c>
      <c r="B130" s="614" t="s">
        <v>1112</v>
      </c>
      <c r="C130" s="614" t="s">
        <v>1247</v>
      </c>
      <c r="D130" s="695" t="s">
        <v>1783</v>
      </c>
      <c r="E130" s="696" t="s">
        <v>1262</v>
      </c>
      <c r="F130" s="614" t="s">
        <v>1243</v>
      </c>
      <c r="G130" s="614" t="s">
        <v>1300</v>
      </c>
      <c r="H130" s="614" t="s">
        <v>325</v>
      </c>
      <c r="I130" s="614" t="s">
        <v>1472</v>
      </c>
      <c r="J130" s="614" t="s">
        <v>1473</v>
      </c>
      <c r="K130" s="614" t="s">
        <v>1474</v>
      </c>
      <c r="L130" s="615">
        <v>31.42</v>
      </c>
      <c r="M130" s="615">
        <v>31.42</v>
      </c>
      <c r="N130" s="614">
        <v>1</v>
      </c>
      <c r="O130" s="697">
        <v>1</v>
      </c>
      <c r="P130" s="615">
        <v>31.42</v>
      </c>
      <c r="Q130" s="630">
        <v>1</v>
      </c>
      <c r="R130" s="614">
        <v>1</v>
      </c>
      <c r="S130" s="630">
        <v>1</v>
      </c>
      <c r="T130" s="697">
        <v>1</v>
      </c>
      <c r="U130" s="653">
        <v>1</v>
      </c>
    </row>
    <row r="131" spans="1:21" ht="14.4" customHeight="1" x14ac:dyDescent="0.3">
      <c r="A131" s="613">
        <v>25</v>
      </c>
      <c r="B131" s="614" t="s">
        <v>1112</v>
      </c>
      <c r="C131" s="614" t="s">
        <v>1247</v>
      </c>
      <c r="D131" s="695" t="s">
        <v>1783</v>
      </c>
      <c r="E131" s="696" t="s">
        <v>1262</v>
      </c>
      <c r="F131" s="614" t="s">
        <v>1243</v>
      </c>
      <c r="G131" s="614" t="s">
        <v>1475</v>
      </c>
      <c r="H131" s="614" t="s">
        <v>325</v>
      </c>
      <c r="I131" s="614" t="s">
        <v>1476</v>
      </c>
      <c r="J131" s="614" t="s">
        <v>1477</v>
      </c>
      <c r="K131" s="614" t="s">
        <v>593</v>
      </c>
      <c r="L131" s="615">
        <v>75.22</v>
      </c>
      <c r="M131" s="615">
        <v>75.22</v>
      </c>
      <c r="N131" s="614">
        <v>1</v>
      </c>
      <c r="O131" s="697">
        <v>1</v>
      </c>
      <c r="P131" s="615"/>
      <c r="Q131" s="630">
        <v>0</v>
      </c>
      <c r="R131" s="614"/>
      <c r="S131" s="630">
        <v>0</v>
      </c>
      <c r="T131" s="697"/>
      <c r="U131" s="653">
        <v>0</v>
      </c>
    </row>
    <row r="132" spans="1:21" ht="14.4" customHeight="1" x14ac:dyDescent="0.3">
      <c r="A132" s="613">
        <v>25</v>
      </c>
      <c r="B132" s="614" t="s">
        <v>1112</v>
      </c>
      <c r="C132" s="614" t="s">
        <v>1247</v>
      </c>
      <c r="D132" s="695" t="s">
        <v>1783</v>
      </c>
      <c r="E132" s="696" t="s">
        <v>1263</v>
      </c>
      <c r="F132" s="614" t="s">
        <v>1243</v>
      </c>
      <c r="G132" s="614" t="s">
        <v>1287</v>
      </c>
      <c r="H132" s="614" t="s">
        <v>325</v>
      </c>
      <c r="I132" s="614" t="s">
        <v>1329</v>
      </c>
      <c r="J132" s="614" t="s">
        <v>1330</v>
      </c>
      <c r="K132" s="614" t="s">
        <v>1331</v>
      </c>
      <c r="L132" s="615">
        <v>154.36000000000001</v>
      </c>
      <c r="M132" s="615">
        <v>926.16000000000008</v>
      </c>
      <c r="N132" s="614">
        <v>6</v>
      </c>
      <c r="O132" s="697">
        <v>5</v>
      </c>
      <c r="P132" s="615">
        <v>154.36000000000001</v>
      </c>
      <c r="Q132" s="630">
        <v>0.16666666666666666</v>
      </c>
      <c r="R132" s="614">
        <v>1</v>
      </c>
      <c r="S132" s="630">
        <v>0.16666666666666666</v>
      </c>
      <c r="T132" s="697">
        <v>1</v>
      </c>
      <c r="U132" s="653">
        <v>0.2</v>
      </c>
    </row>
    <row r="133" spans="1:21" ht="14.4" customHeight="1" x14ac:dyDescent="0.3">
      <c r="A133" s="613">
        <v>25</v>
      </c>
      <c r="B133" s="614" t="s">
        <v>1112</v>
      </c>
      <c r="C133" s="614" t="s">
        <v>1247</v>
      </c>
      <c r="D133" s="695" t="s">
        <v>1783</v>
      </c>
      <c r="E133" s="696" t="s">
        <v>1263</v>
      </c>
      <c r="F133" s="614" t="s">
        <v>1243</v>
      </c>
      <c r="G133" s="614" t="s">
        <v>1287</v>
      </c>
      <c r="H133" s="614" t="s">
        <v>770</v>
      </c>
      <c r="I133" s="614" t="s">
        <v>956</v>
      </c>
      <c r="J133" s="614" t="s">
        <v>864</v>
      </c>
      <c r="K133" s="614" t="s">
        <v>1196</v>
      </c>
      <c r="L133" s="615">
        <v>154.36000000000001</v>
      </c>
      <c r="M133" s="615">
        <v>2006.6800000000005</v>
      </c>
      <c r="N133" s="614">
        <v>13</v>
      </c>
      <c r="O133" s="697">
        <v>13</v>
      </c>
      <c r="P133" s="615">
        <v>308.72000000000003</v>
      </c>
      <c r="Q133" s="630">
        <v>0.15384615384615383</v>
      </c>
      <c r="R133" s="614">
        <v>2</v>
      </c>
      <c r="S133" s="630">
        <v>0.15384615384615385</v>
      </c>
      <c r="T133" s="697">
        <v>2</v>
      </c>
      <c r="U133" s="653">
        <v>0.15384615384615385</v>
      </c>
    </row>
    <row r="134" spans="1:21" ht="14.4" customHeight="1" x14ac:dyDescent="0.3">
      <c r="A134" s="613">
        <v>25</v>
      </c>
      <c r="B134" s="614" t="s">
        <v>1112</v>
      </c>
      <c r="C134" s="614" t="s">
        <v>1247</v>
      </c>
      <c r="D134" s="695" t="s">
        <v>1783</v>
      </c>
      <c r="E134" s="696" t="s">
        <v>1263</v>
      </c>
      <c r="F134" s="614" t="s">
        <v>1243</v>
      </c>
      <c r="G134" s="614" t="s">
        <v>1287</v>
      </c>
      <c r="H134" s="614" t="s">
        <v>770</v>
      </c>
      <c r="I134" s="614" t="s">
        <v>1478</v>
      </c>
      <c r="J134" s="614" t="s">
        <v>1479</v>
      </c>
      <c r="K134" s="614" t="s">
        <v>1195</v>
      </c>
      <c r="L134" s="615">
        <v>111.22</v>
      </c>
      <c r="M134" s="615">
        <v>111.22</v>
      </c>
      <c r="N134" s="614">
        <v>1</v>
      </c>
      <c r="O134" s="697">
        <v>1</v>
      </c>
      <c r="P134" s="615">
        <v>111.22</v>
      </c>
      <c r="Q134" s="630">
        <v>1</v>
      </c>
      <c r="R134" s="614">
        <v>1</v>
      </c>
      <c r="S134" s="630">
        <v>1</v>
      </c>
      <c r="T134" s="697">
        <v>1</v>
      </c>
      <c r="U134" s="653">
        <v>1</v>
      </c>
    </row>
    <row r="135" spans="1:21" ht="14.4" customHeight="1" x14ac:dyDescent="0.3">
      <c r="A135" s="613">
        <v>25</v>
      </c>
      <c r="B135" s="614" t="s">
        <v>1112</v>
      </c>
      <c r="C135" s="614" t="s">
        <v>1247</v>
      </c>
      <c r="D135" s="695" t="s">
        <v>1783</v>
      </c>
      <c r="E135" s="696" t="s">
        <v>1263</v>
      </c>
      <c r="F135" s="614" t="s">
        <v>1243</v>
      </c>
      <c r="G135" s="614" t="s">
        <v>1287</v>
      </c>
      <c r="H135" s="614" t="s">
        <v>770</v>
      </c>
      <c r="I135" s="614" t="s">
        <v>1436</v>
      </c>
      <c r="J135" s="614" t="s">
        <v>1437</v>
      </c>
      <c r="K135" s="614" t="s">
        <v>1438</v>
      </c>
      <c r="L135" s="615">
        <v>80.28</v>
      </c>
      <c r="M135" s="615">
        <v>80.28</v>
      </c>
      <c r="N135" s="614">
        <v>1</v>
      </c>
      <c r="O135" s="697">
        <v>1</v>
      </c>
      <c r="P135" s="615">
        <v>80.28</v>
      </c>
      <c r="Q135" s="630">
        <v>1</v>
      </c>
      <c r="R135" s="614">
        <v>1</v>
      </c>
      <c r="S135" s="630">
        <v>1</v>
      </c>
      <c r="T135" s="697">
        <v>1</v>
      </c>
      <c r="U135" s="653">
        <v>1</v>
      </c>
    </row>
    <row r="136" spans="1:21" ht="14.4" customHeight="1" x14ac:dyDescent="0.3">
      <c r="A136" s="613">
        <v>25</v>
      </c>
      <c r="B136" s="614" t="s">
        <v>1112</v>
      </c>
      <c r="C136" s="614" t="s">
        <v>1247</v>
      </c>
      <c r="D136" s="695" t="s">
        <v>1783</v>
      </c>
      <c r="E136" s="696" t="s">
        <v>1263</v>
      </c>
      <c r="F136" s="614" t="s">
        <v>1243</v>
      </c>
      <c r="G136" s="614" t="s">
        <v>1287</v>
      </c>
      <c r="H136" s="614" t="s">
        <v>325</v>
      </c>
      <c r="I136" s="614" t="s">
        <v>1288</v>
      </c>
      <c r="J136" s="614" t="s">
        <v>864</v>
      </c>
      <c r="K136" s="614" t="s">
        <v>1196</v>
      </c>
      <c r="L136" s="615">
        <v>150.04</v>
      </c>
      <c r="M136" s="615">
        <v>150.04</v>
      </c>
      <c r="N136" s="614">
        <v>1</v>
      </c>
      <c r="O136" s="697">
        <v>1</v>
      </c>
      <c r="P136" s="615">
        <v>150.04</v>
      </c>
      <c r="Q136" s="630">
        <v>1</v>
      </c>
      <c r="R136" s="614">
        <v>1</v>
      </c>
      <c r="S136" s="630">
        <v>1</v>
      </c>
      <c r="T136" s="697">
        <v>1</v>
      </c>
      <c r="U136" s="653">
        <v>1</v>
      </c>
    </row>
    <row r="137" spans="1:21" ht="14.4" customHeight="1" x14ac:dyDescent="0.3">
      <c r="A137" s="613">
        <v>25</v>
      </c>
      <c r="B137" s="614" t="s">
        <v>1112</v>
      </c>
      <c r="C137" s="614" t="s">
        <v>1247</v>
      </c>
      <c r="D137" s="695" t="s">
        <v>1783</v>
      </c>
      <c r="E137" s="696" t="s">
        <v>1263</v>
      </c>
      <c r="F137" s="614" t="s">
        <v>1243</v>
      </c>
      <c r="G137" s="614" t="s">
        <v>1289</v>
      </c>
      <c r="H137" s="614" t="s">
        <v>325</v>
      </c>
      <c r="I137" s="614" t="s">
        <v>1337</v>
      </c>
      <c r="J137" s="614" t="s">
        <v>920</v>
      </c>
      <c r="K137" s="614" t="s">
        <v>1338</v>
      </c>
      <c r="L137" s="615">
        <v>0</v>
      </c>
      <c r="M137" s="615">
        <v>0</v>
      </c>
      <c r="N137" s="614">
        <v>1</v>
      </c>
      <c r="O137" s="697">
        <v>1</v>
      </c>
      <c r="P137" s="615">
        <v>0</v>
      </c>
      <c r="Q137" s="630"/>
      <c r="R137" s="614">
        <v>1</v>
      </c>
      <c r="S137" s="630">
        <v>1</v>
      </c>
      <c r="T137" s="697">
        <v>1</v>
      </c>
      <c r="U137" s="653">
        <v>1</v>
      </c>
    </row>
    <row r="138" spans="1:21" ht="14.4" customHeight="1" x14ac:dyDescent="0.3">
      <c r="A138" s="613">
        <v>25</v>
      </c>
      <c r="B138" s="614" t="s">
        <v>1112</v>
      </c>
      <c r="C138" s="614" t="s">
        <v>1247</v>
      </c>
      <c r="D138" s="695" t="s">
        <v>1783</v>
      </c>
      <c r="E138" s="696" t="s">
        <v>1263</v>
      </c>
      <c r="F138" s="614" t="s">
        <v>1243</v>
      </c>
      <c r="G138" s="614" t="s">
        <v>1480</v>
      </c>
      <c r="H138" s="614" t="s">
        <v>325</v>
      </c>
      <c r="I138" s="614" t="s">
        <v>400</v>
      </c>
      <c r="J138" s="614" t="s">
        <v>1481</v>
      </c>
      <c r="K138" s="614" t="s">
        <v>1482</v>
      </c>
      <c r="L138" s="615">
        <v>18.11</v>
      </c>
      <c r="M138" s="615">
        <v>108.66</v>
      </c>
      <c r="N138" s="614">
        <v>6</v>
      </c>
      <c r="O138" s="697">
        <v>1.5</v>
      </c>
      <c r="P138" s="615">
        <v>54.33</v>
      </c>
      <c r="Q138" s="630">
        <v>0.5</v>
      </c>
      <c r="R138" s="614">
        <v>3</v>
      </c>
      <c r="S138" s="630">
        <v>0.5</v>
      </c>
      <c r="T138" s="697">
        <v>0.5</v>
      </c>
      <c r="U138" s="653">
        <v>0.33333333333333331</v>
      </c>
    </row>
    <row r="139" spans="1:21" ht="14.4" customHeight="1" x14ac:dyDescent="0.3">
      <c r="A139" s="613">
        <v>25</v>
      </c>
      <c r="B139" s="614" t="s">
        <v>1112</v>
      </c>
      <c r="C139" s="614" t="s">
        <v>1247</v>
      </c>
      <c r="D139" s="695" t="s">
        <v>1783</v>
      </c>
      <c r="E139" s="696" t="s">
        <v>1263</v>
      </c>
      <c r="F139" s="614" t="s">
        <v>1243</v>
      </c>
      <c r="G139" s="614" t="s">
        <v>1483</v>
      </c>
      <c r="H139" s="614" t="s">
        <v>325</v>
      </c>
      <c r="I139" s="614" t="s">
        <v>1484</v>
      </c>
      <c r="J139" s="614" t="s">
        <v>1485</v>
      </c>
      <c r="K139" s="614" t="s">
        <v>1486</v>
      </c>
      <c r="L139" s="615">
        <v>0</v>
      </c>
      <c r="M139" s="615">
        <v>0</v>
      </c>
      <c r="N139" s="614">
        <v>1</v>
      </c>
      <c r="O139" s="697">
        <v>1</v>
      </c>
      <c r="P139" s="615">
        <v>0</v>
      </c>
      <c r="Q139" s="630"/>
      <c r="R139" s="614">
        <v>1</v>
      </c>
      <c r="S139" s="630">
        <v>1</v>
      </c>
      <c r="T139" s="697">
        <v>1</v>
      </c>
      <c r="U139" s="653">
        <v>1</v>
      </c>
    </row>
    <row r="140" spans="1:21" ht="14.4" customHeight="1" x14ac:dyDescent="0.3">
      <c r="A140" s="613">
        <v>25</v>
      </c>
      <c r="B140" s="614" t="s">
        <v>1112</v>
      </c>
      <c r="C140" s="614" t="s">
        <v>1247</v>
      </c>
      <c r="D140" s="695" t="s">
        <v>1783</v>
      </c>
      <c r="E140" s="696" t="s">
        <v>1263</v>
      </c>
      <c r="F140" s="614" t="s">
        <v>1243</v>
      </c>
      <c r="G140" s="614" t="s">
        <v>1442</v>
      </c>
      <c r="H140" s="614" t="s">
        <v>325</v>
      </c>
      <c r="I140" s="614" t="s">
        <v>1443</v>
      </c>
      <c r="J140" s="614" t="s">
        <v>1444</v>
      </c>
      <c r="K140" s="614" t="s">
        <v>1445</v>
      </c>
      <c r="L140" s="615">
        <v>79.48</v>
      </c>
      <c r="M140" s="615">
        <v>79.48</v>
      </c>
      <c r="N140" s="614">
        <v>1</v>
      </c>
      <c r="O140" s="697">
        <v>1</v>
      </c>
      <c r="P140" s="615">
        <v>79.48</v>
      </c>
      <c r="Q140" s="630">
        <v>1</v>
      </c>
      <c r="R140" s="614">
        <v>1</v>
      </c>
      <c r="S140" s="630">
        <v>1</v>
      </c>
      <c r="T140" s="697">
        <v>1</v>
      </c>
      <c r="U140" s="653">
        <v>1</v>
      </c>
    </row>
    <row r="141" spans="1:21" ht="14.4" customHeight="1" x14ac:dyDescent="0.3">
      <c r="A141" s="613">
        <v>25</v>
      </c>
      <c r="B141" s="614" t="s">
        <v>1112</v>
      </c>
      <c r="C141" s="614" t="s">
        <v>1247</v>
      </c>
      <c r="D141" s="695" t="s">
        <v>1783</v>
      </c>
      <c r="E141" s="696" t="s">
        <v>1263</v>
      </c>
      <c r="F141" s="614" t="s">
        <v>1243</v>
      </c>
      <c r="G141" s="614" t="s">
        <v>1446</v>
      </c>
      <c r="H141" s="614" t="s">
        <v>325</v>
      </c>
      <c r="I141" s="614" t="s">
        <v>1447</v>
      </c>
      <c r="J141" s="614" t="s">
        <v>1448</v>
      </c>
      <c r="K141" s="614" t="s">
        <v>1449</v>
      </c>
      <c r="L141" s="615">
        <v>71.930000000000007</v>
      </c>
      <c r="M141" s="615">
        <v>71.930000000000007</v>
      </c>
      <c r="N141" s="614">
        <v>1</v>
      </c>
      <c r="O141" s="697">
        <v>1</v>
      </c>
      <c r="P141" s="615">
        <v>71.930000000000007</v>
      </c>
      <c r="Q141" s="630">
        <v>1</v>
      </c>
      <c r="R141" s="614">
        <v>1</v>
      </c>
      <c r="S141" s="630">
        <v>1</v>
      </c>
      <c r="T141" s="697">
        <v>1</v>
      </c>
      <c r="U141" s="653">
        <v>1</v>
      </c>
    </row>
    <row r="142" spans="1:21" ht="14.4" customHeight="1" x14ac:dyDescent="0.3">
      <c r="A142" s="613">
        <v>25</v>
      </c>
      <c r="B142" s="614" t="s">
        <v>1112</v>
      </c>
      <c r="C142" s="614" t="s">
        <v>1247</v>
      </c>
      <c r="D142" s="695" t="s">
        <v>1783</v>
      </c>
      <c r="E142" s="696" t="s">
        <v>1263</v>
      </c>
      <c r="F142" s="614" t="s">
        <v>1243</v>
      </c>
      <c r="G142" s="614" t="s">
        <v>1318</v>
      </c>
      <c r="H142" s="614" t="s">
        <v>325</v>
      </c>
      <c r="I142" s="614" t="s">
        <v>1487</v>
      </c>
      <c r="J142" s="614" t="s">
        <v>1488</v>
      </c>
      <c r="K142" s="614" t="s">
        <v>1489</v>
      </c>
      <c r="L142" s="615">
        <v>0</v>
      </c>
      <c r="M142" s="615">
        <v>0</v>
      </c>
      <c r="N142" s="614">
        <v>2</v>
      </c>
      <c r="O142" s="697">
        <v>2</v>
      </c>
      <c r="P142" s="615">
        <v>0</v>
      </c>
      <c r="Q142" s="630"/>
      <c r="R142" s="614">
        <v>1</v>
      </c>
      <c r="S142" s="630">
        <v>0.5</v>
      </c>
      <c r="T142" s="697">
        <v>1</v>
      </c>
      <c r="U142" s="653">
        <v>0.5</v>
      </c>
    </row>
    <row r="143" spans="1:21" ht="14.4" customHeight="1" x14ac:dyDescent="0.3">
      <c r="A143" s="613">
        <v>25</v>
      </c>
      <c r="B143" s="614" t="s">
        <v>1112</v>
      </c>
      <c r="C143" s="614" t="s">
        <v>1247</v>
      </c>
      <c r="D143" s="695" t="s">
        <v>1783</v>
      </c>
      <c r="E143" s="696" t="s">
        <v>1263</v>
      </c>
      <c r="F143" s="614" t="s">
        <v>1243</v>
      </c>
      <c r="G143" s="614" t="s">
        <v>1490</v>
      </c>
      <c r="H143" s="614" t="s">
        <v>325</v>
      </c>
      <c r="I143" s="614" t="s">
        <v>1491</v>
      </c>
      <c r="J143" s="614" t="s">
        <v>1492</v>
      </c>
      <c r="K143" s="614" t="s">
        <v>1338</v>
      </c>
      <c r="L143" s="615">
        <v>111.72</v>
      </c>
      <c r="M143" s="615">
        <v>223.44</v>
      </c>
      <c r="N143" s="614">
        <v>2</v>
      </c>
      <c r="O143" s="697">
        <v>1</v>
      </c>
      <c r="P143" s="615">
        <v>223.44</v>
      </c>
      <c r="Q143" s="630">
        <v>1</v>
      </c>
      <c r="R143" s="614">
        <v>2</v>
      </c>
      <c r="S143" s="630">
        <v>1</v>
      </c>
      <c r="T143" s="697">
        <v>1</v>
      </c>
      <c r="U143" s="653">
        <v>1</v>
      </c>
    </row>
    <row r="144" spans="1:21" ht="14.4" customHeight="1" x14ac:dyDescent="0.3">
      <c r="A144" s="613">
        <v>25</v>
      </c>
      <c r="B144" s="614" t="s">
        <v>1112</v>
      </c>
      <c r="C144" s="614" t="s">
        <v>1247</v>
      </c>
      <c r="D144" s="695" t="s">
        <v>1783</v>
      </c>
      <c r="E144" s="696" t="s">
        <v>1263</v>
      </c>
      <c r="F144" s="614" t="s">
        <v>1243</v>
      </c>
      <c r="G144" s="614" t="s">
        <v>1291</v>
      </c>
      <c r="H144" s="614" t="s">
        <v>325</v>
      </c>
      <c r="I144" s="614" t="s">
        <v>930</v>
      </c>
      <c r="J144" s="614" t="s">
        <v>931</v>
      </c>
      <c r="K144" s="614" t="s">
        <v>932</v>
      </c>
      <c r="L144" s="615">
        <v>147.31</v>
      </c>
      <c r="M144" s="615">
        <v>147.31</v>
      </c>
      <c r="N144" s="614">
        <v>1</v>
      </c>
      <c r="O144" s="697">
        <v>1</v>
      </c>
      <c r="P144" s="615"/>
      <c r="Q144" s="630">
        <v>0</v>
      </c>
      <c r="R144" s="614"/>
      <c r="S144" s="630">
        <v>0</v>
      </c>
      <c r="T144" s="697"/>
      <c r="U144" s="653">
        <v>0</v>
      </c>
    </row>
    <row r="145" spans="1:21" ht="14.4" customHeight="1" x14ac:dyDescent="0.3">
      <c r="A145" s="613">
        <v>25</v>
      </c>
      <c r="B145" s="614" t="s">
        <v>1112</v>
      </c>
      <c r="C145" s="614" t="s">
        <v>1247</v>
      </c>
      <c r="D145" s="695" t="s">
        <v>1783</v>
      </c>
      <c r="E145" s="696" t="s">
        <v>1263</v>
      </c>
      <c r="F145" s="614" t="s">
        <v>1243</v>
      </c>
      <c r="G145" s="614" t="s">
        <v>1291</v>
      </c>
      <c r="H145" s="614" t="s">
        <v>325</v>
      </c>
      <c r="I145" s="614" t="s">
        <v>1387</v>
      </c>
      <c r="J145" s="614" t="s">
        <v>931</v>
      </c>
      <c r="K145" s="614" t="s">
        <v>1388</v>
      </c>
      <c r="L145" s="615">
        <v>0</v>
      </c>
      <c r="M145" s="615">
        <v>0</v>
      </c>
      <c r="N145" s="614">
        <v>1</v>
      </c>
      <c r="O145" s="697">
        <v>1</v>
      </c>
      <c r="P145" s="615"/>
      <c r="Q145" s="630"/>
      <c r="R145" s="614"/>
      <c r="S145" s="630">
        <v>0</v>
      </c>
      <c r="T145" s="697"/>
      <c r="U145" s="653">
        <v>0</v>
      </c>
    </row>
    <row r="146" spans="1:21" ht="14.4" customHeight="1" x14ac:dyDescent="0.3">
      <c r="A146" s="613">
        <v>25</v>
      </c>
      <c r="B146" s="614" t="s">
        <v>1112</v>
      </c>
      <c r="C146" s="614" t="s">
        <v>1247</v>
      </c>
      <c r="D146" s="695" t="s">
        <v>1783</v>
      </c>
      <c r="E146" s="696" t="s">
        <v>1263</v>
      </c>
      <c r="F146" s="614" t="s">
        <v>1243</v>
      </c>
      <c r="G146" s="614" t="s">
        <v>1291</v>
      </c>
      <c r="H146" s="614" t="s">
        <v>325</v>
      </c>
      <c r="I146" s="614" t="s">
        <v>1320</v>
      </c>
      <c r="J146" s="614" t="s">
        <v>931</v>
      </c>
      <c r="K146" s="614" t="s">
        <v>932</v>
      </c>
      <c r="L146" s="615">
        <v>147.31</v>
      </c>
      <c r="M146" s="615">
        <v>441.93</v>
      </c>
      <c r="N146" s="614">
        <v>3</v>
      </c>
      <c r="O146" s="697">
        <v>2</v>
      </c>
      <c r="P146" s="615"/>
      <c r="Q146" s="630">
        <v>0</v>
      </c>
      <c r="R146" s="614"/>
      <c r="S146" s="630">
        <v>0</v>
      </c>
      <c r="T146" s="697"/>
      <c r="U146" s="653">
        <v>0</v>
      </c>
    </row>
    <row r="147" spans="1:21" ht="14.4" customHeight="1" x14ac:dyDescent="0.3">
      <c r="A147" s="613">
        <v>25</v>
      </c>
      <c r="B147" s="614" t="s">
        <v>1112</v>
      </c>
      <c r="C147" s="614" t="s">
        <v>1247</v>
      </c>
      <c r="D147" s="695" t="s">
        <v>1783</v>
      </c>
      <c r="E147" s="696" t="s">
        <v>1263</v>
      </c>
      <c r="F147" s="614" t="s">
        <v>1243</v>
      </c>
      <c r="G147" s="614" t="s">
        <v>1493</v>
      </c>
      <c r="H147" s="614" t="s">
        <v>325</v>
      </c>
      <c r="I147" s="614" t="s">
        <v>1494</v>
      </c>
      <c r="J147" s="614" t="s">
        <v>1495</v>
      </c>
      <c r="K147" s="614" t="s">
        <v>1496</v>
      </c>
      <c r="L147" s="615">
        <v>0</v>
      </c>
      <c r="M147" s="615">
        <v>0</v>
      </c>
      <c r="N147" s="614">
        <v>1</v>
      </c>
      <c r="O147" s="697">
        <v>1</v>
      </c>
      <c r="P147" s="615">
        <v>0</v>
      </c>
      <c r="Q147" s="630"/>
      <c r="R147" s="614">
        <v>1</v>
      </c>
      <c r="S147" s="630">
        <v>1</v>
      </c>
      <c r="T147" s="697">
        <v>1</v>
      </c>
      <c r="U147" s="653">
        <v>1</v>
      </c>
    </row>
    <row r="148" spans="1:21" ht="14.4" customHeight="1" x14ac:dyDescent="0.3">
      <c r="A148" s="613">
        <v>25</v>
      </c>
      <c r="B148" s="614" t="s">
        <v>1112</v>
      </c>
      <c r="C148" s="614" t="s">
        <v>1247</v>
      </c>
      <c r="D148" s="695" t="s">
        <v>1783</v>
      </c>
      <c r="E148" s="696" t="s">
        <v>1263</v>
      </c>
      <c r="F148" s="614" t="s">
        <v>1243</v>
      </c>
      <c r="G148" s="614" t="s">
        <v>1292</v>
      </c>
      <c r="H148" s="614" t="s">
        <v>770</v>
      </c>
      <c r="I148" s="614" t="s">
        <v>1307</v>
      </c>
      <c r="J148" s="614" t="s">
        <v>714</v>
      </c>
      <c r="K148" s="614" t="s">
        <v>1308</v>
      </c>
      <c r="L148" s="615">
        <v>24.22</v>
      </c>
      <c r="M148" s="615">
        <v>48.44</v>
      </c>
      <c r="N148" s="614">
        <v>2</v>
      </c>
      <c r="O148" s="697">
        <v>2</v>
      </c>
      <c r="P148" s="615"/>
      <c r="Q148" s="630">
        <v>0</v>
      </c>
      <c r="R148" s="614"/>
      <c r="S148" s="630">
        <v>0</v>
      </c>
      <c r="T148" s="697"/>
      <c r="U148" s="653">
        <v>0</v>
      </c>
    </row>
    <row r="149" spans="1:21" ht="14.4" customHeight="1" x14ac:dyDescent="0.3">
      <c r="A149" s="613">
        <v>25</v>
      </c>
      <c r="B149" s="614" t="s">
        <v>1112</v>
      </c>
      <c r="C149" s="614" t="s">
        <v>1247</v>
      </c>
      <c r="D149" s="695" t="s">
        <v>1783</v>
      </c>
      <c r="E149" s="696" t="s">
        <v>1263</v>
      </c>
      <c r="F149" s="614" t="s">
        <v>1243</v>
      </c>
      <c r="G149" s="614" t="s">
        <v>1292</v>
      </c>
      <c r="H149" s="614" t="s">
        <v>770</v>
      </c>
      <c r="I149" s="614" t="s">
        <v>776</v>
      </c>
      <c r="J149" s="614" t="s">
        <v>714</v>
      </c>
      <c r="K149" s="614" t="s">
        <v>1219</v>
      </c>
      <c r="L149" s="615">
        <v>48.42</v>
      </c>
      <c r="M149" s="615">
        <v>145.26</v>
      </c>
      <c r="N149" s="614">
        <v>3</v>
      </c>
      <c r="O149" s="697">
        <v>2</v>
      </c>
      <c r="P149" s="615"/>
      <c r="Q149" s="630">
        <v>0</v>
      </c>
      <c r="R149" s="614"/>
      <c r="S149" s="630">
        <v>0</v>
      </c>
      <c r="T149" s="697"/>
      <c r="U149" s="653">
        <v>0</v>
      </c>
    </row>
    <row r="150" spans="1:21" ht="14.4" customHeight="1" x14ac:dyDescent="0.3">
      <c r="A150" s="613">
        <v>25</v>
      </c>
      <c r="B150" s="614" t="s">
        <v>1112</v>
      </c>
      <c r="C150" s="614" t="s">
        <v>1247</v>
      </c>
      <c r="D150" s="695" t="s">
        <v>1783</v>
      </c>
      <c r="E150" s="696" t="s">
        <v>1263</v>
      </c>
      <c r="F150" s="614" t="s">
        <v>1243</v>
      </c>
      <c r="G150" s="614" t="s">
        <v>1292</v>
      </c>
      <c r="H150" s="614" t="s">
        <v>325</v>
      </c>
      <c r="I150" s="614" t="s">
        <v>713</v>
      </c>
      <c r="J150" s="614" t="s">
        <v>714</v>
      </c>
      <c r="K150" s="614" t="s">
        <v>1310</v>
      </c>
      <c r="L150" s="615">
        <v>48.42</v>
      </c>
      <c r="M150" s="615">
        <v>48.42</v>
      </c>
      <c r="N150" s="614">
        <v>1</v>
      </c>
      <c r="O150" s="697">
        <v>1</v>
      </c>
      <c r="P150" s="615"/>
      <c r="Q150" s="630">
        <v>0</v>
      </c>
      <c r="R150" s="614"/>
      <c r="S150" s="630">
        <v>0</v>
      </c>
      <c r="T150" s="697"/>
      <c r="U150" s="653">
        <v>0</v>
      </c>
    </row>
    <row r="151" spans="1:21" ht="14.4" customHeight="1" x14ac:dyDescent="0.3">
      <c r="A151" s="613">
        <v>25</v>
      </c>
      <c r="B151" s="614" t="s">
        <v>1112</v>
      </c>
      <c r="C151" s="614" t="s">
        <v>1247</v>
      </c>
      <c r="D151" s="695" t="s">
        <v>1783</v>
      </c>
      <c r="E151" s="696" t="s">
        <v>1263</v>
      </c>
      <c r="F151" s="614" t="s">
        <v>1243</v>
      </c>
      <c r="G151" s="614" t="s">
        <v>1497</v>
      </c>
      <c r="H151" s="614" t="s">
        <v>325</v>
      </c>
      <c r="I151" s="614" t="s">
        <v>1498</v>
      </c>
      <c r="J151" s="614" t="s">
        <v>1499</v>
      </c>
      <c r="K151" s="614" t="s">
        <v>750</v>
      </c>
      <c r="L151" s="615">
        <v>0</v>
      </c>
      <c r="M151" s="615">
        <v>0</v>
      </c>
      <c r="N151" s="614">
        <v>3</v>
      </c>
      <c r="O151" s="697">
        <v>0.5</v>
      </c>
      <c r="P151" s="615">
        <v>0</v>
      </c>
      <c r="Q151" s="630"/>
      <c r="R151" s="614">
        <v>3</v>
      </c>
      <c r="S151" s="630">
        <v>1</v>
      </c>
      <c r="T151" s="697">
        <v>0.5</v>
      </c>
      <c r="U151" s="653">
        <v>1</v>
      </c>
    </row>
    <row r="152" spans="1:21" ht="14.4" customHeight="1" x14ac:dyDescent="0.3">
      <c r="A152" s="613">
        <v>25</v>
      </c>
      <c r="B152" s="614" t="s">
        <v>1112</v>
      </c>
      <c r="C152" s="614" t="s">
        <v>1247</v>
      </c>
      <c r="D152" s="695" t="s">
        <v>1783</v>
      </c>
      <c r="E152" s="696" t="s">
        <v>1263</v>
      </c>
      <c r="F152" s="614" t="s">
        <v>1243</v>
      </c>
      <c r="G152" s="614" t="s">
        <v>1500</v>
      </c>
      <c r="H152" s="614" t="s">
        <v>770</v>
      </c>
      <c r="I152" s="614" t="s">
        <v>1501</v>
      </c>
      <c r="J152" s="614" t="s">
        <v>1502</v>
      </c>
      <c r="K152" s="614" t="s">
        <v>1503</v>
      </c>
      <c r="L152" s="615">
        <v>919.42</v>
      </c>
      <c r="M152" s="615">
        <v>919.42</v>
      </c>
      <c r="N152" s="614">
        <v>1</v>
      </c>
      <c r="O152" s="697">
        <v>1</v>
      </c>
      <c r="P152" s="615">
        <v>919.42</v>
      </c>
      <c r="Q152" s="630">
        <v>1</v>
      </c>
      <c r="R152" s="614">
        <v>1</v>
      </c>
      <c r="S152" s="630">
        <v>1</v>
      </c>
      <c r="T152" s="697">
        <v>1</v>
      </c>
      <c r="U152" s="653">
        <v>1</v>
      </c>
    </row>
    <row r="153" spans="1:21" ht="14.4" customHeight="1" x14ac:dyDescent="0.3">
      <c r="A153" s="613">
        <v>25</v>
      </c>
      <c r="B153" s="614" t="s">
        <v>1112</v>
      </c>
      <c r="C153" s="614" t="s">
        <v>1247</v>
      </c>
      <c r="D153" s="695" t="s">
        <v>1783</v>
      </c>
      <c r="E153" s="696" t="s">
        <v>1263</v>
      </c>
      <c r="F153" s="614" t="s">
        <v>1244</v>
      </c>
      <c r="G153" s="614" t="s">
        <v>1344</v>
      </c>
      <c r="H153" s="614" t="s">
        <v>325</v>
      </c>
      <c r="I153" s="614" t="s">
        <v>1504</v>
      </c>
      <c r="J153" s="614" t="s">
        <v>1346</v>
      </c>
      <c r="K153" s="614"/>
      <c r="L153" s="615">
        <v>0</v>
      </c>
      <c r="M153" s="615">
        <v>0</v>
      </c>
      <c r="N153" s="614">
        <v>1</v>
      </c>
      <c r="O153" s="697">
        <v>1</v>
      </c>
      <c r="P153" s="615">
        <v>0</v>
      </c>
      <c r="Q153" s="630"/>
      <c r="R153" s="614">
        <v>1</v>
      </c>
      <c r="S153" s="630">
        <v>1</v>
      </c>
      <c r="T153" s="697">
        <v>1</v>
      </c>
      <c r="U153" s="653">
        <v>1</v>
      </c>
    </row>
    <row r="154" spans="1:21" ht="14.4" customHeight="1" x14ac:dyDescent="0.3">
      <c r="A154" s="613">
        <v>25</v>
      </c>
      <c r="B154" s="614" t="s">
        <v>1112</v>
      </c>
      <c r="C154" s="614" t="s">
        <v>1247</v>
      </c>
      <c r="D154" s="695" t="s">
        <v>1783</v>
      </c>
      <c r="E154" s="696" t="s">
        <v>1264</v>
      </c>
      <c r="F154" s="614" t="s">
        <v>1243</v>
      </c>
      <c r="G154" s="614" t="s">
        <v>1287</v>
      </c>
      <c r="H154" s="614" t="s">
        <v>325</v>
      </c>
      <c r="I154" s="614" t="s">
        <v>1332</v>
      </c>
      <c r="J154" s="614" t="s">
        <v>864</v>
      </c>
      <c r="K154" s="614" t="s">
        <v>566</v>
      </c>
      <c r="L154" s="615">
        <v>0</v>
      </c>
      <c r="M154" s="615">
        <v>0</v>
      </c>
      <c r="N154" s="614">
        <v>1</v>
      </c>
      <c r="O154" s="697">
        <v>1</v>
      </c>
      <c r="P154" s="615">
        <v>0</v>
      </c>
      <c r="Q154" s="630"/>
      <c r="R154" s="614">
        <v>1</v>
      </c>
      <c r="S154" s="630">
        <v>1</v>
      </c>
      <c r="T154" s="697">
        <v>1</v>
      </c>
      <c r="U154" s="653">
        <v>1</v>
      </c>
    </row>
    <row r="155" spans="1:21" ht="14.4" customHeight="1" x14ac:dyDescent="0.3">
      <c r="A155" s="613">
        <v>25</v>
      </c>
      <c r="B155" s="614" t="s">
        <v>1112</v>
      </c>
      <c r="C155" s="614" t="s">
        <v>1247</v>
      </c>
      <c r="D155" s="695" t="s">
        <v>1783</v>
      </c>
      <c r="E155" s="696" t="s">
        <v>1264</v>
      </c>
      <c r="F155" s="614" t="s">
        <v>1243</v>
      </c>
      <c r="G155" s="614" t="s">
        <v>1287</v>
      </c>
      <c r="H155" s="614" t="s">
        <v>770</v>
      </c>
      <c r="I155" s="614" t="s">
        <v>956</v>
      </c>
      <c r="J155" s="614" t="s">
        <v>864</v>
      </c>
      <c r="K155" s="614" t="s">
        <v>1196</v>
      </c>
      <c r="L155" s="615">
        <v>150.04</v>
      </c>
      <c r="M155" s="615">
        <v>150.04</v>
      </c>
      <c r="N155" s="614">
        <v>1</v>
      </c>
      <c r="O155" s="697">
        <v>1</v>
      </c>
      <c r="P155" s="615">
        <v>150.04</v>
      </c>
      <c r="Q155" s="630">
        <v>1</v>
      </c>
      <c r="R155" s="614">
        <v>1</v>
      </c>
      <c r="S155" s="630">
        <v>1</v>
      </c>
      <c r="T155" s="697">
        <v>1</v>
      </c>
      <c r="U155" s="653">
        <v>1</v>
      </c>
    </row>
    <row r="156" spans="1:21" ht="14.4" customHeight="1" x14ac:dyDescent="0.3">
      <c r="A156" s="613">
        <v>25</v>
      </c>
      <c r="B156" s="614" t="s">
        <v>1112</v>
      </c>
      <c r="C156" s="614" t="s">
        <v>1247</v>
      </c>
      <c r="D156" s="695" t="s">
        <v>1783</v>
      </c>
      <c r="E156" s="696" t="s">
        <v>1264</v>
      </c>
      <c r="F156" s="614" t="s">
        <v>1243</v>
      </c>
      <c r="G156" s="614" t="s">
        <v>1287</v>
      </c>
      <c r="H156" s="614" t="s">
        <v>770</v>
      </c>
      <c r="I156" s="614" t="s">
        <v>956</v>
      </c>
      <c r="J156" s="614" t="s">
        <v>864</v>
      </c>
      <c r="K156" s="614" t="s">
        <v>1196</v>
      </c>
      <c r="L156" s="615">
        <v>154.36000000000001</v>
      </c>
      <c r="M156" s="615">
        <v>154.36000000000001</v>
      </c>
      <c r="N156" s="614">
        <v>1</v>
      </c>
      <c r="O156" s="697">
        <v>1</v>
      </c>
      <c r="P156" s="615"/>
      <c r="Q156" s="630">
        <v>0</v>
      </c>
      <c r="R156" s="614"/>
      <c r="S156" s="630">
        <v>0</v>
      </c>
      <c r="T156" s="697"/>
      <c r="U156" s="653">
        <v>0</v>
      </c>
    </row>
    <row r="157" spans="1:21" ht="14.4" customHeight="1" x14ac:dyDescent="0.3">
      <c r="A157" s="613">
        <v>25</v>
      </c>
      <c r="B157" s="614" t="s">
        <v>1112</v>
      </c>
      <c r="C157" s="614" t="s">
        <v>1247</v>
      </c>
      <c r="D157" s="695" t="s">
        <v>1783</v>
      </c>
      <c r="E157" s="696" t="s">
        <v>1264</v>
      </c>
      <c r="F157" s="614" t="s">
        <v>1243</v>
      </c>
      <c r="G157" s="614" t="s">
        <v>1287</v>
      </c>
      <c r="H157" s="614" t="s">
        <v>770</v>
      </c>
      <c r="I157" s="614" t="s">
        <v>1067</v>
      </c>
      <c r="J157" s="614" t="s">
        <v>1234</v>
      </c>
      <c r="K157" s="614" t="s">
        <v>1195</v>
      </c>
      <c r="L157" s="615">
        <v>149.52000000000001</v>
      </c>
      <c r="M157" s="615">
        <v>1046.6400000000001</v>
      </c>
      <c r="N157" s="614">
        <v>7</v>
      </c>
      <c r="O157" s="697">
        <v>6</v>
      </c>
      <c r="P157" s="615">
        <v>747.6</v>
      </c>
      <c r="Q157" s="630">
        <v>0.71428571428571419</v>
      </c>
      <c r="R157" s="614">
        <v>5</v>
      </c>
      <c r="S157" s="630">
        <v>0.7142857142857143</v>
      </c>
      <c r="T157" s="697">
        <v>4</v>
      </c>
      <c r="U157" s="653">
        <v>0.66666666666666663</v>
      </c>
    </row>
    <row r="158" spans="1:21" ht="14.4" customHeight="1" x14ac:dyDescent="0.3">
      <c r="A158" s="613">
        <v>25</v>
      </c>
      <c r="B158" s="614" t="s">
        <v>1112</v>
      </c>
      <c r="C158" s="614" t="s">
        <v>1247</v>
      </c>
      <c r="D158" s="695" t="s">
        <v>1783</v>
      </c>
      <c r="E158" s="696" t="s">
        <v>1264</v>
      </c>
      <c r="F158" s="614" t="s">
        <v>1243</v>
      </c>
      <c r="G158" s="614" t="s">
        <v>1287</v>
      </c>
      <c r="H158" s="614" t="s">
        <v>325</v>
      </c>
      <c r="I158" s="614" t="s">
        <v>1288</v>
      </c>
      <c r="J158" s="614" t="s">
        <v>864</v>
      </c>
      <c r="K158" s="614" t="s">
        <v>1196</v>
      </c>
      <c r="L158" s="615">
        <v>150.04</v>
      </c>
      <c r="M158" s="615">
        <v>150.04</v>
      </c>
      <c r="N158" s="614">
        <v>1</v>
      </c>
      <c r="O158" s="697">
        <v>1</v>
      </c>
      <c r="P158" s="615"/>
      <c r="Q158" s="630">
        <v>0</v>
      </c>
      <c r="R158" s="614"/>
      <c r="S158" s="630">
        <v>0</v>
      </c>
      <c r="T158" s="697"/>
      <c r="U158" s="653">
        <v>0</v>
      </c>
    </row>
    <row r="159" spans="1:21" ht="14.4" customHeight="1" x14ac:dyDescent="0.3">
      <c r="A159" s="613">
        <v>25</v>
      </c>
      <c r="B159" s="614" t="s">
        <v>1112</v>
      </c>
      <c r="C159" s="614" t="s">
        <v>1247</v>
      </c>
      <c r="D159" s="695" t="s">
        <v>1783</v>
      </c>
      <c r="E159" s="696" t="s">
        <v>1264</v>
      </c>
      <c r="F159" s="614" t="s">
        <v>1243</v>
      </c>
      <c r="G159" s="614" t="s">
        <v>1287</v>
      </c>
      <c r="H159" s="614" t="s">
        <v>325</v>
      </c>
      <c r="I159" s="614" t="s">
        <v>1288</v>
      </c>
      <c r="J159" s="614" t="s">
        <v>864</v>
      </c>
      <c r="K159" s="614" t="s">
        <v>1196</v>
      </c>
      <c r="L159" s="615">
        <v>154.36000000000001</v>
      </c>
      <c r="M159" s="615">
        <v>308.72000000000003</v>
      </c>
      <c r="N159" s="614">
        <v>2</v>
      </c>
      <c r="O159" s="697">
        <v>2</v>
      </c>
      <c r="P159" s="615">
        <v>154.36000000000001</v>
      </c>
      <c r="Q159" s="630">
        <v>0.5</v>
      </c>
      <c r="R159" s="614">
        <v>1</v>
      </c>
      <c r="S159" s="630">
        <v>0.5</v>
      </c>
      <c r="T159" s="697">
        <v>1</v>
      </c>
      <c r="U159" s="653">
        <v>0.5</v>
      </c>
    </row>
    <row r="160" spans="1:21" ht="14.4" customHeight="1" x14ac:dyDescent="0.3">
      <c r="A160" s="613">
        <v>25</v>
      </c>
      <c r="B160" s="614" t="s">
        <v>1112</v>
      </c>
      <c r="C160" s="614" t="s">
        <v>1247</v>
      </c>
      <c r="D160" s="695" t="s">
        <v>1783</v>
      </c>
      <c r="E160" s="696" t="s">
        <v>1264</v>
      </c>
      <c r="F160" s="614" t="s">
        <v>1243</v>
      </c>
      <c r="G160" s="614" t="s">
        <v>1291</v>
      </c>
      <c r="H160" s="614" t="s">
        <v>325</v>
      </c>
      <c r="I160" s="614" t="s">
        <v>1320</v>
      </c>
      <c r="J160" s="614" t="s">
        <v>931</v>
      </c>
      <c r="K160" s="614" t="s">
        <v>932</v>
      </c>
      <c r="L160" s="615">
        <v>147.31</v>
      </c>
      <c r="M160" s="615">
        <v>3535.44</v>
      </c>
      <c r="N160" s="614">
        <v>24</v>
      </c>
      <c r="O160" s="697">
        <v>3</v>
      </c>
      <c r="P160" s="615">
        <v>3093.51</v>
      </c>
      <c r="Q160" s="630">
        <v>0.875</v>
      </c>
      <c r="R160" s="614">
        <v>21</v>
      </c>
      <c r="S160" s="630">
        <v>0.875</v>
      </c>
      <c r="T160" s="697">
        <v>1</v>
      </c>
      <c r="U160" s="653">
        <v>0.33333333333333331</v>
      </c>
    </row>
    <row r="161" spans="1:21" ht="14.4" customHeight="1" x14ac:dyDescent="0.3">
      <c r="A161" s="613">
        <v>25</v>
      </c>
      <c r="B161" s="614" t="s">
        <v>1112</v>
      </c>
      <c r="C161" s="614" t="s">
        <v>1247</v>
      </c>
      <c r="D161" s="695" t="s">
        <v>1783</v>
      </c>
      <c r="E161" s="696" t="s">
        <v>1265</v>
      </c>
      <c r="F161" s="614" t="s">
        <v>1243</v>
      </c>
      <c r="G161" s="614" t="s">
        <v>1287</v>
      </c>
      <c r="H161" s="614" t="s">
        <v>770</v>
      </c>
      <c r="I161" s="614" t="s">
        <v>956</v>
      </c>
      <c r="J161" s="614" t="s">
        <v>864</v>
      </c>
      <c r="K161" s="614" t="s">
        <v>1196</v>
      </c>
      <c r="L161" s="615">
        <v>154.36000000000001</v>
      </c>
      <c r="M161" s="615">
        <v>308.72000000000003</v>
      </c>
      <c r="N161" s="614">
        <v>2</v>
      </c>
      <c r="O161" s="697">
        <v>2</v>
      </c>
      <c r="P161" s="615"/>
      <c r="Q161" s="630">
        <v>0</v>
      </c>
      <c r="R161" s="614"/>
      <c r="S161" s="630">
        <v>0</v>
      </c>
      <c r="T161" s="697"/>
      <c r="U161" s="653">
        <v>0</v>
      </c>
    </row>
    <row r="162" spans="1:21" ht="14.4" customHeight="1" x14ac:dyDescent="0.3">
      <c r="A162" s="613">
        <v>25</v>
      </c>
      <c r="B162" s="614" t="s">
        <v>1112</v>
      </c>
      <c r="C162" s="614" t="s">
        <v>1247</v>
      </c>
      <c r="D162" s="695" t="s">
        <v>1783</v>
      </c>
      <c r="E162" s="696" t="s">
        <v>1266</v>
      </c>
      <c r="F162" s="614" t="s">
        <v>1243</v>
      </c>
      <c r="G162" s="614" t="s">
        <v>1287</v>
      </c>
      <c r="H162" s="614" t="s">
        <v>770</v>
      </c>
      <c r="I162" s="614" t="s">
        <v>956</v>
      </c>
      <c r="J162" s="614" t="s">
        <v>864</v>
      </c>
      <c r="K162" s="614" t="s">
        <v>1196</v>
      </c>
      <c r="L162" s="615">
        <v>150.04</v>
      </c>
      <c r="M162" s="615">
        <v>1200.32</v>
      </c>
      <c r="N162" s="614">
        <v>8</v>
      </c>
      <c r="O162" s="697">
        <v>8</v>
      </c>
      <c r="P162" s="615">
        <v>750.19999999999993</v>
      </c>
      <c r="Q162" s="630">
        <v>0.625</v>
      </c>
      <c r="R162" s="614">
        <v>5</v>
      </c>
      <c r="S162" s="630">
        <v>0.625</v>
      </c>
      <c r="T162" s="697">
        <v>5</v>
      </c>
      <c r="U162" s="653">
        <v>0.625</v>
      </c>
    </row>
    <row r="163" spans="1:21" ht="14.4" customHeight="1" x14ac:dyDescent="0.3">
      <c r="A163" s="613">
        <v>25</v>
      </c>
      <c r="B163" s="614" t="s">
        <v>1112</v>
      </c>
      <c r="C163" s="614" t="s">
        <v>1247</v>
      </c>
      <c r="D163" s="695" t="s">
        <v>1783</v>
      </c>
      <c r="E163" s="696" t="s">
        <v>1266</v>
      </c>
      <c r="F163" s="614" t="s">
        <v>1243</v>
      </c>
      <c r="G163" s="614" t="s">
        <v>1287</v>
      </c>
      <c r="H163" s="614" t="s">
        <v>770</v>
      </c>
      <c r="I163" s="614" t="s">
        <v>956</v>
      </c>
      <c r="J163" s="614" t="s">
        <v>864</v>
      </c>
      <c r="K163" s="614" t="s">
        <v>1196</v>
      </c>
      <c r="L163" s="615">
        <v>154.36000000000001</v>
      </c>
      <c r="M163" s="615">
        <v>10342.119999999999</v>
      </c>
      <c r="N163" s="614">
        <v>67</v>
      </c>
      <c r="O163" s="697">
        <v>65</v>
      </c>
      <c r="P163" s="615">
        <v>3550.280000000002</v>
      </c>
      <c r="Q163" s="630">
        <v>0.34328358208955245</v>
      </c>
      <c r="R163" s="614">
        <v>23</v>
      </c>
      <c r="S163" s="630">
        <v>0.34328358208955223</v>
      </c>
      <c r="T163" s="697">
        <v>22.5</v>
      </c>
      <c r="U163" s="653">
        <v>0.34615384615384615</v>
      </c>
    </row>
    <row r="164" spans="1:21" ht="14.4" customHeight="1" x14ac:dyDescent="0.3">
      <c r="A164" s="613">
        <v>25</v>
      </c>
      <c r="B164" s="614" t="s">
        <v>1112</v>
      </c>
      <c r="C164" s="614" t="s">
        <v>1247</v>
      </c>
      <c r="D164" s="695" t="s">
        <v>1783</v>
      </c>
      <c r="E164" s="696" t="s">
        <v>1266</v>
      </c>
      <c r="F164" s="614" t="s">
        <v>1243</v>
      </c>
      <c r="G164" s="614" t="s">
        <v>1287</v>
      </c>
      <c r="H164" s="614" t="s">
        <v>770</v>
      </c>
      <c r="I164" s="614" t="s">
        <v>1067</v>
      </c>
      <c r="J164" s="614" t="s">
        <v>1234</v>
      </c>
      <c r="K164" s="614" t="s">
        <v>1195</v>
      </c>
      <c r="L164" s="615">
        <v>149.52000000000001</v>
      </c>
      <c r="M164" s="615">
        <v>149.52000000000001</v>
      </c>
      <c r="N164" s="614">
        <v>1</v>
      </c>
      <c r="O164" s="697">
        <v>1</v>
      </c>
      <c r="P164" s="615"/>
      <c r="Q164" s="630">
        <v>0</v>
      </c>
      <c r="R164" s="614"/>
      <c r="S164" s="630">
        <v>0</v>
      </c>
      <c r="T164" s="697"/>
      <c r="U164" s="653">
        <v>0</v>
      </c>
    </row>
    <row r="165" spans="1:21" ht="14.4" customHeight="1" x14ac:dyDescent="0.3">
      <c r="A165" s="613">
        <v>25</v>
      </c>
      <c r="B165" s="614" t="s">
        <v>1112</v>
      </c>
      <c r="C165" s="614" t="s">
        <v>1247</v>
      </c>
      <c r="D165" s="695" t="s">
        <v>1783</v>
      </c>
      <c r="E165" s="696" t="s">
        <v>1266</v>
      </c>
      <c r="F165" s="614" t="s">
        <v>1243</v>
      </c>
      <c r="G165" s="614" t="s">
        <v>1287</v>
      </c>
      <c r="H165" s="614" t="s">
        <v>325</v>
      </c>
      <c r="I165" s="614" t="s">
        <v>1288</v>
      </c>
      <c r="J165" s="614" t="s">
        <v>864</v>
      </c>
      <c r="K165" s="614" t="s">
        <v>1196</v>
      </c>
      <c r="L165" s="615">
        <v>150.04</v>
      </c>
      <c r="M165" s="615">
        <v>300.08</v>
      </c>
      <c r="N165" s="614">
        <v>2</v>
      </c>
      <c r="O165" s="697">
        <v>2</v>
      </c>
      <c r="P165" s="615">
        <v>150.04</v>
      </c>
      <c r="Q165" s="630">
        <v>0.5</v>
      </c>
      <c r="R165" s="614">
        <v>1</v>
      </c>
      <c r="S165" s="630">
        <v>0.5</v>
      </c>
      <c r="T165" s="697">
        <v>1</v>
      </c>
      <c r="U165" s="653">
        <v>0.5</v>
      </c>
    </row>
    <row r="166" spans="1:21" ht="14.4" customHeight="1" x14ac:dyDescent="0.3">
      <c r="A166" s="613">
        <v>25</v>
      </c>
      <c r="B166" s="614" t="s">
        <v>1112</v>
      </c>
      <c r="C166" s="614" t="s">
        <v>1247</v>
      </c>
      <c r="D166" s="695" t="s">
        <v>1783</v>
      </c>
      <c r="E166" s="696" t="s">
        <v>1266</v>
      </c>
      <c r="F166" s="614" t="s">
        <v>1243</v>
      </c>
      <c r="G166" s="614" t="s">
        <v>1287</v>
      </c>
      <c r="H166" s="614" t="s">
        <v>325</v>
      </c>
      <c r="I166" s="614" t="s">
        <v>1288</v>
      </c>
      <c r="J166" s="614" t="s">
        <v>864</v>
      </c>
      <c r="K166" s="614" t="s">
        <v>1196</v>
      </c>
      <c r="L166" s="615">
        <v>154.36000000000001</v>
      </c>
      <c r="M166" s="615">
        <v>771.80000000000007</v>
      </c>
      <c r="N166" s="614">
        <v>5</v>
      </c>
      <c r="O166" s="697">
        <v>4.5</v>
      </c>
      <c r="P166" s="615">
        <v>154.36000000000001</v>
      </c>
      <c r="Q166" s="630">
        <v>0.2</v>
      </c>
      <c r="R166" s="614">
        <v>1</v>
      </c>
      <c r="S166" s="630">
        <v>0.2</v>
      </c>
      <c r="T166" s="697">
        <v>1</v>
      </c>
      <c r="U166" s="653">
        <v>0.22222222222222221</v>
      </c>
    </row>
    <row r="167" spans="1:21" ht="14.4" customHeight="1" x14ac:dyDescent="0.3">
      <c r="A167" s="613">
        <v>25</v>
      </c>
      <c r="B167" s="614" t="s">
        <v>1112</v>
      </c>
      <c r="C167" s="614" t="s">
        <v>1247</v>
      </c>
      <c r="D167" s="695" t="s">
        <v>1783</v>
      </c>
      <c r="E167" s="696" t="s">
        <v>1266</v>
      </c>
      <c r="F167" s="614" t="s">
        <v>1243</v>
      </c>
      <c r="G167" s="614" t="s">
        <v>1505</v>
      </c>
      <c r="H167" s="614" t="s">
        <v>325</v>
      </c>
      <c r="I167" s="614" t="s">
        <v>1506</v>
      </c>
      <c r="J167" s="614" t="s">
        <v>1507</v>
      </c>
      <c r="K167" s="614" t="s">
        <v>1508</v>
      </c>
      <c r="L167" s="615">
        <v>119.69</v>
      </c>
      <c r="M167" s="615">
        <v>119.69</v>
      </c>
      <c r="N167" s="614">
        <v>1</v>
      </c>
      <c r="O167" s="697">
        <v>1</v>
      </c>
      <c r="P167" s="615">
        <v>119.69</v>
      </c>
      <c r="Q167" s="630">
        <v>1</v>
      </c>
      <c r="R167" s="614">
        <v>1</v>
      </c>
      <c r="S167" s="630">
        <v>1</v>
      </c>
      <c r="T167" s="697">
        <v>1</v>
      </c>
      <c r="U167" s="653">
        <v>1</v>
      </c>
    </row>
    <row r="168" spans="1:21" ht="14.4" customHeight="1" x14ac:dyDescent="0.3">
      <c r="A168" s="613">
        <v>25</v>
      </c>
      <c r="B168" s="614" t="s">
        <v>1112</v>
      </c>
      <c r="C168" s="614" t="s">
        <v>1247</v>
      </c>
      <c r="D168" s="695" t="s">
        <v>1783</v>
      </c>
      <c r="E168" s="696" t="s">
        <v>1266</v>
      </c>
      <c r="F168" s="614" t="s">
        <v>1243</v>
      </c>
      <c r="G168" s="614" t="s">
        <v>1289</v>
      </c>
      <c r="H168" s="614" t="s">
        <v>325</v>
      </c>
      <c r="I168" s="614" t="s">
        <v>919</v>
      </c>
      <c r="J168" s="614" t="s">
        <v>920</v>
      </c>
      <c r="K168" s="614" t="s">
        <v>1209</v>
      </c>
      <c r="L168" s="615">
        <v>170.52</v>
      </c>
      <c r="M168" s="615">
        <v>170.52</v>
      </c>
      <c r="N168" s="614">
        <v>1</v>
      </c>
      <c r="O168" s="697">
        <v>1</v>
      </c>
      <c r="P168" s="615"/>
      <c r="Q168" s="630">
        <v>0</v>
      </c>
      <c r="R168" s="614"/>
      <c r="S168" s="630">
        <v>0</v>
      </c>
      <c r="T168" s="697"/>
      <c r="U168" s="653">
        <v>0</v>
      </c>
    </row>
    <row r="169" spans="1:21" ht="14.4" customHeight="1" x14ac:dyDescent="0.3">
      <c r="A169" s="613">
        <v>25</v>
      </c>
      <c r="B169" s="614" t="s">
        <v>1112</v>
      </c>
      <c r="C169" s="614" t="s">
        <v>1247</v>
      </c>
      <c r="D169" s="695" t="s">
        <v>1783</v>
      </c>
      <c r="E169" s="696" t="s">
        <v>1266</v>
      </c>
      <c r="F169" s="614" t="s">
        <v>1243</v>
      </c>
      <c r="G169" s="614" t="s">
        <v>1314</v>
      </c>
      <c r="H169" s="614" t="s">
        <v>325</v>
      </c>
      <c r="I169" s="614" t="s">
        <v>1339</v>
      </c>
      <c r="J169" s="614" t="s">
        <v>1316</v>
      </c>
      <c r="K169" s="614" t="s">
        <v>1340</v>
      </c>
      <c r="L169" s="615">
        <v>0</v>
      </c>
      <c r="M169" s="615">
        <v>0</v>
      </c>
      <c r="N169" s="614">
        <v>1</v>
      </c>
      <c r="O169" s="697">
        <v>1</v>
      </c>
      <c r="P169" s="615">
        <v>0</v>
      </c>
      <c r="Q169" s="630"/>
      <c r="R169" s="614">
        <v>1</v>
      </c>
      <c r="S169" s="630">
        <v>1</v>
      </c>
      <c r="T169" s="697">
        <v>1</v>
      </c>
      <c r="U169" s="653">
        <v>1</v>
      </c>
    </row>
    <row r="170" spans="1:21" ht="14.4" customHeight="1" x14ac:dyDescent="0.3">
      <c r="A170" s="613">
        <v>25</v>
      </c>
      <c r="B170" s="614" t="s">
        <v>1112</v>
      </c>
      <c r="C170" s="614" t="s">
        <v>1247</v>
      </c>
      <c r="D170" s="695" t="s">
        <v>1783</v>
      </c>
      <c r="E170" s="696" t="s">
        <v>1266</v>
      </c>
      <c r="F170" s="614" t="s">
        <v>1243</v>
      </c>
      <c r="G170" s="614" t="s">
        <v>1490</v>
      </c>
      <c r="H170" s="614" t="s">
        <v>325</v>
      </c>
      <c r="I170" s="614" t="s">
        <v>1491</v>
      </c>
      <c r="J170" s="614" t="s">
        <v>1492</v>
      </c>
      <c r="K170" s="614" t="s">
        <v>1338</v>
      </c>
      <c r="L170" s="615">
        <v>111.72</v>
      </c>
      <c r="M170" s="615">
        <v>223.44</v>
      </c>
      <c r="N170" s="614">
        <v>2</v>
      </c>
      <c r="O170" s="697">
        <v>2</v>
      </c>
      <c r="P170" s="615">
        <v>111.72</v>
      </c>
      <c r="Q170" s="630">
        <v>0.5</v>
      </c>
      <c r="R170" s="614">
        <v>1</v>
      </c>
      <c r="S170" s="630">
        <v>0.5</v>
      </c>
      <c r="T170" s="697">
        <v>1</v>
      </c>
      <c r="U170" s="653">
        <v>0.5</v>
      </c>
    </row>
    <row r="171" spans="1:21" ht="14.4" customHeight="1" x14ac:dyDescent="0.3">
      <c r="A171" s="613">
        <v>25</v>
      </c>
      <c r="B171" s="614" t="s">
        <v>1112</v>
      </c>
      <c r="C171" s="614" t="s">
        <v>1247</v>
      </c>
      <c r="D171" s="695" t="s">
        <v>1783</v>
      </c>
      <c r="E171" s="696" t="s">
        <v>1266</v>
      </c>
      <c r="F171" s="614" t="s">
        <v>1243</v>
      </c>
      <c r="G171" s="614" t="s">
        <v>1291</v>
      </c>
      <c r="H171" s="614" t="s">
        <v>325</v>
      </c>
      <c r="I171" s="614" t="s">
        <v>930</v>
      </c>
      <c r="J171" s="614" t="s">
        <v>931</v>
      </c>
      <c r="K171" s="614" t="s">
        <v>932</v>
      </c>
      <c r="L171" s="615">
        <v>147.31</v>
      </c>
      <c r="M171" s="615">
        <v>2356.9599999999996</v>
      </c>
      <c r="N171" s="614">
        <v>16</v>
      </c>
      <c r="O171" s="697">
        <v>12.5</v>
      </c>
      <c r="P171" s="615">
        <v>1031.1699999999998</v>
      </c>
      <c r="Q171" s="630">
        <v>0.4375</v>
      </c>
      <c r="R171" s="614">
        <v>7</v>
      </c>
      <c r="S171" s="630">
        <v>0.4375</v>
      </c>
      <c r="T171" s="697">
        <v>5</v>
      </c>
      <c r="U171" s="653">
        <v>0.4</v>
      </c>
    </row>
    <row r="172" spans="1:21" ht="14.4" customHeight="1" x14ac:dyDescent="0.3">
      <c r="A172" s="613">
        <v>25</v>
      </c>
      <c r="B172" s="614" t="s">
        <v>1112</v>
      </c>
      <c r="C172" s="614" t="s">
        <v>1247</v>
      </c>
      <c r="D172" s="695" t="s">
        <v>1783</v>
      </c>
      <c r="E172" s="696" t="s">
        <v>1266</v>
      </c>
      <c r="F172" s="614" t="s">
        <v>1243</v>
      </c>
      <c r="G172" s="614" t="s">
        <v>1291</v>
      </c>
      <c r="H172" s="614" t="s">
        <v>325</v>
      </c>
      <c r="I172" s="614" t="s">
        <v>1320</v>
      </c>
      <c r="J172" s="614" t="s">
        <v>931</v>
      </c>
      <c r="K172" s="614" t="s">
        <v>932</v>
      </c>
      <c r="L172" s="615">
        <v>147.31</v>
      </c>
      <c r="M172" s="615">
        <v>294.62</v>
      </c>
      <c r="N172" s="614">
        <v>2</v>
      </c>
      <c r="O172" s="697">
        <v>2</v>
      </c>
      <c r="P172" s="615">
        <v>147.31</v>
      </c>
      <c r="Q172" s="630">
        <v>0.5</v>
      </c>
      <c r="R172" s="614">
        <v>1</v>
      </c>
      <c r="S172" s="630">
        <v>0.5</v>
      </c>
      <c r="T172" s="697">
        <v>1</v>
      </c>
      <c r="U172" s="653">
        <v>0.5</v>
      </c>
    </row>
    <row r="173" spans="1:21" ht="14.4" customHeight="1" x14ac:dyDescent="0.3">
      <c r="A173" s="613">
        <v>25</v>
      </c>
      <c r="B173" s="614" t="s">
        <v>1112</v>
      </c>
      <c r="C173" s="614" t="s">
        <v>1247</v>
      </c>
      <c r="D173" s="695" t="s">
        <v>1783</v>
      </c>
      <c r="E173" s="696" t="s">
        <v>1266</v>
      </c>
      <c r="F173" s="614" t="s">
        <v>1243</v>
      </c>
      <c r="G173" s="614" t="s">
        <v>1395</v>
      </c>
      <c r="H173" s="614" t="s">
        <v>325</v>
      </c>
      <c r="I173" s="614" t="s">
        <v>1461</v>
      </c>
      <c r="J173" s="614" t="s">
        <v>1397</v>
      </c>
      <c r="K173" s="614" t="s">
        <v>1398</v>
      </c>
      <c r="L173" s="615">
        <v>816.97</v>
      </c>
      <c r="M173" s="615">
        <v>816.97</v>
      </c>
      <c r="N173" s="614">
        <v>1</v>
      </c>
      <c r="O173" s="697">
        <v>1</v>
      </c>
      <c r="P173" s="615"/>
      <c r="Q173" s="630">
        <v>0</v>
      </c>
      <c r="R173" s="614"/>
      <c r="S173" s="630">
        <v>0</v>
      </c>
      <c r="T173" s="697"/>
      <c r="U173" s="653">
        <v>0</v>
      </c>
    </row>
    <row r="174" spans="1:21" ht="14.4" customHeight="1" x14ac:dyDescent="0.3">
      <c r="A174" s="613">
        <v>25</v>
      </c>
      <c r="B174" s="614" t="s">
        <v>1112</v>
      </c>
      <c r="C174" s="614" t="s">
        <v>1247</v>
      </c>
      <c r="D174" s="695" t="s">
        <v>1783</v>
      </c>
      <c r="E174" s="696" t="s">
        <v>1266</v>
      </c>
      <c r="F174" s="614" t="s">
        <v>1243</v>
      </c>
      <c r="G174" s="614" t="s">
        <v>1399</v>
      </c>
      <c r="H174" s="614" t="s">
        <v>770</v>
      </c>
      <c r="I174" s="614" t="s">
        <v>1400</v>
      </c>
      <c r="J174" s="614" t="s">
        <v>1401</v>
      </c>
      <c r="K174" s="614" t="s">
        <v>1402</v>
      </c>
      <c r="L174" s="615">
        <v>340.97</v>
      </c>
      <c r="M174" s="615">
        <v>340.97</v>
      </c>
      <c r="N174" s="614">
        <v>1</v>
      </c>
      <c r="O174" s="697">
        <v>1</v>
      </c>
      <c r="P174" s="615"/>
      <c r="Q174" s="630">
        <v>0</v>
      </c>
      <c r="R174" s="614"/>
      <c r="S174" s="630">
        <v>0</v>
      </c>
      <c r="T174" s="697"/>
      <c r="U174" s="653">
        <v>0</v>
      </c>
    </row>
    <row r="175" spans="1:21" ht="14.4" customHeight="1" x14ac:dyDescent="0.3">
      <c r="A175" s="613">
        <v>25</v>
      </c>
      <c r="B175" s="614" t="s">
        <v>1112</v>
      </c>
      <c r="C175" s="614" t="s">
        <v>1247</v>
      </c>
      <c r="D175" s="695" t="s">
        <v>1783</v>
      </c>
      <c r="E175" s="696" t="s">
        <v>1266</v>
      </c>
      <c r="F175" s="614" t="s">
        <v>1243</v>
      </c>
      <c r="G175" s="614" t="s">
        <v>1399</v>
      </c>
      <c r="H175" s="614" t="s">
        <v>770</v>
      </c>
      <c r="I175" s="614" t="s">
        <v>1509</v>
      </c>
      <c r="J175" s="614" t="s">
        <v>1401</v>
      </c>
      <c r="K175" s="614" t="s">
        <v>1510</v>
      </c>
      <c r="L175" s="615">
        <v>113.66</v>
      </c>
      <c r="M175" s="615">
        <v>113.66</v>
      </c>
      <c r="N175" s="614">
        <v>1</v>
      </c>
      <c r="O175" s="697">
        <v>1</v>
      </c>
      <c r="P175" s="615"/>
      <c r="Q175" s="630">
        <v>0</v>
      </c>
      <c r="R175" s="614"/>
      <c r="S175" s="630">
        <v>0</v>
      </c>
      <c r="T175" s="697"/>
      <c r="U175" s="653">
        <v>0</v>
      </c>
    </row>
    <row r="176" spans="1:21" ht="14.4" customHeight="1" x14ac:dyDescent="0.3">
      <c r="A176" s="613">
        <v>25</v>
      </c>
      <c r="B176" s="614" t="s">
        <v>1112</v>
      </c>
      <c r="C176" s="614" t="s">
        <v>1247</v>
      </c>
      <c r="D176" s="695" t="s">
        <v>1783</v>
      </c>
      <c r="E176" s="696" t="s">
        <v>1266</v>
      </c>
      <c r="F176" s="614" t="s">
        <v>1243</v>
      </c>
      <c r="G176" s="614" t="s">
        <v>1511</v>
      </c>
      <c r="H176" s="614" t="s">
        <v>325</v>
      </c>
      <c r="I176" s="614" t="s">
        <v>1512</v>
      </c>
      <c r="J176" s="614" t="s">
        <v>1513</v>
      </c>
      <c r="K176" s="614" t="s">
        <v>1225</v>
      </c>
      <c r="L176" s="615">
        <v>51.31</v>
      </c>
      <c r="M176" s="615">
        <v>51.31</v>
      </c>
      <c r="N176" s="614">
        <v>1</v>
      </c>
      <c r="O176" s="697">
        <v>1</v>
      </c>
      <c r="P176" s="615">
        <v>51.31</v>
      </c>
      <c r="Q176" s="630">
        <v>1</v>
      </c>
      <c r="R176" s="614">
        <v>1</v>
      </c>
      <c r="S176" s="630">
        <v>1</v>
      </c>
      <c r="T176" s="697">
        <v>1</v>
      </c>
      <c r="U176" s="653">
        <v>1</v>
      </c>
    </row>
    <row r="177" spans="1:21" ht="14.4" customHeight="1" x14ac:dyDescent="0.3">
      <c r="A177" s="613">
        <v>25</v>
      </c>
      <c r="B177" s="614" t="s">
        <v>1112</v>
      </c>
      <c r="C177" s="614" t="s">
        <v>1247</v>
      </c>
      <c r="D177" s="695" t="s">
        <v>1783</v>
      </c>
      <c r="E177" s="696" t="s">
        <v>1266</v>
      </c>
      <c r="F177" s="614" t="s">
        <v>1243</v>
      </c>
      <c r="G177" s="614" t="s">
        <v>1292</v>
      </c>
      <c r="H177" s="614" t="s">
        <v>770</v>
      </c>
      <c r="I177" s="614" t="s">
        <v>1307</v>
      </c>
      <c r="J177" s="614" t="s">
        <v>714</v>
      </c>
      <c r="K177" s="614" t="s">
        <v>1308</v>
      </c>
      <c r="L177" s="615">
        <v>24.22</v>
      </c>
      <c r="M177" s="615">
        <v>217.98</v>
      </c>
      <c r="N177" s="614">
        <v>9</v>
      </c>
      <c r="O177" s="697">
        <v>7.5</v>
      </c>
      <c r="P177" s="615">
        <v>145.32</v>
      </c>
      <c r="Q177" s="630">
        <v>0.66666666666666663</v>
      </c>
      <c r="R177" s="614">
        <v>6</v>
      </c>
      <c r="S177" s="630">
        <v>0.66666666666666663</v>
      </c>
      <c r="T177" s="697">
        <v>5.5</v>
      </c>
      <c r="U177" s="653">
        <v>0.73333333333333328</v>
      </c>
    </row>
    <row r="178" spans="1:21" ht="14.4" customHeight="1" x14ac:dyDescent="0.3">
      <c r="A178" s="613">
        <v>25</v>
      </c>
      <c r="B178" s="614" t="s">
        <v>1112</v>
      </c>
      <c r="C178" s="614" t="s">
        <v>1247</v>
      </c>
      <c r="D178" s="695" t="s">
        <v>1783</v>
      </c>
      <c r="E178" s="696" t="s">
        <v>1266</v>
      </c>
      <c r="F178" s="614" t="s">
        <v>1243</v>
      </c>
      <c r="G178" s="614" t="s">
        <v>1292</v>
      </c>
      <c r="H178" s="614" t="s">
        <v>770</v>
      </c>
      <c r="I178" s="614" t="s">
        <v>776</v>
      </c>
      <c r="J178" s="614" t="s">
        <v>714</v>
      </c>
      <c r="K178" s="614" t="s">
        <v>1219</v>
      </c>
      <c r="L178" s="615">
        <v>48.42</v>
      </c>
      <c r="M178" s="615">
        <v>48.42</v>
      </c>
      <c r="N178" s="614">
        <v>1</v>
      </c>
      <c r="O178" s="697">
        <v>1</v>
      </c>
      <c r="P178" s="615"/>
      <c r="Q178" s="630">
        <v>0</v>
      </c>
      <c r="R178" s="614"/>
      <c r="S178" s="630">
        <v>0</v>
      </c>
      <c r="T178" s="697"/>
      <c r="U178" s="653">
        <v>0</v>
      </c>
    </row>
    <row r="179" spans="1:21" ht="14.4" customHeight="1" x14ac:dyDescent="0.3">
      <c r="A179" s="613">
        <v>25</v>
      </c>
      <c r="B179" s="614" t="s">
        <v>1112</v>
      </c>
      <c r="C179" s="614" t="s">
        <v>1247</v>
      </c>
      <c r="D179" s="695" t="s">
        <v>1783</v>
      </c>
      <c r="E179" s="696" t="s">
        <v>1266</v>
      </c>
      <c r="F179" s="614" t="s">
        <v>1243</v>
      </c>
      <c r="G179" s="614" t="s">
        <v>1292</v>
      </c>
      <c r="H179" s="614" t="s">
        <v>325</v>
      </c>
      <c r="I179" s="614" t="s">
        <v>1298</v>
      </c>
      <c r="J179" s="614" t="s">
        <v>714</v>
      </c>
      <c r="K179" s="614" t="s">
        <v>1299</v>
      </c>
      <c r="L179" s="615">
        <v>24.22</v>
      </c>
      <c r="M179" s="615">
        <v>48.44</v>
      </c>
      <c r="N179" s="614">
        <v>2</v>
      </c>
      <c r="O179" s="697">
        <v>2</v>
      </c>
      <c r="P179" s="615"/>
      <c r="Q179" s="630">
        <v>0</v>
      </c>
      <c r="R179" s="614"/>
      <c r="S179" s="630">
        <v>0</v>
      </c>
      <c r="T179" s="697"/>
      <c r="U179" s="653">
        <v>0</v>
      </c>
    </row>
    <row r="180" spans="1:21" ht="14.4" customHeight="1" x14ac:dyDescent="0.3">
      <c r="A180" s="613">
        <v>25</v>
      </c>
      <c r="B180" s="614" t="s">
        <v>1112</v>
      </c>
      <c r="C180" s="614" t="s">
        <v>1247</v>
      </c>
      <c r="D180" s="695" t="s">
        <v>1783</v>
      </c>
      <c r="E180" s="696" t="s">
        <v>1266</v>
      </c>
      <c r="F180" s="614" t="s">
        <v>1243</v>
      </c>
      <c r="G180" s="614" t="s">
        <v>1325</v>
      </c>
      <c r="H180" s="614" t="s">
        <v>325</v>
      </c>
      <c r="I180" s="614" t="s">
        <v>1326</v>
      </c>
      <c r="J180" s="614" t="s">
        <v>1327</v>
      </c>
      <c r="K180" s="614" t="s">
        <v>1328</v>
      </c>
      <c r="L180" s="615">
        <v>0</v>
      </c>
      <c r="M180" s="615">
        <v>0</v>
      </c>
      <c r="N180" s="614">
        <v>1</v>
      </c>
      <c r="O180" s="697">
        <v>1</v>
      </c>
      <c r="P180" s="615"/>
      <c r="Q180" s="630"/>
      <c r="R180" s="614"/>
      <c r="S180" s="630">
        <v>0</v>
      </c>
      <c r="T180" s="697"/>
      <c r="U180" s="653">
        <v>0</v>
      </c>
    </row>
    <row r="181" spans="1:21" ht="14.4" customHeight="1" x14ac:dyDescent="0.3">
      <c r="A181" s="613">
        <v>25</v>
      </c>
      <c r="B181" s="614" t="s">
        <v>1112</v>
      </c>
      <c r="C181" s="614" t="s">
        <v>1247</v>
      </c>
      <c r="D181" s="695" t="s">
        <v>1783</v>
      </c>
      <c r="E181" s="696" t="s">
        <v>1266</v>
      </c>
      <c r="F181" s="614" t="s">
        <v>1243</v>
      </c>
      <c r="G181" s="614" t="s">
        <v>1416</v>
      </c>
      <c r="H181" s="614" t="s">
        <v>325</v>
      </c>
      <c r="I181" s="614" t="s">
        <v>1514</v>
      </c>
      <c r="J181" s="614" t="s">
        <v>461</v>
      </c>
      <c r="K181" s="614" t="s">
        <v>1515</v>
      </c>
      <c r="L181" s="615">
        <v>0</v>
      </c>
      <c r="M181" s="615">
        <v>0</v>
      </c>
      <c r="N181" s="614">
        <v>1</v>
      </c>
      <c r="O181" s="697">
        <v>0.5</v>
      </c>
      <c r="P181" s="615"/>
      <c r="Q181" s="630"/>
      <c r="R181" s="614"/>
      <c r="S181" s="630">
        <v>0</v>
      </c>
      <c r="T181" s="697"/>
      <c r="U181" s="653">
        <v>0</v>
      </c>
    </row>
    <row r="182" spans="1:21" ht="14.4" customHeight="1" x14ac:dyDescent="0.3">
      <c r="A182" s="613">
        <v>25</v>
      </c>
      <c r="B182" s="614" t="s">
        <v>1112</v>
      </c>
      <c r="C182" s="614" t="s">
        <v>1247</v>
      </c>
      <c r="D182" s="695" t="s">
        <v>1783</v>
      </c>
      <c r="E182" s="696" t="s">
        <v>1266</v>
      </c>
      <c r="F182" s="614" t="s">
        <v>1243</v>
      </c>
      <c r="G182" s="614" t="s">
        <v>1475</v>
      </c>
      <c r="H182" s="614" t="s">
        <v>325</v>
      </c>
      <c r="I182" s="614" t="s">
        <v>1516</v>
      </c>
      <c r="J182" s="614" t="s">
        <v>1477</v>
      </c>
      <c r="K182" s="614" t="s">
        <v>566</v>
      </c>
      <c r="L182" s="615">
        <v>25.07</v>
      </c>
      <c r="M182" s="615">
        <v>50.14</v>
      </c>
      <c r="N182" s="614">
        <v>2</v>
      </c>
      <c r="O182" s="697">
        <v>2</v>
      </c>
      <c r="P182" s="615">
        <v>25.07</v>
      </c>
      <c r="Q182" s="630">
        <v>0.5</v>
      </c>
      <c r="R182" s="614">
        <v>1</v>
      </c>
      <c r="S182" s="630">
        <v>0.5</v>
      </c>
      <c r="T182" s="697">
        <v>1</v>
      </c>
      <c r="U182" s="653">
        <v>0.5</v>
      </c>
    </row>
    <row r="183" spans="1:21" ht="14.4" customHeight="1" x14ac:dyDescent="0.3">
      <c r="A183" s="613">
        <v>25</v>
      </c>
      <c r="B183" s="614" t="s">
        <v>1112</v>
      </c>
      <c r="C183" s="614" t="s">
        <v>1247</v>
      </c>
      <c r="D183" s="695" t="s">
        <v>1783</v>
      </c>
      <c r="E183" s="696" t="s">
        <v>1266</v>
      </c>
      <c r="F183" s="614" t="s">
        <v>1243</v>
      </c>
      <c r="G183" s="614" t="s">
        <v>1475</v>
      </c>
      <c r="H183" s="614" t="s">
        <v>325</v>
      </c>
      <c r="I183" s="614" t="s">
        <v>1517</v>
      </c>
      <c r="J183" s="614" t="s">
        <v>1477</v>
      </c>
      <c r="K183" s="614" t="s">
        <v>1518</v>
      </c>
      <c r="L183" s="615">
        <v>50.14</v>
      </c>
      <c r="M183" s="615">
        <v>50.14</v>
      </c>
      <c r="N183" s="614">
        <v>1</v>
      </c>
      <c r="O183" s="697">
        <v>1</v>
      </c>
      <c r="P183" s="615"/>
      <c r="Q183" s="630">
        <v>0</v>
      </c>
      <c r="R183" s="614"/>
      <c r="S183" s="630">
        <v>0</v>
      </c>
      <c r="T183" s="697"/>
      <c r="U183" s="653">
        <v>0</v>
      </c>
    </row>
    <row r="184" spans="1:21" ht="14.4" customHeight="1" x14ac:dyDescent="0.3">
      <c r="A184" s="613">
        <v>25</v>
      </c>
      <c r="B184" s="614" t="s">
        <v>1112</v>
      </c>
      <c r="C184" s="614" t="s">
        <v>1247</v>
      </c>
      <c r="D184" s="695" t="s">
        <v>1783</v>
      </c>
      <c r="E184" s="696" t="s">
        <v>1267</v>
      </c>
      <c r="F184" s="614" t="s">
        <v>1243</v>
      </c>
      <c r="G184" s="614" t="s">
        <v>1287</v>
      </c>
      <c r="H184" s="614" t="s">
        <v>770</v>
      </c>
      <c r="I184" s="614" t="s">
        <v>956</v>
      </c>
      <c r="J184" s="614" t="s">
        <v>864</v>
      </c>
      <c r="K184" s="614" t="s">
        <v>1196</v>
      </c>
      <c r="L184" s="615">
        <v>150.04</v>
      </c>
      <c r="M184" s="615">
        <v>1800.48</v>
      </c>
      <c r="N184" s="614">
        <v>12</v>
      </c>
      <c r="O184" s="697">
        <v>11</v>
      </c>
      <c r="P184" s="615">
        <v>1050.28</v>
      </c>
      <c r="Q184" s="630">
        <v>0.58333333333333326</v>
      </c>
      <c r="R184" s="614">
        <v>7</v>
      </c>
      <c r="S184" s="630">
        <v>0.58333333333333337</v>
      </c>
      <c r="T184" s="697">
        <v>7</v>
      </c>
      <c r="U184" s="653">
        <v>0.63636363636363635</v>
      </c>
    </row>
    <row r="185" spans="1:21" ht="14.4" customHeight="1" x14ac:dyDescent="0.3">
      <c r="A185" s="613">
        <v>25</v>
      </c>
      <c r="B185" s="614" t="s">
        <v>1112</v>
      </c>
      <c r="C185" s="614" t="s">
        <v>1247</v>
      </c>
      <c r="D185" s="695" t="s">
        <v>1783</v>
      </c>
      <c r="E185" s="696" t="s">
        <v>1267</v>
      </c>
      <c r="F185" s="614" t="s">
        <v>1243</v>
      </c>
      <c r="G185" s="614" t="s">
        <v>1287</v>
      </c>
      <c r="H185" s="614" t="s">
        <v>770</v>
      </c>
      <c r="I185" s="614" t="s">
        <v>956</v>
      </c>
      <c r="J185" s="614" t="s">
        <v>864</v>
      </c>
      <c r="K185" s="614" t="s">
        <v>1196</v>
      </c>
      <c r="L185" s="615">
        <v>154.36000000000001</v>
      </c>
      <c r="M185" s="615">
        <v>6174.4000000000015</v>
      </c>
      <c r="N185" s="614">
        <v>40</v>
      </c>
      <c r="O185" s="697">
        <v>31.5</v>
      </c>
      <c r="P185" s="615">
        <v>2778.4800000000009</v>
      </c>
      <c r="Q185" s="630">
        <v>0.45000000000000007</v>
      </c>
      <c r="R185" s="614">
        <v>18</v>
      </c>
      <c r="S185" s="630">
        <v>0.45</v>
      </c>
      <c r="T185" s="697">
        <v>14</v>
      </c>
      <c r="U185" s="653">
        <v>0.44444444444444442</v>
      </c>
    </row>
    <row r="186" spans="1:21" ht="14.4" customHeight="1" x14ac:dyDescent="0.3">
      <c r="A186" s="613">
        <v>25</v>
      </c>
      <c r="B186" s="614" t="s">
        <v>1112</v>
      </c>
      <c r="C186" s="614" t="s">
        <v>1247</v>
      </c>
      <c r="D186" s="695" t="s">
        <v>1783</v>
      </c>
      <c r="E186" s="696" t="s">
        <v>1267</v>
      </c>
      <c r="F186" s="614" t="s">
        <v>1243</v>
      </c>
      <c r="G186" s="614" t="s">
        <v>1287</v>
      </c>
      <c r="H186" s="614" t="s">
        <v>770</v>
      </c>
      <c r="I186" s="614" t="s">
        <v>1478</v>
      </c>
      <c r="J186" s="614" t="s">
        <v>1479</v>
      </c>
      <c r="K186" s="614" t="s">
        <v>1195</v>
      </c>
      <c r="L186" s="615">
        <v>107.86</v>
      </c>
      <c r="M186" s="615">
        <v>107.86</v>
      </c>
      <c r="N186" s="614">
        <v>1</v>
      </c>
      <c r="O186" s="697">
        <v>1</v>
      </c>
      <c r="P186" s="615"/>
      <c r="Q186" s="630">
        <v>0</v>
      </c>
      <c r="R186" s="614"/>
      <c r="S186" s="630">
        <v>0</v>
      </c>
      <c r="T186" s="697"/>
      <c r="U186" s="653">
        <v>0</v>
      </c>
    </row>
    <row r="187" spans="1:21" ht="14.4" customHeight="1" x14ac:dyDescent="0.3">
      <c r="A187" s="613">
        <v>25</v>
      </c>
      <c r="B187" s="614" t="s">
        <v>1112</v>
      </c>
      <c r="C187" s="614" t="s">
        <v>1247</v>
      </c>
      <c r="D187" s="695" t="s">
        <v>1783</v>
      </c>
      <c r="E187" s="696" t="s">
        <v>1267</v>
      </c>
      <c r="F187" s="614" t="s">
        <v>1243</v>
      </c>
      <c r="G187" s="614" t="s">
        <v>1287</v>
      </c>
      <c r="H187" s="614" t="s">
        <v>770</v>
      </c>
      <c r="I187" s="614" t="s">
        <v>1067</v>
      </c>
      <c r="J187" s="614" t="s">
        <v>1234</v>
      </c>
      <c r="K187" s="614" t="s">
        <v>1195</v>
      </c>
      <c r="L187" s="615">
        <v>145.02000000000001</v>
      </c>
      <c r="M187" s="615">
        <v>145.02000000000001</v>
      </c>
      <c r="N187" s="614">
        <v>1</v>
      </c>
      <c r="O187" s="697">
        <v>1</v>
      </c>
      <c r="P187" s="615">
        <v>145.02000000000001</v>
      </c>
      <c r="Q187" s="630">
        <v>1</v>
      </c>
      <c r="R187" s="614">
        <v>1</v>
      </c>
      <c r="S187" s="630">
        <v>1</v>
      </c>
      <c r="T187" s="697">
        <v>1</v>
      </c>
      <c r="U187" s="653">
        <v>1</v>
      </c>
    </row>
    <row r="188" spans="1:21" ht="14.4" customHeight="1" x14ac:dyDescent="0.3">
      <c r="A188" s="613">
        <v>25</v>
      </c>
      <c r="B188" s="614" t="s">
        <v>1112</v>
      </c>
      <c r="C188" s="614" t="s">
        <v>1247</v>
      </c>
      <c r="D188" s="695" t="s">
        <v>1783</v>
      </c>
      <c r="E188" s="696" t="s">
        <v>1267</v>
      </c>
      <c r="F188" s="614" t="s">
        <v>1243</v>
      </c>
      <c r="G188" s="614" t="s">
        <v>1287</v>
      </c>
      <c r="H188" s="614" t="s">
        <v>770</v>
      </c>
      <c r="I188" s="614" t="s">
        <v>1067</v>
      </c>
      <c r="J188" s="614" t="s">
        <v>1234</v>
      </c>
      <c r="K188" s="614" t="s">
        <v>1195</v>
      </c>
      <c r="L188" s="615">
        <v>149.52000000000001</v>
      </c>
      <c r="M188" s="615">
        <v>299.04000000000002</v>
      </c>
      <c r="N188" s="614">
        <v>2</v>
      </c>
      <c r="O188" s="697">
        <v>2</v>
      </c>
      <c r="P188" s="615">
        <v>149.52000000000001</v>
      </c>
      <c r="Q188" s="630">
        <v>0.5</v>
      </c>
      <c r="R188" s="614">
        <v>1</v>
      </c>
      <c r="S188" s="630">
        <v>0.5</v>
      </c>
      <c r="T188" s="697">
        <v>1</v>
      </c>
      <c r="U188" s="653">
        <v>0.5</v>
      </c>
    </row>
    <row r="189" spans="1:21" ht="14.4" customHeight="1" x14ac:dyDescent="0.3">
      <c r="A189" s="613">
        <v>25</v>
      </c>
      <c r="B189" s="614" t="s">
        <v>1112</v>
      </c>
      <c r="C189" s="614" t="s">
        <v>1247</v>
      </c>
      <c r="D189" s="695" t="s">
        <v>1783</v>
      </c>
      <c r="E189" s="696" t="s">
        <v>1267</v>
      </c>
      <c r="F189" s="614" t="s">
        <v>1243</v>
      </c>
      <c r="G189" s="614" t="s">
        <v>1287</v>
      </c>
      <c r="H189" s="614" t="s">
        <v>770</v>
      </c>
      <c r="I189" s="614" t="s">
        <v>1519</v>
      </c>
      <c r="J189" s="614" t="s">
        <v>1520</v>
      </c>
      <c r="K189" s="614" t="s">
        <v>1521</v>
      </c>
      <c r="L189" s="615">
        <v>95.36</v>
      </c>
      <c r="M189" s="615">
        <v>95.36</v>
      </c>
      <c r="N189" s="614">
        <v>1</v>
      </c>
      <c r="O189" s="697">
        <v>1</v>
      </c>
      <c r="P189" s="615">
        <v>95.36</v>
      </c>
      <c r="Q189" s="630">
        <v>1</v>
      </c>
      <c r="R189" s="614">
        <v>1</v>
      </c>
      <c r="S189" s="630">
        <v>1</v>
      </c>
      <c r="T189" s="697">
        <v>1</v>
      </c>
      <c r="U189" s="653">
        <v>1</v>
      </c>
    </row>
    <row r="190" spans="1:21" ht="14.4" customHeight="1" x14ac:dyDescent="0.3">
      <c r="A190" s="613">
        <v>25</v>
      </c>
      <c r="B190" s="614" t="s">
        <v>1112</v>
      </c>
      <c r="C190" s="614" t="s">
        <v>1247</v>
      </c>
      <c r="D190" s="695" t="s">
        <v>1783</v>
      </c>
      <c r="E190" s="696" t="s">
        <v>1267</v>
      </c>
      <c r="F190" s="614" t="s">
        <v>1243</v>
      </c>
      <c r="G190" s="614" t="s">
        <v>1522</v>
      </c>
      <c r="H190" s="614" t="s">
        <v>325</v>
      </c>
      <c r="I190" s="614" t="s">
        <v>940</v>
      </c>
      <c r="J190" s="614" t="s">
        <v>1523</v>
      </c>
      <c r="K190" s="614" t="s">
        <v>1524</v>
      </c>
      <c r="L190" s="615">
        <v>43.76</v>
      </c>
      <c r="M190" s="615">
        <v>43.76</v>
      </c>
      <c r="N190" s="614">
        <v>1</v>
      </c>
      <c r="O190" s="697">
        <v>0.5</v>
      </c>
      <c r="P190" s="615"/>
      <c r="Q190" s="630">
        <v>0</v>
      </c>
      <c r="R190" s="614"/>
      <c r="S190" s="630">
        <v>0</v>
      </c>
      <c r="T190" s="697"/>
      <c r="U190" s="653">
        <v>0</v>
      </c>
    </row>
    <row r="191" spans="1:21" ht="14.4" customHeight="1" x14ac:dyDescent="0.3">
      <c r="A191" s="613">
        <v>25</v>
      </c>
      <c r="B191" s="614" t="s">
        <v>1112</v>
      </c>
      <c r="C191" s="614" t="s">
        <v>1247</v>
      </c>
      <c r="D191" s="695" t="s">
        <v>1783</v>
      </c>
      <c r="E191" s="696" t="s">
        <v>1267</v>
      </c>
      <c r="F191" s="614" t="s">
        <v>1243</v>
      </c>
      <c r="G191" s="614" t="s">
        <v>1289</v>
      </c>
      <c r="H191" s="614" t="s">
        <v>325</v>
      </c>
      <c r="I191" s="614" t="s">
        <v>1337</v>
      </c>
      <c r="J191" s="614" t="s">
        <v>920</v>
      </c>
      <c r="K191" s="614" t="s">
        <v>1338</v>
      </c>
      <c r="L191" s="615">
        <v>0</v>
      </c>
      <c r="M191" s="615">
        <v>0</v>
      </c>
      <c r="N191" s="614">
        <v>2</v>
      </c>
      <c r="O191" s="697">
        <v>2</v>
      </c>
      <c r="P191" s="615">
        <v>0</v>
      </c>
      <c r="Q191" s="630"/>
      <c r="R191" s="614">
        <v>2</v>
      </c>
      <c r="S191" s="630">
        <v>1</v>
      </c>
      <c r="T191" s="697">
        <v>2</v>
      </c>
      <c r="U191" s="653">
        <v>1</v>
      </c>
    </row>
    <row r="192" spans="1:21" ht="14.4" customHeight="1" x14ac:dyDescent="0.3">
      <c r="A192" s="613">
        <v>25</v>
      </c>
      <c r="B192" s="614" t="s">
        <v>1112</v>
      </c>
      <c r="C192" s="614" t="s">
        <v>1247</v>
      </c>
      <c r="D192" s="695" t="s">
        <v>1783</v>
      </c>
      <c r="E192" s="696" t="s">
        <v>1267</v>
      </c>
      <c r="F192" s="614" t="s">
        <v>1243</v>
      </c>
      <c r="G192" s="614" t="s">
        <v>1442</v>
      </c>
      <c r="H192" s="614" t="s">
        <v>325</v>
      </c>
      <c r="I192" s="614" t="s">
        <v>1525</v>
      </c>
      <c r="J192" s="614" t="s">
        <v>1526</v>
      </c>
      <c r="K192" s="614" t="s">
        <v>1527</v>
      </c>
      <c r="L192" s="615">
        <v>39.74</v>
      </c>
      <c r="M192" s="615">
        <v>119.22</v>
      </c>
      <c r="N192" s="614">
        <v>3</v>
      </c>
      <c r="O192" s="697">
        <v>1</v>
      </c>
      <c r="P192" s="615"/>
      <c r="Q192" s="630">
        <v>0</v>
      </c>
      <c r="R192" s="614"/>
      <c r="S192" s="630">
        <v>0</v>
      </c>
      <c r="T192" s="697"/>
      <c r="U192" s="653">
        <v>0</v>
      </c>
    </row>
    <row r="193" spans="1:21" ht="14.4" customHeight="1" x14ac:dyDescent="0.3">
      <c r="A193" s="613">
        <v>25</v>
      </c>
      <c r="B193" s="614" t="s">
        <v>1112</v>
      </c>
      <c r="C193" s="614" t="s">
        <v>1247</v>
      </c>
      <c r="D193" s="695" t="s">
        <v>1783</v>
      </c>
      <c r="E193" s="696" t="s">
        <v>1267</v>
      </c>
      <c r="F193" s="614" t="s">
        <v>1243</v>
      </c>
      <c r="G193" s="614" t="s">
        <v>1372</v>
      </c>
      <c r="H193" s="614" t="s">
        <v>325</v>
      </c>
      <c r="I193" s="614" t="s">
        <v>464</v>
      </c>
      <c r="J193" s="614" t="s">
        <v>465</v>
      </c>
      <c r="K193" s="614" t="s">
        <v>1373</v>
      </c>
      <c r="L193" s="615">
        <v>156.77000000000001</v>
      </c>
      <c r="M193" s="615">
        <v>313.54000000000002</v>
      </c>
      <c r="N193" s="614">
        <v>2</v>
      </c>
      <c r="O193" s="697">
        <v>1</v>
      </c>
      <c r="P193" s="615"/>
      <c r="Q193" s="630">
        <v>0</v>
      </c>
      <c r="R193" s="614"/>
      <c r="S193" s="630">
        <v>0</v>
      </c>
      <c r="T193" s="697"/>
      <c r="U193" s="653">
        <v>0</v>
      </c>
    </row>
    <row r="194" spans="1:21" ht="14.4" customHeight="1" x14ac:dyDescent="0.3">
      <c r="A194" s="613">
        <v>25</v>
      </c>
      <c r="B194" s="614" t="s">
        <v>1112</v>
      </c>
      <c r="C194" s="614" t="s">
        <v>1247</v>
      </c>
      <c r="D194" s="695" t="s">
        <v>1783</v>
      </c>
      <c r="E194" s="696" t="s">
        <v>1267</v>
      </c>
      <c r="F194" s="614" t="s">
        <v>1243</v>
      </c>
      <c r="G194" s="614" t="s">
        <v>1374</v>
      </c>
      <c r="H194" s="614" t="s">
        <v>325</v>
      </c>
      <c r="I194" s="614" t="s">
        <v>1375</v>
      </c>
      <c r="J194" s="614" t="s">
        <v>1376</v>
      </c>
      <c r="K194" s="614" t="s">
        <v>1377</v>
      </c>
      <c r="L194" s="615">
        <v>70.05</v>
      </c>
      <c r="M194" s="615">
        <v>70.05</v>
      </c>
      <c r="N194" s="614">
        <v>1</v>
      </c>
      <c r="O194" s="697">
        <v>1</v>
      </c>
      <c r="P194" s="615"/>
      <c r="Q194" s="630">
        <v>0</v>
      </c>
      <c r="R194" s="614"/>
      <c r="S194" s="630">
        <v>0</v>
      </c>
      <c r="T194" s="697"/>
      <c r="U194" s="653">
        <v>0</v>
      </c>
    </row>
    <row r="195" spans="1:21" ht="14.4" customHeight="1" x14ac:dyDescent="0.3">
      <c r="A195" s="613">
        <v>25</v>
      </c>
      <c r="B195" s="614" t="s">
        <v>1112</v>
      </c>
      <c r="C195" s="614" t="s">
        <v>1247</v>
      </c>
      <c r="D195" s="695" t="s">
        <v>1783</v>
      </c>
      <c r="E195" s="696" t="s">
        <v>1267</v>
      </c>
      <c r="F195" s="614" t="s">
        <v>1243</v>
      </c>
      <c r="G195" s="614" t="s">
        <v>1378</v>
      </c>
      <c r="H195" s="614" t="s">
        <v>325</v>
      </c>
      <c r="I195" s="614" t="s">
        <v>1379</v>
      </c>
      <c r="J195" s="614" t="s">
        <v>1380</v>
      </c>
      <c r="K195" s="614" t="s">
        <v>1381</v>
      </c>
      <c r="L195" s="615">
        <v>26.9</v>
      </c>
      <c r="M195" s="615">
        <v>26.9</v>
      </c>
      <c r="N195" s="614">
        <v>1</v>
      </c>
      <c r="O195" s="697">
        <v>1</v>
      </c>
      <c r="P195" s="615"/>
      <c r="Q195" s="630">
        <v>0</v>
      </c>
      <c r="R195" s="614"/>
      <c r="S195" s="630">
        <v>0</v>
      </c>
      <c r="T195" s="697"/>
      <c r="U195" s="653">
        <v>0</v>
      </c>
    </row>
    <row r="196" spans="1:21" ht="14.4" customHeight="1" x14ac:dyDescent="0.3">
      <c r="A196" s="613">
        <v>25</v>
      </c>
      <c r="B196" s="614" t="s">
        <v>1112</v>
      </c>
      <c r="C196" s="614" t="s">
        <v>1247</v>
      </c>
      <c r="D196" s="695" t="s">
        <v>1783</v>
      </c>
      <c r="E196" s="696" t="s">
        <v>1267</v>
      </c>
      <c r="F196" s="614" t="s">
        <v>1243</v>
      </c>
      <c r="G196" s="614" t="s">
        <v>1490</v>
      </c>
      <c r="H196" s="614" t="s">
        <v>325</v>
      </c>
      <c r="I196" s="614" t="s">
        <v>1491</v>
      </c>
      <c r="J196" s="614" t="s">
        <v>1492</v>
      </c>
      <c r="K196" s="614" t="s">
        <v>1338</v>
      </c>
      <c r="L196" s="615">
        <v>111.72</v>
      </c>
      <c r="M196" s="615">
        <v>223.44</v>
      </c>
      <c r="N196" s="614">
        <v>2</v>
      </c>
      <c r="O196" s="697">
        <v>1</v>
      </c>
      <c r="P196" s="615"/>
      <c r="Q196" s="630">
        <v>0</v>
      </c>
      <c r="R196" s="614"/>
      <c r="S196" s="630">
        <v>0</v>
      </c>
      <c r="T196" s="697"/>
      <c r="U196" s="653">
        <v>0</v>
      </c>
    </row>
    <row r="197" spans="1:21" ht="14.4" customHeight="1" x14ac:dyDescent="0.3">
      <c r="A197" s="613">
        <v>25</v>
      </c>
      <c r="B197" s="614" t="s">
        <v>1112</v>
      </c>
      <c r="C197" s="614" t="s">
        <v>1247</v>
      </c>
      <c r="D197" s="695" t="s">
        <v>1783</v>
      </c>
      <c r="E197" s="696" t="s">
        <v>1267</v>
      </c>
      <c r="F197" s="614" t="s">
        <v>1243</v>
      </c>
      <c r="G197" s="614" t="s">
        <v>1490</v>
      </c>
      <c r="H197" s="614" t="s">
        <v>325</v>
      </c>
      <c r="I197" s="614" t="s">
        <v>1491</v>
      </c>
      <c r="J197" s="614" t="s">
        <v>1492</v>
      </c>
      <c r="K197" s="614" t="s">
        <v>1338</v>
      </c>
      <c r="L197" s="615">
        <v>98.75</v>
      </c>
      <c r="M197" s="615">
        <v>197.5</v>
      </c>
      <c r="N197" s="614">
        <v>2</v>
      </c>
      <c r="O197" s="697">
        <v>1</v>
      </c>
      <c r="P197" s="615"/>
      <c r="Q197" s="630">
        <v>0</v>
      </c>
      <c r="R197" s="614"/>
      <c r="S197" s="630">
        <v>0</v>
      </c>
      <c r="T197" s="697"/>
      <c r="U197" s="653">
        <v>0</v>
      </c>
    </row>
    <row r="198" spans="1:21" ht="14.4" customHeight="1" x14ac:dyDescent="0.3">
      <c r="A198" s="613">
        <v>25</v>
      </c>
      <c r="B198" s="614" t="s">
        <v>1112</v>
      </c>
      <c r="C198" s="614" t="s">
        <v>1247</v>
      </c>
      <c r="D198" s="695" t="s">
        <v>1783</v>
      </c>
      <c r="E198" s="696" t="s">
        <v>1267</v>
      </c>
      <c r="F198" s="614" t="s">
        <v>1243</v>
      </c>
      <c r="G198" s="614" t="s">
        <v>1291</v>
      </c>
      <c r="H198" s="614" t="s">
        <v>325</v>
      </c>
      <c r="I198" s="614" t="s">
        <v>930</v>
      </c>
      <c r="J198" s="614" t="s">
        <v>931</v>
      </c>
      <c r="K198" s="614" t="s">
        <v>932</v>
      </c>
      <c r="L198" s="615">
        <v>147.31</v>
      </c>
      <c r="M198" s="615">
        <v>5597.78</v>
      </c>
      <c r="N198" s="614">
        <v>38</v>
      </c>
      <c r="O198" s="697">
        <v>19</v>
      </c>
      <c r="P198" s="615">
        <v>3682.7499999999995</v>
      </c>
      <c r="Q198" s="630">
        <v>0.6578947368421052</v>
      </c>
      <c r="R198" s="614">
        <v>25</v>
      </c>
      <c r="S198" s="630">
        <v>0.65789473684210531</v>
      </c>
      <c r="T198" s="697">
        <v>12</v>
      </c>
      <c r="U198" s="653">
        <v>0.63157894736842102</v>
      </c>
    </row>
    <row r="199" spans="1:21" ht="14.4" customHeight="1" x14ac:dyDescent="0.3">
      <c r="A199" s="613">
        <v>25</v>
      </c>
      <c r="B199" s="614" t="s">
        <v>1112</v>
      </c>
      <c r="C199" s="614" t="s">
        <v>1247</v>
      </c>
      <c r="D199" s="695" t="s">
        <v>1783</v>
      </c>
      <c r="E199" s="696" t="s">
        <v>1267</v>
      </c>
      <c r="F199" s="614" t="s">
        <v>1243</v>
      </c>
      <c r="G199" s="614" t="s">
        <v>1291</v>
      </c>
      <c r="H199" s="614" t="s">
        <v>325</v>
      </c>
      <c r="I199" s="614" t="s">
        <v>1079</v>
      </c>
      <c r="J199" s="614" t="s">
        <v>1080</v>
      </c>
      <c r="K199" s="614" t="s">
        <v>1311</v>
      </c>
      <c r="L199" s="615">
        <v>73.66</v>
      </c>
      <c r="M199" s="615">
        <v>441.96</v>
      </c>
      <c r="N199" s="614">
        <v>6</v>
      </c>
      <c r="O199" s="697">
        <v>2</v>
      </c>
      <c r="P199" s="615">
        <v>441.96</v>
      </c>
      <c r="Q199" s="630">
        <v>1</v>
      </c>
      <c r="R199" s="614">
        <v>6</v>
      </c>
      <c r="S199" s="630">
        <v>1</v>
      </c>
      <c r="T199" s="697">
        <v>2</v>
      </c>
      <c r="U199" s="653">
        <v>1</v>
      </c>
    </row>
    <row r="200" spans="1:21" ht="14.4" customHeight="1" x14ac:dyDescent="0.3">
      <c r="A200" s="613">
        <v>25</v>
      </c>
      <c r="B200" s="614" t="s">
        <v>1112</v>
      </c>
      <c r="C200" s="614" t="s">
        <v>1247</v>
      </c>
      <c r="D200" s="695" t="s">
        <v>1783</v>
      </c>
      <c r="E200" s="696" t="s">
        <v>1267</v>
      </c>
      <c r="F200" s="614" t="s">
        <v>1243</v>
      </c>
      <c r="G200" s="614" t="s">
        <v>1291</v>
      </c>
      <c r="H200" s="614" t="s">
        <v>325</v>
      </c>
      <c r="I200" s="614" t="s">
        <v>1320</v>
      </c>
      <c r="J200" s="614" t="s">
        <v>931</v>
      </c>
      <c r="K200" s="614" t="s">
        <v>932</v>
      </c>
      <c r="L200" s="615">
        <v>147.31</v>
      </c>
      <c r="M200" s="615">
        <v>441.93</v>
      </c>
      <c r="N200" s="614">
        <v>3</v>
      </c>
      <c r="O200" s="697">
        <v>1</v>
      </c>
      <c r="P200" s="615">
        <v>441.93</v>
      </c>
      <c r="Q200" s="630">
        <v>1</v>
      </c>
      <c r="R200" s="614">
        <v>3</v>
      </c>
      <c r="S200" s="630">
        <v>1</v>
      </c>
      <c r="T200" s="697">
        <v>1</v>
      </c>
      <c r="U200" s="653">
        <v>1</v>
      </c>
    </row>
    <row r="201" spans="1:21" ht="14.4" customHeight="1" x14ac:dyDescent="0.3">
      <c r="A201" s="613">
        <v>25</v>
      </c>
      <c r="B201" s="614" t="s">
        <v>1112</v>
      </c>
      <c r="C201" s="614" t="s">
        <v>1247</v>
      </c>
      <c r="D201" s="695" t="s">
        <v>1783</v>
      </c>
      <c r="E201" s="696" t="s">
        <v>1267</v>
      </c>
      <c r="F201" s="614" t="s">
        <v>1243</v>
      </c>
      <c r="G201" s="614" t="s">
        <v>1528</v>
      </c>
      <c r="H201" s="614" t="s">
        <v>325</v>
      </c>
      <c r="I201" s="614" t="s">
        <v>1529</v>
      </c>
      <c r="J201" s="614" t="s">
        <v>1530</v>
      </c>
      <c r="K201" s="614" t="s">
        <v>1531</v>
      </c>
      <c r="L201" s="615">
        <v>32.28</v>
      </c>
      <c r="M201" s="615">
        <v>32.28</v>
      </c>
      <c r="N201" s="614">
        <v>1</v>
      </c>
      <c r="O201" s="697">
        <v>1</v>
      </c>
      <c r="P201" s="615"/>
      <c r="Q201" s="630">
        <v>0</v>
      </c>
      <c r="R201" s="614"/>
      <c r="S201" s="630">
        <v>0</v>
      </c>
      <c r="T201" s="697"/>
      <c r="U201" s="653">
        <v>0</v>
      </c>
    </row>
    <row r="202" spans="1:21" ht="14.4" customHeight="1" x14ac:dyDescent="0.3">
      <c r="A202" s="613">
        <v>25</v>
      </c>
      <c r="B202" s="614" t="s">
        <v>1112</v>
      </c>
      <c r="C202" s="614" t="s">
        <v>1247</v>
      </c>
      <c r="D202" s="695" t="s">
        <v>1783</v>
      </c>
      <c r="E202" s="696" t="s">
        <v>1267</v>
      </c>
      <c r="F202" s="614" t="s">
        <v>1243</v>
      </c>
      <c r="G202" s="614" t="s">
        <v>1403</v>
      </c>
      <c r="H202" s="614" t="s">
        <v>325</v>
      </c>
      <c r="I202" s="614" t="s">
        <v>1404</v>
      </c>
      <c r="J202" s="614" t="s">
        <v>1405</v>
      </c>
      <c r="K202" s="614" t="s">
        <v>1406</v>
      </c>
      <c r="L202" s="615">
        <v>38.56</v>
      </c>
      <c r="M202" s="615">
        <v>115.68</v>
      </c>
      <c r="N202" s="614">
        <v>3</v>
      </c>
      <c r="O202" s="697">
        <v>1</v>
      </c>
      <c r="P202" s="615"/>
      <c r="Q202" s="630">
        <v>0</v>
      </c>
      <c r="R202" s="614"/>
      <c r="S202" s="630">
        <v>0</v>
      </c>
      <c r="T202" s="697"/>
      <c r="U202" s="653">
        <v>0</v>
      </c>
    </row>
    <row r="203" spans="1:21" ht="14.4" customHeight="1" x14ac:dyDescent="0.3">
      <c r="A203" s="613">
        <v>25</v>
      </c>
      <c r="B203" s="614" t="s">
        <v>1112</v>
      </c>
      <c r="C203" s="614" t="s">
        <v>1247</v>
      </c>
      <c r="D203" s="695" t="s">
        <v>1783</v>
      </c>
      <c r="E203" s="696" t="s">
        <v>1267</v>
      </c>
      <c r="F203" s="614" t="s">
        <v>1243</v>
      </c>
      <c r="G203" s="614" t="s">
        <v>1297</v>
      </c>
      <c r="H203" s="614" t="s">
        <v>325</v>
      </c>
      <c r="I203" s="614" t="s">
        <v>907</v>
      </c>
      <c r="J203" s="614" t="s">
        <v>908</v>
      </c>
      <c r="K203" s="614" t="s">
        <v>1296</v>
      </c>
      <c r="L203" s="615">
        <v>30.17</v>
      </c>
      <c r="M203" s="615">
        <v>181.02000000000004</v>
      </c>
      <c r="N203" s="614">
        <v>6</v>
      </c>
      <c r="O203" s="697">
        <v>2</v>
      </c>
      <c r="P203" s="615">
        <v>30.17</v>
      </c>
      <c r="Q203" s="630">
        <v>0.16666666666666663</v>
      </c>
      <c r="R203" s="614">
        <v>1</v>
      </c>
      <c r="S203" s="630">
        <v>0.16666666666666666</v>
      </c>
      <c r="T203" s="697">
        <v>0.5</v>
      </c>
      <c r="U203" s="653">
        <v>0.25</v>
      </c>
    </row>
    <row r="204" spans="1:21" ht="14.4" customHeight="1" x14ac:dyDescent="0.3">
      <c r="A204" s="613">
        <v>25</v>
      </c>
      <c r="B204" s="614" t="s">
        <v>1112</v>
      </c>
      <c r="C204" s="614" t="s">
        <v>1247</v>
      </c>
      <c r="D204" s="695" t="s">
        <v>1783</v>
      </c>
      <c r="E204" s="696" t="s">
        <v>1267</v>
      </c>
      <c r="F204" s="614" t="s">
        <v>1243</v>
      </c>
      <c r="G204" s="614" t="s">
        <v>1532</v>
      </c>
      <c r="H204" s="614" t="s">
        <v>325</v>
      </c>
      <c r="I204" s="614" t="s">
        <v>1533</v>
      </c>
      <c r="J204" s="614" t="s">
        <v>1534</v>
      </c>
      <c r="K204" s="614" t="s">
        <v>1535</v>
      </c>
      <c r="L204" s="615">
        <v>140.25</v>
      </c>
      <c r="M204" s="615">
        <v>140.25</v>
      </c>
      <c r="N204" s="614">
        <v>1</v>
      </c>
      <c r="O204" s="697">
        <v>0.5</v>
      </c>
      <c r="P204" s="615"/>
      <c r="Q204" s="630">
        <v>0</v>
      </c>
      <c r="R204" s="614"/>
      <c r="S204" s="630">
        <v>0</v>
      </c>
      <c r="T204" s="697"/>
      <c r="U204" s="653">
        <v>0</v>
      </c>
    </row>
    <row r="205" spans="1:21" ht="14.4" customHeight="1" x14ac:dyDescent="0.3">
      <c r="A205" s="613">
        <v>25</v>
      </c>
      <c r="B205" s="614" t="s">
        <v>1112</v>
      </c>
      <c r="C205" s="614" t="s">
        <v>1247</v>
      </c>
      <c r="D205" s="695" t="s">
        <v>1783</v>
      </c>
      <c r="E205" s="696" t="s">
        <v>1267</v>
      </c>
      <c r="F205" s="614" t="s">
        <v>1243</v>
      </c>
      <c r="G205" s="614" t="s">
        <v>1292</v>
      </c>
      <c r="H205" s="614" t="s">
        <v>770</v>
      </c>
      <c r="I205" s="614" t="s">
        <v>1307</v>
      </c>
      <c r="J205" s="614" t="s">
        <v>714</v>
      </c>
      <c r="K205" s="614" t="s">
        <v>1308</v>
      </c>
      <c r="L205" s="615">
        <v>24.22</v>
      </c>
      <c r="M205" s="615">
        <v>48.44</v>
      </c>
      <c r="N205" s="614">
        <v>2</v>
      </c>
      <c r="O205" s="697">
        <v>2</v>
      </c>
      <c r="P205" s="615">
        <v>24.22</v>
      </c>
      <c r="Q205" s="630">
        <v>0.5</v>
      </c>
      <c r="R205" s="614">
        <v>1</v>
      </c>
      <c r="S205" s="630">
        <v>0.5</v>
      </c>
      <c r="T205" s="697">
        <v>1</v>
      </c>
      <c r="U205" s="653">
        <v>0.5</v>
      </c>
    </row>
    <row r="206" spans="1:21" ht="14.4" customHeight="1" x14ac:dyDescent="0.3">
      <c r="A206" s="613">
        <v>25</v>
      </c>
      <c r="B206" s="614" t="s">
        <v>1112</v>
      </c>
      <c r="C206" s="614" t="s">
        <v>1247</v>
      </c>
      <c r="D206" s="695" t="s">
        <v>1783</v>
      </c>
      <c r="E206" s="696" t="s">
        <v>1267</v>
      </c>
      <c r="F206" s="614" t="s">
        <v>1243</v>
      </c>
      <c r="G206" s="614" t="s">
        <v>1292</v>
      </c>
      <c r="H206" s="614" t="s">
        <v>770</v>
      </c>
      <c r="I206" s="614" t="s">
        <v>776</v>
      </c>
      <c r="J206" s="614" t="s">
        <v>714</v>
      </c>
      <c r="K206" s="614" t="s">
        <v>1219</v>
      </c>
      <c r="L206" s="615">
        <v>48.42</v>
      </c>
      <c r="M206" s="615">
        <v>145.26</v>
      </c>
      <c r="N206" s="614">
        <v>3</v>
      </c>
      <c r="O206" s="697">
        <v>3</v>
      </c>
      <c r="P206" s="615">
        <v>48.42</v>
      </c>
      <c r="Q206" s="630">
        <v>0.33333333333333337</v>
      </c>
      <c r="R206" s="614">
        <v>1</v>
      </c>
      <c r="S206" s="630">
        <v>0.33333333333333331</v>
      </c>
      <c r="T206" s="697">
        <v>1</v>
      </c>
      <c r="U206" s="653">
        <v>0.33333333333333331</v>
      </c>
    </row>
    <row r="207" spans="1:21" ht="14.4" customHeight="1" x14ac:dyDescent="0.3">
      <c r="A207" s="613">
        <v>25</v>
      </c>
      <c r="B207" s="614" t="s">
        <v>1112</v>
      </c>
      <c r="C207" s="614" t="s">
        <v>1247</v>
      </c>
      <c r="D207" s="695" t="s">
        <v>1783</v>
      </c>
      <c r="E207" s="696" t="s">
        <v>1267</v>
      </c>
      <c r="F207" s="614" t="s">
        <v>1243</v>
      </c>
      <c r="G207" s="614" t="s">
        <v>1292</v>
      </c>
      <c r="H207" s="614" t="s">
        <v>325</v>
      </c>
      <c r="I207" s="614" t="s">
        <v>1298</v>
      </c>
      <c r="J207" s="614" t="s">
        <v>714</v>
      </c>
      <c r="K207" s="614" t="s">
        <v>1299</v>
      </c>
      <c r="L207" s="615">
        <v>24.22</v>
      </c>
      <c r="M207" s="615">
        <v>96.88</v>
      </c>
      <c r="N207" s="614">
        <v>4</v>
      </c>
      <c r="O207" s="697">
        <v>3.5</v>
      </c>
      <c r="P207" s="615">
        <v>48.44</v>
      </c>
      <c r="Q207" s="630">
        <v>0.5</v>
      </c>
      <c r="R207" s="614">
        <v>2</v>
      </c>
      <c r="S207" s="630">
        <v>0.5</v>
      </c>
      <c r="T207" s="697">
        <v>1.5</v>
      </c>
      <c r="U207" s="653">
        <v>0.42857142857142855</v>
      </c>
    </row>
    <row r="208" spans="1:21" ht="14.4" customHeight="1" x14ac:dyDescent="0.3">
      <c r="A208" s="613">
        <v>25</v>
      </c>
      <c r="B208" s="614" t="s">
        <v>1112</v>
      </c>
      <c r="C208" s="614" t="s">
        <v>1247</v>
      </c>
      <c r="D208" s="695" t="s">
        <v>1783</v>
      </c>
      <c r="E208" s="696" t="s">
        <v>1269</v>
      </c>
      <c r="F208" s="614" t="s">
        <v>1243</v>
      </c>
      <c r="G208" s="614" t="s">
        <v>1287</v>
      </c>
      <c r="H208" s="614" t="s">
        <v>770</v>
      </c>
      <c r="I208" s="614" t="s">
        <v>956</v>
      </c>
      <c r="J208" s="614" t="s">
        <v>864</v>
      </c>
      <c r="K208" s="614" t="s">
        <v>1196</v>
      </c>
      <c r="L208" s="615">
        <v>150.04</v>
      </c>
      <c r="M208" s="615">
        <v>1050.28</v>
      </c>
      <c r="N208" s="614">
        <v>7</v>
      </c>
      <c r="O208" s="697">
        <v>7</v>
      </c>
      <c r="P208" s="615">
        <v>600.16</v>
      </c>
      <c r="Q208" s="630">
        <v>0.5714285714285714</v>
      </c>
      <c r="R208" s="614">
        <v>4</v>
      </c>
      <c r="S208" s="630">
        <v>0.5714285714285714</v>
      </c>
      <c r="T208" s="697">
        <v>4</v>
      </c>
      <c r="U208" s="653">
        <v>0.5714285714285714</v>
      </c>
    </row>
    <row r="209" spans="1:21" ht="14.4" customHeight="1" x14ac:dyDescent="0.3">
      <c r="A209" s="613">
        <v>25</v>
      </c>
      <c r="B209" s="614" t="s">
        <v>1112</v>
      </c>
      <c r="C209" s="614" t="s">
        <v>1247</v>
      </c>
      <c r="D209" s="695" t="s">
        <v>1783</v>
      </c>
      <c r="E209" s="696" t="s">
        <v>1269</v>
      </c>
      <c r="F209" s="614" t="s">
        <v>1243</v>
      </c>
      <c r="G209" s="614" t="s">
        <v>1287</v>
      </c>
      <c r="H209" s="614" t="s">
        <v>770</v>
      </c>
      <c r="I209" s="614" t="s">
        <v>956</v>
      </c>
      <c r="J209" s="614" t="s">
        <v>864</v>
      </c>
      <c r="K209" s="614" t="s">
        <v>1196</v>
      </c>
      <c r="L209" s="615">
        <v>154.36000000000001</v>
      </c>
      <c r="M209" s="615">
        <v>2315.4</v>
      </c>
      <c r="N209" s="614">
        <v>15</v>
      </c>
      <c r="O209" s="697">
        <v>12</v>
      </c>
      <c r="P209" s="615">
        <v>1234.8800000000001</v>
      </c>
      <c r="Q209" s="630">
        <v>0.53333333333333333</v>
      </c>
      <c r="R209" s="614">
        <v>8</v>
      </c>
      <c r="S209" s="630">
        <v>0.53333333333333333</v>
      </c>
      <c r="T209" s="697">
        <v>6</v>
      </c>
      <c r="U209" s="653">
        <v>0.5</v>
      </c>
    </row>
    <row r="210" spans="1:21" ht="14.4" customHeight="1" x14ac:dyDescent="0.3">
      <c r="A210" s="613">
        <v>25</v>
      </c>
      <c r="B210" s="614" t="s">
        <v>1112</v>
      </c>
      <c r="C210" s="614" t="s">
        <v>1247</v>
      </c>
      <c r="D210" s="695" t="s">
        <v>1783</v>
      </c>
      <c r="E210" s="696" t="s">
        <v>1269</v>
      </c>
      <c r="F210" s="614" t="s">
        <v>1243</v>
      </c>
      <c r="G210" s="614" t="s">
        <v>1287</v>
      </c>
      <c r="H210" s="614" t="s">
        <v>770</v>
      </c>
      <c r="I210" s="614" t="s">
        <v>1536</v>
      </c>
      <c r="J210" s="614" t="s">
        <v>1537</v>
      </c>
      <c r="K210" s="614" t="s">
        <v>1538</v>
      </c>
      <c r="L210" s="615">
        <v>66.08</v>
      </c>
      <c r="M210" s="615">
        <v>66.08</v>
      </c>
      <c r="N210" s="614">
        <v>1</v>
      </c>
      <c r="O210" s="697">
        <v>1</v>
      </c>
      <c r="P210" s="615">
        <v>66.08</v>
      </c>
      <c r="Q210" s="630">
        <v>1</v>
      </c>
      <c r="R210" s="614">
        <v>1</v>
      </c>
      <c r="S210" s="630">
        <v>1</v>
      </c>
      <c r="T210" s="697">
        <v>1</v>
      </c>
      <c r="U210" s="653">
        <v>1</v>
      </c>
    </row>
    <row r="211" spans="1:21" ht="14.4" customHeight="1" x14ac:dyDescent="0.3">
      <c r="A211" s="613">
        <v>25</v>
      </c>
      <c r="B211" s="614" t="s">
        <v>1112</v>
      </c>
      <c r="C211" s="614" t="s">
        <v>1247</v>
      </c>
      <c r="D211" s="695" t="s">
        <v>1783</v>
      </c>
      <c r="E211" s="696" t="s">
        <v>1269</v>
      </c>
      <c r="F211" s="614" t="s">
        <v>1243</v>
      </c>
      <c r="G211" s="614" t="s">
        <v>1289</v>
      </c>
      <c r="H211" s="614" t="s">
        <v>325</v>
      </c>
      <c r="I211" s="614" t="s">
        <v>919</v>
      </c>
      <c r="J211" s="614" t="s">
        <v>920</v>
      </c>
      <c r="K211" s="614" t="s">
        <v>1209</v>
      </c>
      <c r="L211" s="615">
        <v>170.52</v>
      </c>
      <c r="M211" s="615">
        <v>341.04</v>
      </c>
      <c r="N211" s="614">
        <v>2</v>
      </c>
      <c r="O211" s="697">
        <v>2</v>
      </c>
      <c r="P211" s="615">
        <v>170.52</v>
      </c>
      <c r="Q211" s="630">
        <v>0.5</v>
      </c>
      <c r="R211" s="614">
        <v>1</v>
      </c>
      <c r="S211" s="630">
        <v>0.5</v>
      </c>
      <c r="T211" s="697">
        <v>1</v>
      </c>
      <c r="U211" s="653">
        <v>0.5</v>
      </c>
    </row>
    <row r="212" spans="1:21" ht="14.4" customHeight="1" x14ac:dyDescent="0.3">
      <c r="A212" s="613">
        <v>25</v>
      </c>
      <c r="B212" s="614" t="s">
        <v>1112</v>
      </c>
      <c r="C212" s="614" t="s">
        <v>1247</v>
      </c>
      <c r="D212" s="695" t="s">
        <v>1783</v>
      </c>
      <c r="E212" s="696" t="s">
        <v>1269</v>
      </c>
      <c r="F212" s="614" t="s">
        <v>1243</v>
      </c>
      <c r="G212" s="614" t="s">
        <v>1358</v>
      </c>
      <c r="H212" s="614" t="s">
        <v>325</v>
      </c>
      <c r="I212" s="614" t="s">
        <v>1539</v>
      </c>
      <c r="J212" s="614" t="s">
        <v>1540</v>
      </c>
      <c r="K212" s="614" t="s">
        <v>1209</v>
      </c>
      <c r="L212" s="615">
        <v>78.33</v>
      </c>
      <c r="M212" s="615">
        <v>78.33</v>
      </c>
      <c r="N212" s="614">
        <v>1</v>
      </c>
      <c r="O212" s="697">
        <v>1</v>
      </c>
      <c r="P212" s="615"/>
      <c r="Q212" s="630">
        <v>0</v>
      </c>
      <c r="R212" s="614"/>
      <c r="S212" s="630">
        <v>0</v>
      </c>
      <c r="T212" s="697"/>
      <c r="U212" s="653">
        <v>0</v>
      </c>
    </row>
    <row r="213" spans="1:21" ht="14.4" customHeight="1" x14ac:dyDescent="0.3">
      <c r="A213" s="613">
        <v>25</v>
      </c>
      <c r="B213" s="614" t="s">
        <v>1112</v>
      </c>
      <c r="C213" s="614" t="s">
        <v>1247</v>
      </c>
      <c r="D213" s="695" t="s">
        <v>1783</v>
      </c>
      <c r="E213" s="696" t="s">
        <v>1269</v>
      </c>
      <c r="F213" s="614" t="s">
        <v>1243</v>
      </c>
      <c r="G213" s="614" t="s">
        <v>1541</v>
      </c>
      <c r="H213" s="614" t="s">
        <v>325</v>
      </c>
      <c r="I213" s="614" t="s">
        <v>985</v>
      </c>
      <c r="J213" s="614" t="s">
        <v>986</v>
      </c>
      <c r="K213" s="614" t="s">
        <v>1542</v>
      </c>
      <c r="L213" s="615">
        <v>2991.23</v>
      </c>
      <c r="M213" s="615">
        <v>2991.23</v>
      </c>
      <c r="N213" s="614">
        <v>1</v>
      </c>
      <c r="O213" s="697">
        <v>1</v>
      </c>
      <c r="P213" s="615"/>
      <c r="Q213" s="630">
        <v>0</v>
      </c>
      <c r="R213" s="614"/>
      <c r="S213" s="630">
        <v>0</v>
      </c>
      <c r="T213" s="697"/>
      <c r="U213" s="653">
        <v>0</v>
      </c>
    </row>
    <row r="214" spans="1:21" ht="14.4" customHeight="1" x14ac:dyDescent="0.3">
      <c r="A214" s="613">
        <v>25</v>
      </c>
      <c r="B214" s="614" t="s">
        <v>1112</v>
      </c>
      <c r="C214" s="614" t="s">
        <v>1247</v>
      </c>
      <c r="D214" s="695" t="s">
        <v>1783</v>
      </c>
      <c r="E214" s="696" t="s">
        <v>1269</v>
      </c>
      <c r="F214" s="614" t="s">
        <v>1243</v>
      </c>
      <c r="G214" s="614" t="s">
        <v>1543</v>
      </c>
      <c r="H214" s="614" t="s">
        <v>325</v>
      </c>
      <c r="I214" s="614" t="s">
        <v>1544</v>
      </c>
      <c r="J214" s="614" t="s">
        <v>1545</v>
      </c>
      <c r="K214" s="614" t="s">
        <v>1546</v>
      </c>
      <c r="L214" s="615">
        <v>34.6</v>
      </c>
      <c r="M214" s="615">
        <v>34.6</v>
      </c>
      <c r="N214" s="614">
        <v>1</v>
      </c>
      <c r="O214" s="697">
        <v>1</v>
      </c>
      <c r="P214" s="615">
        <v>34.6</v>
      </c>
      <c r="Q214" s="630">
        <v>1</v>
      </c>
      <c r="R214" s="614">
        <v>1</v>
      </c>
      <c r="S214" s="630">
        <v>1</v>
      </c>
      <c r="T214" s="697">
        <v>1</v>
      </c>
      <c r="U214" s="653">
        <v>1</v>
      </c>
    </row>
    <row r="215" spans="1:21" ht="14.4" customHeight="1" x14ac:dyDescent="0.3">
      <c r="A215" s="613">
        <v>25</v>
      </c>
      <c r="B215" s="614" t="s">
        <v>1112</v>
      </c>
      <c r="C215" s="614" t="s">
        <v>1247</v>
      </c>
      <c r="D215" s="695" t="s">
        <v>1783</v>
      </c>
      <c r="E215" s="696" t="s">
        <v>1269</v>
      </c>
      <c r="F215" s="614" t="s">
        <v>1243</v>
      </c>
      <c r="G215" s="614" t="s">
        <v>1547</v>
      </c>
      <c r="H215" s="614" t="s">
        <v>325</v>
      </c>
      <c r="I215" s="614" t="s">
        <v>522</v>
      </c>
      <c r="J215" s="614" t="s">
        <v>523</v>
      </c>
      <c r="K215" s="614" t="s">
        <v>1548</v>
      </c>
      <c r="L215" s="615">
        <v>0</v>
      </c>
      <c r="M215" s="615">
        <v>0</v>
      </c>
      <c r="N215" s="614">
        <v>1</v>
      </c>
      <c r="O215" s="697">
        <v>0.5</v>
      </c>
      <c r="P215" s="615"/>
      <c r="Q215" s="630"/>
      <c r="R215" s="614"/>
      <c r="S215" s="630">
        <v>0</v>
      </c>
      <c r="T215" s="697"/>
      <c r="U215" s="653">
        <v>0</v>
      </c>
    </row>
    <row r="216" spans="1:21" ht="14.4" customHeight="1" x14ac:dyDescent="0.3">
      <c r="A216" s="613">
        <v>25</v>
      </c>
      <c r="B216" s="614" t="s">
        <v>1112</v>
      </c>
      <c r="C216" s="614" t="s">
        <v>1247</v>
      </c>
      <c r="D216" s="695" t="s">
        <v>1783</v>
      </c>
      <c r="E216" s="696" t="s">
        <v>1269</v>
      </c>
      <c r="F216" s="614" t="s">
        <v>1243</v>
      </c>
      <c r="G216" s="614" t="s">
        <v>1291</v>
      </c>
      <c r="H216" s="614" t="s">
        <v>325</v>
      </c>
      <c r="I216" s="614" t="s">
        <v>930</v>
      </c>
      <c r="J216" s="614" t="s">
        <v>931</v>
      </c>
      <c r="K216" s="614" t="s">
        <v>932</v>
      </c>
      <c r="L216" s="615">
        <v>147.31</v>
      </c>
      <c r="M216" s="615">
        <v>1325.79</v>
      </c>
      <c r="N216" s="614">
        <v>9</v>
      </c>
      <c r="O216" s="697">
        <v>4.5</v>
      </c>
      <c r="P216" s="615">
        <v>736.55</v>
      </c>
      <c r="Q216" s="630">
        <v>0.55555555555555558</v>
      </c>
      <c r="R216" s="614">
        <v>5</v>
      </c>
      <c r="S216" s="630">
        <v>0.55555555555555558</v>
      </c>
      <c r="T216" s="697">
        <v>1.5</v>
      </c>
      <c r="U216" s="653">
        <v>0.33333333333333331</v>
      </c>
    </row>
    <row r="217" spans="1:21" ht="14.4" customHeight="1" x14ac:dyDescent="0.3">
      <c r="A217" s="613">
        <v>25</v>
      </c>
      <c r="B217" s="614" t="s">
        <v>1112</v>
      </c>
      <c r="C217" s="614" t="s">
        <v>1247</v>
      </c>
      <c r="D217" s="695" t="s">
        <v>1783</v>
      </c>
      <c r="E217" s="696" t="s">
        <v>1269</v>
      </c>
      <c r="F217" s="614" t="s">
        <v>1243</v>
      </c>
      <c r="G217" s="614" t="s">
        <v>1297</v>
      </c>
      <c r="H217" s="614" t="s">
        <v>325</v>
      </c>
      <c r="I217" s="614" t="s">
        <v>907</v>
      </c>
      <c r="J217" s="614" t="s">
        <v>908</v>
      </c>
      <c r="K217" s="614" t="s">
        <v>1296</v>
      </c>
      <c r="L217" s="615">
        <v>30.17</v>
      </c>
      <c r="M217" s="615">
        <v>60.34</v>
      </c>
      <c r="N217" s="614">
        <v>2</v>
      </c>
      <c r="O217" s="697">
        <v>1</v>
      </c>
      <c r="P217" s="615">
        <v>30.17</v>
      </c>
      <c r="Q217" s="630">
        <v>0.5</v>
      </c>
      <c r="R217" s="614">
        <v>1</v>
      </c>
      <c r="S217" s="630">
        <v>0.5</v>
      </c>
      <c r="T217" s="697">
        <v>0.5</v>
      </c>
      <c r="U217" s="653">
        <v>0.5</v>
      </c>
    </row>
    <row r="218" spans="1:21" ht="14.4" customHeight="1" x14ac:dyDescent="0.3">
      <c r="A218" s="613">
        <v>25</v>
      </c>
      <c r="B218" s="614" t="s">
        <v>1112</v>
      </c>
      <c r="C218" s="614" t="s">
        <v>1247</v>
      </c>
      <c r="D218" s="695" t="s">
        <v>1783</v>
      </c>
      <c r="E218" s="696" t="s">
        <v>1269</v>
      </c>
      <c r="F218" s="614" t="s">
        <v>1243</v>
      </c>
      <c r="G218" s="614" t="s">
        <v>1292</v>
      </c>
      <c r="H218" s="614" t="s">
        <v>770</v>
      </c>
      <c r="I218" s="614" t="s">
        <v>1307</v>
      </c>
      <c r="J218" s="614" t="s">
        <v>714</v>
      </c>
      <c r="K218" s="614" t="s">
        <v>1308</v>
      </c>
      <c r="L218" s="615">
        <v>24.22</v>
      </c>
      <c r="M218" s="615">
        <v>48.44</v>
      </c>
      <c r="N218" s="614">
        <v>2</v>
      </c>
      <c r="O218" s="697">
        <v>0.5</v>
      </c>
      <c r="P218" s="615">
        <v>48.44</v>
      </c>
      <c r="Q218" s="630">
        <v>1</v>
      </c>
      <c r="R218" s="614">
        <v>2</v>
      </c>
      <c r="S218" s="630">
        <v>1</v>
      </c>
      <c r="T218" s="697">
        <v>0.5</v>
      </c>
      <c r="U218" s="653">
        <v>1</v>
      </c>
    </row>
    <row r="219" spans="1:21" ht="14.4" customHeight="1" x14ac:dyDescent="0.3">
      <c r="A219" s="613">
        <v>25</v>
      </c>
      <c r="B219" s="614" t="s">
        <v>1112</v>
      </c>
      <c r="C219" s="614" t="s">
        <v>1247</v>
      </c>
      <c r="D219" s="695" t="s">
        <v>1783</v>
      </c>
      <c r="E219" s="696" t="s">
        <v>1269</v>
      </c>
      <c r="F219" s="614" t="s">
        <v>1243</v>
      </c>
      <c r="G219" s="614" t="s">
        <v>1292</v>
      </c>
      <c r="H219" s="614" t="s">
        <v>325</v>
      </c>
      <c r="I219" s="614" t="s">
        <v>1298</v>
      </c>
      <c r="J219" s="614" t="s">
        <v>714</v>
      </c>
      <c r="K219" s="614" t="s">
        <v>1299</v>
      </c>
      <c r="L219" s="615">
        <v>24.22</v>
      </c>
      <c r="M219" s="615">
        <v>48.44</v>
      </c>
      <c r="N219" s="614">
        <v>2</v>
      </c>
      <c r="O219" s="697">
        <v>1.5</v>
      </c>
      <c r="P219" s="615">
        <v>48.44</v>
      </c>
      <c r="Q219" s="630">
        <v>1</v>
      </c>
      <c r="R219" s="614">
        <v>2</v>
      </c>
      <c r="S219" s="630">
        <v>1</v>
      </c>
      <c r="T219" s="697">
        <v>1.5</v>
      </c>
      <c r="U219" s="653">
        <v>1</v>
      </c>
    </row>
    <row r="220" spans="1:21" ht="14.4" customHeight="1" x14ac:dyDescent="0.3">
      <c r="A220" s="613">
        <v>25</v>
      </c>
      <c r="B220" s="614" t="s">
        <v>1112</v>
      </c>
      <c r="C220" s="614" t="s">
        <v>1247</v>
      </c>
      <c r="D220" s="695" t="s">
        <v>1783</v>
      </c>
      <c r="E220" s="696" t="s">
        <v>1269</v>
      </c>
      <c r="F220" s="614" t="s">
        <v>1243</v>
      </c>
      <c r="G220" s="614" t="s">
        <v>1549</v>
      </c>
      <c r="H220" s="614" t="s">
        <v>325</v>
      </c>
      <c r="I220" s="614" t="s">
        <v>1550</v>
      </c>
      <c r="J220" s="614" t="s">
        <v>1551</v>
      </c>
      <c r="K220" s="614" t="s">
        <v>1552</v>
      </c>
      <c r="L220" s="615">
        <v>107.25</v>
      </c>
      <c r="M220" s="615">
        <v>214.5</v>
      </c>
      <c r="N220" s="614">
        <v>2</v>
      </c>
      <c r="O220" s="697">
        <v>2</v>
      </c>
      <c r="P220" s="615"/>
      <c r="Q220" s="630">
        <v>0</v>
      </c>
      <c r="R220" s="614"/>
      <c r="S220" s="630">
        <v>0</v>
      </c>
      <c r="T220" s="697"/>
      <c r="U220" s="653">
        <v>0</v>
      </c>
    </row>
    <row r="221" spans="1:21" ht="14.4" customHeight="1" x14ac:dyDescent="0.3">
      <c r="A221" s="613">
        <v>25</v>
      </c>
      <c r="B221" s="614" t="s">
        <v>1112</v>
      </c>
      <c r="C221" s="614" t="s">
        <v>1247</v>
      </c>
      <c r="D221" s="695" t="s">
        <v>1783</v>
      </c>
      <c r="E221" s="696" t="s">
        <v>1270</v>
      </c>
      <c r="F221" s="614" t="s">
        <v>1243</v>
      </c>
      <c r="G221" s="614" t="s">
        <v>1287</v>
      </c>
      <c r="H221" s="614" t="s">
        <v>770</v>
      </c>
      <c r="I221" s="614" t="s">
        <v>956</v>
      </c>
      <c r="J221" s="614" t="s">
        <v>864</v>
      </c>
      <c r="K221" s="614" t="s">
        <v>1196</v>
      </c>
      <c r="L221" s="615">
        <v>150.04</v>
      </c>
      <c r="M221" s="615">
        <v>150.04</v>
      </c>
      <c r="N221" s="614">
        <v>1</v>
      </c>
      <c r="O221" s="697">
        <v>1</v>
      </c>
      <c r="P221" s="615"/>
      <c r="Q221" s="630">
        <v>0</v>
      </c>
      <c r="R221" s="614"/>
      <c r="S221" s="630">
        <v>0</v>
      </c>
      <c r="T221" s="697"/>
      <c r="U221" s="653">
        <v>0</v>
      </c>
    </row>
    <row r="222" spans="1:21" ht="14.4" customHeight="1" x14ac:dyDescent="0.3">
      <c r="A222" s="613">
        <v>25</v>
      </c>
      <c r="B222" s="614" t="s">
        <v>1112</v>
      </c>
      <c r="C222" s="614" t="s">
        <v>1247</v>
      </c>
      <c r="D222" s="695" t="s">
        <v>1783</v>
      </c>
      <c r="E222" s="696" t="s">
        <v>1270</v>
      </c>
      <c r="F222" s="614" t="s">
        <v>1243</v>
      </c>
      <c r="G222" s="614" t="s">
        <v>1287</v>
      </c>
      <c r="H222" s="614" t="s">
        <v>770</v>
      </c>
      <c r="I222" s="614" t="s">
        <v>956</v>
      </c>
      <c r="J222" s="614" t="s">
        <v>864</v>
      </c>
      <c r="K222" s="614" t="s">
        <v>1196</v>
      </c>
      <c r="L222" s="615">
        <v>154.36000000000001</v>
      </c>
      <c r="M222" s="615">
        <v>5093.8800000000019</v>
      </c>
      <c r="N222" s="614">
        <v>33</v>
      </c>
      <c r="O222" s="697">
        <v>31.5</v>
      </c>
      <c r="P222" s="615">
        <v>2469.7600000000011</v>
      </c>
      <c r="Q222" s="630">
        <v>0.48484848484848486</v>
      </c>
      <c r="R222" s="614">
        <v>16</v>
      </c>
      <c r="S222" s="630">
        <v>0.48484848484848486</v>
      </c>
      <c r="T222" s="697">
        <v>15.5</v>
      </c>
      <c r="U222" s="653">
        <v>0.49206349206349204</v>
      </c>
    </row>
    <row r="223" spans="1:21" ht="14.4" customHeight="1" x14ac:dyDescent="0.3">
      <c r="A223" s="613">
        <v>25</v>
      </c>
      <c r="B223" s="614" t="s">
        <v>1112</v>
      </c>
      <c r="C223" s="614" t="s">
        <v>1247</v>
      </c>
      <c r="D223" s="695" t="s">
        <v>1783</v>
      </c>
      <c r="E223" s="696" t="s">
        <v>1270</v>
      </c>
      <c r="F223" s="614" t="s">
        <v>1243</v>
      </c>
      <c r="G223" s="614" t="s">
        <v>1287</v>
      </c>
      <c r="H223" s="614" t="s">
        <v>325</v>
      </c>
      <c r="I223" s="614" t="s">
        <v>1288</v>
      </c>
      <c r="J223" s="614" t="s">
        <v>864</v>
      </c>
      <c r="K223" s="614" t="s">
        <v>1196</v>
      </c>
      <c r="L223" s="615">
        <v>154.36000000000001</v>
      </c>
      <c r="M223" s="615">
        <v>154.36000000000001</v>
      </c>
      <c r="N223" s="614">
        <v>1</v>
      </c>
      <c r="O223" s="697">
        <v>1</v>
      </c>
      <c r="P223" s="615">
        <v>154.36000000000001</v>
      </c>
      <c r="Q223" s="630">
        <v>1</v>
      </c>
      <c r="R223" s="614">
        <v>1</v>
      </c>
      <c r="S223" s="630">
        <v>1</v>
      </c>
      <c r="T223" s="697">
        <v>1</v>
      </c>
      <c r="U223" s="653">
        <v>1</v>
      </c>
    </row>
    <row r="224" spans="1:21" ht="14.4" customHeight="1" x14ac:dyDescent="0.3">
      <c r="A224" s="613">
        <v>25</v>
      </c>
      <c r="B224" s="614" t="s">
        <v>1112</v>
      </c>
      <c r="C224" s="614" t="s">
        <v>1247</v>
      </c>
      <c r="D224" s="695" t="s">
        <v>1783</v>
      </c>
      <c r="E224" s="696" t="s">
        <v>1270</v>
      </c>
      <c r="F224" s="614" t="s">
        <v>1243</v>
      </c>
      <c r="G224" s="614" t="s">
        <v>1358</v>
      </c>
      <c r="H224" s="614" t="s">
        <v>325</v>
      </c>
      <c r="I224" s="614" t="s">
        <v>1539</v>
      </c>
      <c r="J224" s="614" t="s">
        <v>1540</v>
      </c>
      <c r="K224" s="614" t="s">
        <v>1209</v>
      </c>
      <c r="L224" s="615">
        <v>78.33</v>
      </c>
      <c r="M224" s="615">
        <v>78.33</v>
      </c>
      <c r="N224" s="614">
        <v>1</v>
      </c>
      <c r="O224" s="697">
        <v>1</v>
      </c>
      <c r="P224" s="615">
        <v>78.33</v>
      </c>
      <c r="Q224" s="630">
        <v>1</v>
      </c>
      <c r="R224" s="614">
        <v>1</v>
      </c>
      <c r="S224" s="630">
        <v>1</v>
      </c>
      <c r="T224" s="697">
        <v>1</v>
      </c>
      <c r="U224" s="653">
        <v>1</v>
      </c>
    </row>
    <row r="225" spans="1:21" ht="14.4" customHeight="1" x14ac:dyDescent="0.3">
      <c r="A225" s="613">
        <v>25</v>
      </c>
      <c r="B225" s="614" t="s">
        <v>1112</v>
      </c>
      <c r="C225" s="614" t="s">
        <v>1247</v>
      </c>
      <c r="D225" s="695" t="s">
        <v>1783</v>
      </c>
      <c r="E225" s="696" t="s">
        <v>1270</v>
      </c>
      <c r="F225" s="614" t="s">
        <v>1243</v>
      </c>
      <c r="G225" s="614" t="s">
        <v>1541</v>
      </c>
      <c r="H225" s="614" t="s">
        <v>325</v>
      </c>
      <c r="I225" s="614" t="s">
        <v>1553</v>
      </c>
      <c r="J225" s="614" t="s">
        <v>986</v>
      </c>
      <c r="K225" s="614" t="s">
        <v>1554</v>
      </c>
      <c r="L225" s="615">
        <v>748.21</v>
      </c>
      <c r="M225" s="615">
        <v>2244.63</v>
      </c>
      <c r="N225" s="614">
        <v>3</v>
      </c>
      <c r="O225" s="697">
        <v>2</v>
      </c>
      <c r="P225" s="615">
        <v>1496.42</v>
      </c>
      <c r="Q225" s="630">
        <v>0.66666666666666663</v>
      </c>
      <c r="R225" s="614">
        <v>2</v>
      </c>
      <c r="S225" s="630">
        <v>0.66666666666666663</v>
      </c>
      <c r="T225" s="697">
        <v>1</v>
      </c>
      <c r="U225" s="653">
        <v>0.5</v>
      </c>
    </row>
    <row r="226" spans="1:21" ht="14.4" customHeight="1" x14ac:dyDescent="0.3">
      <c r="A226" s="613">
        <v>25</v>
      </c>
      <c r="B226" s="614" t="s">
        <v>1112</v>
      </c>
      <c r="C226" s="614" t="s">
        <v>1247</v>
      </c>
      <c r="D226" s="695" t="s">
        <v>1783</v>
      </c>
      <c r="E226" s="696" t="s">
        <v>1270</v>
      </c>
      <c r="F226" s="614" t="s">
        <v>1243</v>
      </c>
      <c r="G226" s="614" t="s">
        <v>1344</v>
      </c>
      <c r="H226" s="614" t="s">
        <v>325</v>
      </c>
      <c r="I226" s="614" t="s">
        <v>1555</v>
      </c>
      <c r="J226" s="614" t="s">
        <v>1346</v>
      </c>
      <c r="K226" s="614"/>
      <c r="L226" s="615">
        <v>0</v>
      </c>
      <c r="M226" s="615">
        <v>0</v>
      </c>
      <c r="N226" s="614">
        <v>1</v>
      </c>
      <c r="O226" s="697">
        <v>1</v>
      </c>
      <c r="P226" s="615">
        <v>0</v>
      </c>
      <c r="Q226" s="630"/>
      <c r="R226" s="614">
        <v>1</v>
      </c>
      <c r="S226" s="630">
        <v>1</v>
      </c>
      <c r="T226" s="697">
        <v>1</v>
      </c>
      <c r="U226" s="653">
        <v>1</v>
      </c>
    </row>
    <row r="227" spans="1:21" ht="14.4" customHeight="1" x14ac:dyDescent="0.3">
      <c r="A227" s="613">
        <v>25</v>
      </c>
      <c r="B227" s="614" t="s">
        <v>1112</v>
      </c>
      <c r="C227" s="614" t="s">
        <v>1247</v>
      </c>
      <c r="D227" s="695" t="s">
        <v>1783</v>
      </c>
      <c r="E227" s="696" t="s">
        <v>1270</v>
      </c>
      <c r="F227" s="614" t="s">
        <v>1243</v>
      </c>
      <c r="G227" s="614" t="s">
        <v>1291</v>
      </c>
      <c r="H227" s="614" t="s">
        <v>325</v>
      </c>
      <c r="I227" s="614" t="s">
        <v>930</v>
      </c>
      <c r="J227" s="614" t="s">
        <v>931</v>
      </c>
      <c r="K227" s="614" t="s">
        <v>932</v>
      </c>
      <c r="L227" s="615">
        <v>147.31</v>
      </c>
      <c r="M227" s="615">
        <v>1325.79</v>
      </c>
      <c r="N227" s="614">
        <v>9</v>
      </c>
      <c r="O227" s="697">
        <v>6</v>
      </c>
      <c r="P227" s="615">
        <v>441.93</v>
      </c>
      <c r="Q227" s="630">
        <v>0.33333333333333337</v>
      </c>
      <c r="R227" s="614">
        <v>3</v>
      </c>
      <c r="S227" s="630">
        <v>0.33333333333333331</v>
      </c>
      <c r="T227" s="697">
        <v>2</v>
      </c>
      <c r="U227" s="653">
        <v>0.33333333333333331</v>
      </c>
    </row>
    <row r="228" spans="1:21" ht="14.4" customHeight="1" x14ac:dyDescent="0.3">
      <c r="A228" s="613">
        <v>25</v>
      </c>
      <c r="B228" s="614" t="s">
        <v>1112</v>
      </c>
      <c r="C228" s="614" t="s">
        <v>1247</v>
      </c>
      <c r="D228" s="695" t="s">
        <v>1783</v>
      </c>
      <c r="E228" s="696" t="s">
        <v>1270</v>
      </c>
      <c r="F228" s="614" t="s">
        <v>1243</v>
      </c>
      <c r="G228" s="614" t="s">
        <v>1556</v>
      </c>
      <c r="H228" s="614" t="s">
        <v>770</v>
      </c>
      <c r="I228" s="614" t="s">
        <v>1557</v>
      </c>
      <c r="J228" s="614" t="s">
        <v>1558</v>
      </c>
      <c r="K228" s="614" t="s">
        <v>1559</v>
      </c>
      <c r="L228" s="615">
        <v>96.84</v>
      </c>
      <c r="M228" s="615">
        <v>871.56000000000006</v>
      </c>
      <c r="N228" s="614">
        <v>9</v>
      </c>
      <c r="O228" s="697">
        <v>9</v>
      </c>
      <c r="P228" s="615">
        <v>581.04000000000008</v>
      </c>
      <c r="Q228" s="630">
        <v>0.66666666666666674</v>
      </c>
      <c r="R228" s="614">
        <v>6</v>
      </c>
      <c r="S228" s="630">
        <v>0.66666666666666663</v>
      </c>
      <c r="T228" s="697">
        <v>6</v>
      </c>
      <c r="U228" s="653">
        <v>0.66666666666666663</v>
      </c>
    </row>
    <row r="229" spans="1:21" ht="14.4" customHeight="1" x14ac:dyDescent="0.3">
      <c r="A229" s="613">
        <v>25</v>
      </c>
      <c r="B229" s="614" t="s">
        <v>1112</v>
      </c>
      <c r="C229" s="614" t="s">
        <v>1247</v>
      </c>
      <c r="D229" s="695" t="s">
        <v>1783</v>
      </c>
      <c r="E229" s="696" t="s">
        <v>1270</v>
      </c>
      <c r="F229" s="614" t="s">
        <v>1243</v>
      </c>
      <c r="G229" s="614" t="s">
        <v>1556</v>
      </c>
      <c r="H229" s="614" t="s">
        <v>325</v>
      </c>
      <c r="I229" s="614" t="s">
        <v>1560</v>
      </c>
      <c r="J229" s="614" t="s">
        <v>1561</v>
      </c>
      <c r="K229" s="614" t="s">
        <v>1562</v>
      </c>
      <c r="L229" s="615">
        <v>96.84</v>
      </c>
      <c r="M229" s="615">
        <v>484.2</v>
      </c>
      <c r="N229" s="614">
        <v>5</v>
      </c>
      <c r="O229" s="697">
        <v>5</v>
      </c>
      <c r="P229" s="615">
        <v>290.52</v>
      </c>
      <c r="Q229" s="630">
        <v>0.6</v>
      </c>
      <c r="R229" s="614">
        <v>3</v>
      </c>
      <c r="S229" s="630">
        <v>0.6</v>
      </c>
      <c r="T229" s="697">
        <v>3</v>
      </c>
      <c r="U229" s="653">
        <v>0.6</v>
      </c>
    </row>
    <row r="230" spans="1:21" ht="14.4" customHeight="1" x14ac:dyDescent="0.3">
      <c r="A230" s="613">
        <v>25</v>
      </c>
      <c r="B230" s="614" t="s">
        <v>1112</v>
      </c>
      <c r="C230" s="614" t="s">
        <v>1247</v>
      </c>
      <c r="D230" s="695" t="s">
        <v>1783</v>
      </c>
      <c r="E230" s="696" t="s">
        <v>1270</v>
      </c>
      <c r="F230" s="614" t="s">
        <v>1243</v>
      </c>
      <c r="G230" s="614" t="s">
        <v>1563</v>
      </c>
      <c r="H230" s="614" t="s">
        <v>770</v>
      </c>
      <c r="I230" s="614" t="s">
        <v>781</v>
      </c>
      <c r="J230" s="614" t="s">
        <v>354</v>
      </c>
      <c r="K230" s="614" t="s">
        <v>782</v>
      </c>
      <c r="L230" s="615">
        <v>923.74</v>
      </c>
      <c r="M230" s="615">
        <v>1847.48</v>
      </c>
      <c r="N230" s="614">
        <v>2</v>
      </c>
      <c r="O230" s="697">
        <v>1</v>
      </c>
      <c r="P230" s="615">
        <v>1847.48</v>
      </c>
      <c r="Q230" s="630">
        <v>1</v>
      </c>
      <c r="R230" s="614">
        <v>2</v>
      </c>
      <c r="S230" s="630">
        <v>1</v>
      </c>
      <c r="T230" s="697">
        <v>1</v>
      </c>
      <c r="U230" s="653">
        <v>1</v>
      </c>
    </row>
    <row r="231" spans="1:21" ht="14.4" customHeight="1" x14ac:dyDescent="0.3">
      <c r="A231" s="613">
        <v>25</v>
      </c>
      <c r="B231" s="614" t="s">
        <v>1112</v>
      </c>
      <c r="C231" s="614" t="s">
        <v>1247</v>
      </c>
      <c r="D231" s="695" t="s">
        <v>1783</v>
      </c>
      <c r="E231" s="696" t="s">
        <v>1270</v>
      </c>
      <c r="F231" s="614" t="s">
        <v>1243</v>
      </c>
      <c r="G231" s="614" t="s">
        <v>1292</v>
      </c>
      <c r="H231" s="614" t="s">
        <v>770</v>
      </c>
      <c r="I231" s="614" t="s">
        <v>776</v>
      </c>
      <c r="J231" s="614" t="s">
        <v>714</v>
      </c>
      <c r="K231" s="614" t="s">
        <v>1219</v>
      </c>
      <c r="L231" s="615">
        <v>48.42</v>
      </c>
      <c r="M231" s="615">
        <v>48.42</v>
      </c>
      <c r="N231" s="614">
        <v>1</v>
      </c>
      <c r="O231" s="697">
        <v>1</v>
      </c>
      <c r="P231" s="615">
        <v>48.42</v>
      </c>
      <c r="Q231" s="630">
        <v>1</v>
      </c>
      <c r="R231" s="614">
        <v>1</v>
      </c>
      <c r="S231" s="630">
        <v>1</v>
      </c>
      <c r="T231" s="697">
        <v>1</v>
      </c>
      <c r="U231" s="653">
        <v>1</v>
      </c>
    </row>
    <row r="232" spans="1:21" ht="14.4" customHeight="1" x14ac:dyDescent="0.3">
      <c r="A232" s="613">
        <v>25</v>
      </c>
      <c r="B232" s="614" t="s">
        <v>1112</v>
      </c>
      <c r="C232" s="614" t="s">
        <v>1247</v>
      </c>
      <c r="D232" s="695" t="s">
        <v>1783</v>
      </c>
      <c r="E232" s="696" t="s">
        <v>1270</v>
      </c>
      <c r="F232" s="614" t="s">
        <v>1243</v>
      </c>
      <c r="G232" s="614" t="s">
        <v>1292</v>
      </c>
      <c r="H232" s="614" t="s">
        <v>325</v>
      </c>
      <c r="I232" s="614" t="s">
        <v>713</v>
      </c>
      <c r="J232" s="614" t="s">
        <v>714</v>
      </c>
      <c r="K232" s="614" t="s">
        <v>1310</v>
      </c>
      <c r="L232" s="615">
        <v>48.42</v>
      </c>
      <c r="M232" s="615">
        <v>48.42</v>
      </c>
      <c r="N232" s="614">
        <v>1</v>
      </c>
      <c r="O232" s="697">
        <v>1</v>
      </c>
      <c r="P232" s="615">
        <v>48.42</v>
      </c>
      <c r="Q232" s="630">
        <v>1</v>
      </c>
      <c r="R232" s="614">
        <v>1</v>
      </c>
      <c r="S232" s="630">
        <v>1</v>
      </c>
      <c r="T232" s="697">
        <v>1</v>
      </c>
      <c r="U232" s="653">
        <v>1</v>
      </c>
    </row>
    <row r="233" spans="1:21" ht="14.4" customHeight="1" x14ac:dyDescent="0.3">
      <c r="A233" s="613">
        <v>25</v>
      </c>
      <c r="B233" s="614" t="s">
        <v>1112</v>
      </c>
      <c r="C233" s="614" t="s">
        <v>1247</v>
      </c>
      <c r="D233" s="695" t="s">
        <v>1783</v>
      </c>
      <c r="E233" s="696" t="s">
        <v>1270</v>
      </c>
      <c r="F233" s="614" t="s">
        <v>1243</v>
      </c>
      <c r="G233" s="614" t="s">
        <v>1292</v>
      </c>
      <c r="H233" s="614" t="s">
        <v>325</v>
      </c>
      <c r="I233" s="614" t="s">
        <v>1298</v>
      </c>
      <c r="J233" s="614" t="s">
        <v>714</v>
      </c>
      <c r="K233" s="614" t="s">
        <v>1299</v>
      </c>
      <c r="L233" s="615">
        <v>24.22</v>
      </c>
      <c r="M233" s="615">
        <v>48.44</v>
      </c>
      <c r="N233" s="614">
        <v>2</v>
      </c>
      <c r="O233" s="697">
        <v>1.5</v>
      </c>
      <c r="P233" s="615">
        <v>48.44</v>
      </c>
      <c r="Q233" s="630">
        <v>1</v>
      </c>
      <c r="R233" s="614">
        <v>2</v>
      </c>
      <c r="S233" s="630">
        <v>1</v>
      </c>
      <c r="T233" s="697">
        <v>1.5</v>
      </c>
      <c r="U233" s="653">
        <v>1</v>
      </c>
    </row>
    <row r="234" spans="1:21" ht="14.4" customHeight="1" x14ac:dyDescent="0.3">
      <c r="A234" s="613">
        <v>25</v>
      </c>
      <c r="B234" s="614" t="s">
        <v>1112</v>
      </c>
      <c r="C234" s="614" t="s">
        <v>1247</v>
      </c>
      <c r="D234" s="695" t="s">
        <v>1783</v>
      </c>
      <c r="E234" s="696" t="s">
        <v>1270</v>
      </c>
      <c r="F234" s="614" t="s">
        <v>1243</v>
      </c>
      <c r="G234" s="614" t="s">
        <v>1564</v>
      </c>
      <c r="H234" s="614" t="s">
        <v>325</v>
      </c>
      <c r="I234" s="614" t="s">
        <v>1565</v>
      </c>
      <c r="J234" s="614" t="s">
        <v>1566</v>
      </c>
      <c r="K234" s="614" t="s">
        <v>1567</v>
      </c>
      <c r="L234" s="615">
        <v>0</v>
      </c>
      <c r="M234" s="615">
        <v>0</v>
      </c>
      <c r="N234" s="614">
        <v>1</v>
      </c>
      <c r="O234" s="697">
        <v>1</v>
      </c>
      <c r="P234" s="615">
        <v>0</v>
      </c>
      <c r="Q234" s="630"/>
      <c r="R234" s="614">
        <v>1</v>
      </c>
      <c r="S234" s="630">
        <v>1</v>
      </c>
      <c r="T234" s="697">
        <v>1</v>
      </c>
      <c r="U234" s="653">
        <v>1</v>
      </c>
    </row>
    <row r="235" spans="1:21" ht="14.4" customHeight="1" x14ac:dyDescent="0.3">
      <c r="A235" s="613">
        <v>25</v>
      </c>
      <c r="B235" s="614" t="s">
        <v>1112</v>
      </c>
      <c r="C235" s="614" t="s">
        <v>1247</v>
      </c>
      <c r="D235" s="695" t="s">
        <v>1783</v>
      </c>
      <c r="E235" s="696" t="s">
        <v>1270</v>
      </c>
      <c r="F235" s="614" t="s">
        <v>1243</v>
      </c>
      <c r="G235" s="614" t="s">
        <v>1564</v>
      </c>
      <c r="H235" s="614" t="s">
        <v>325</v>
      </c>
      <c r="I235" s="614" t="s">
        <v>1568</v>
      </c>
      <c r="J235" s="614" t="s">
        <v>1569</v>
      </c>
      <c r="K235" s="614" t="s">
        <v>1567</v>
      </c>
      <c r="L235" s="615">
        <v>0</v>
      </c>
      <c r="M235" s="615">
        <v>0</v>
      </c>
      <c r="N235" s="614">
        <v>1</v>
      </c>
      <c r="O235" s="697">
        <v>1</v>
      </c>
      <c r="P235" s="615">
        <v>0</v>
      </c>
      <c r="Q235" s="630"/>
      <c r="R235" s="614">
        <v>1</v>
      </c>
      <c r="S235" s="630">
        <v>1</v>
      </c>
      <c r="T235" s="697">
        <v>1</v>
      </c>
      <c r="U235" s="653">
        <v>1</v>
      </c>
    </row>
    <row r="236" spans="1:21" ht="14.4" customHeight="1" x14ac:dyDescent="0.3">
      <c r="A236" s="613">
        <v>25</v>
      </c>
      <c r="B236" s="614" t="s">
        <v>1112</v>
      </c>
      <c r="C236" s="614" t="s">
        <v>1247</v>
      </c>
      <c r="D236" s="695" t="s">
        <v>1783</v>
      </c>
      <c r="E236" s="696" t="s">
        <v>1270</v>
      </c>
      <c r="F236" s="614" t="s">
        <v>1243</v>
      </c>
      <c r="G236" s="614" t="s">
        <v>1564</v>
      </c>
      <c r="H236" s="614" t="s">
        <v>325</v>
      </c>
      <c r="I236" s="614" t="s">
        <v>1570</v>
      </c>
      <c r="J236" s="614" t="s">
        <v>1571</v>
      </c>
      <c r="K236" s="614" t="s">
        <v>1572</v>
      </c>
      <c r="L236" s="615">
        <v>0</v>
      </c>
      <c r="M236" s="615">
        <v>0</v>
      </c>
      <c r="N236" s="614">
        <v>1</v>
      </c>
      <c r="O236" s="697">
        <v>1</v>
      </c>
      <c r="P236" s="615">
        <v>0</v>
      </c>
      <c r="Q236" s="630"/>
      <c r="R236" s="614">
        <v>1</v>
      </c>
      <c r="S236" s="630">
        <v>1</v>
      </c>
      <c r="T236" s="697">
        <v>1</v>
      </c>
      <c r="U236" s="653">
        <v>1</v>
      </c>
    </row>
    <row r="237" spans="1:21" ht="14.4" customHeight="1" x14ac:dyDescent="0.3">
      <c r="A237" s="613">
        <v>25</v>
      </c>
      <c r="B237" s="614" t="s">
        <v>1112</v>
      </c>
      <c r="C237" s="614" t="s">
        <v>1247</v>
      </c>
      <c r="D237" s="695" t="s">
        <v>1783</v>
      </c>
      <c r="E237" s="696" t="s">
        <v>1272</v>
      </c>
      <c r="F237" s="614" t="s">
        <v>1243</v>
      </c>
      <c r="G237" s="614" t="s">
        <v>1287</v>
      </c>
      <c r="H237" s="614" t="s">
        <v>770</v>
      </c>
      <c r="I237" s="614" t="s">
        <v>956</v>
      </c>
      <c r="J237" s="614" t="s">
        <v>864</v>
      </c>
      <c r="K237" s="614" t="s">
        <v>1196</v>
      </c>
      <c r="L237" s="615">
        <v>150.04</v>
      </c>
      <c r="M237" s="615">
        <v>600.16</v>
      </c>
      <c r="N237" s="614">
        <v>4</v>
      </c>
      <c r="O237" s="697">
        <v>2.5</v>
      </c>
      <c r="P237" s="615">
        <v>600.16</v>
      </c>
      <c r="Q237" s="630">
        <v>1</v>
      </c>
      <c r="R237" s="614">
        <v>4</v>
      </c>
      <c r="S237" s="630">
        <v>1</v>
      </c>
      <c r="T237" s="697">
        <v>2.5</v>
      </c>
      <c r="U237" s="653">
        <v>1</v>
      </c>
    </row>
    <row r="238" spans="1:21" ht="14.4" customHeight="1" x14ac:dyDescent="0.3">
      <c r="A238" s="613">
        <v>25</v>
      </c>
      <c r="B238" s="614" t="s">
        <v>1112</v>
      </c>
      <c r="C238" s="614" t="s">
        <v>1247</v>
      </c>
      <c r="D238" s="695" t="s">
        <v>1783</v>
      </c>
      <c r="E238" s="696" t="s">
        <v>1272</v>
      </c>
      <c r="F238" s="614" t="s">
        <v>1243</v>
      </c>
      <c r="G238" s="614" t="s">
        <v>1287</v>
      </c>
      <c r="H238" s="614" t="s">
        <v>770</v>
      </c>
      <c r="I238" s="614" t="s">
        <v>956</v>
      </c>
      <c r="J238" s="614" t="s">
        <v>864</v>
      </c>
      <c r="K238" s="614" t="s">
        <v>1196</v>
      </c>
      <c r="L238" s="615">
        <v>154.36000000000001</v>
      </c>
      <c r="M238" s="615">
        <v>7100.56</v>
      </c>
      <c r="N238" s="614">
        <v>46</v>
      </c>
      <c r="O238" s="697">
        <v>34.5</v>
      </c>
      <c r="P238" s="615">
        <v>5093.88</v>
      </c>
      <c r="Q238" s="630">
        <v>0.71739130434782605</v>
      </c>
      <c r="R238" s="614">
        <v>33</v>
      </c>
      <c r="S238" s="630">
        <v>0.71739130434782605</v>
      </c>
      <c r="T238" s="697">
        <v>24.5</v>
      </c>
      <c r="U238" s="653">
        <v>0.71014492753623193</v>
      </c>
    </row>
    <row r="239" spans="1:21" ht="14.4" customHeight="1" x14ac:dyDescent="0.3">
      <c r="A239" s="613">
        <v>25</v>
      </c>
      <c r="B239" s="614" t="s">
        <v>1112</v>
      </c>
      <c r="C239" s="614" t="s">
        <v>1247</v>
      </c>
      <c r="D239" s="695" t="s">
        <v>1783</v>
      </c>
      <c r="E239" s="696" t="s">
        <v>1272</v>
      </c>
      <c r="F239" s="614" t="s">
        <v>1243</v>
      </c>
      <c r="G239" s="614" t="s">
        <v>1505</v>
      </c>
      <c r="H239" s="614" t="s">
        <v>770</v>
      </c>
      <c r="I239" s="614" t="s">
        <v>1573</v>
      </c>
      <c r="J239" s="614" t="s">
        <v>1574</v>
      </c>
      <c r="K239" s="614" t="s">
        <v>1508</v>
      </c>
      <c r="L239" s="615">
        <v>119.7</v>
      </c>
      <c r="M239" s="615">
        <v>239.4</v>
      </c>
      <c r="N239" s="614">
        <v>2</v>
      </c>
      <c r="O239" s="697">
        <v>0.5</v>
      </c>
      <c r="P239" s="615">
        <v>239.4</v>
      </c>
      <c r="Q239" s="630">
        <v>1</v>
      </c>
      <c r="R239" s="614">
        <v>2</v>
      </c>
      <c r="S239" s="630">
        <v>1</v>
      </c>
      <c r="T239" s="697">
        <v>0.5</v>
      </c>
      <c r="U239" s="653">
        <v>1</v>
      </c>
    </row>
    <row r="240" spans="1:21" ht="14.4" customHeight="1" x14ac:dyDescent="0.3">
      <c r="A240" s="613">
        <v>25</v>
      </c>
      <c r="B240" s="614" t="s">
        <v>1112</v>
      </c>
      <c r="C240" s="614" t="s">
        <v>1247</v>
      </c>
      <c r="D240" s="695" t="s">
        <v>1783</v>
      </c>
      <c r="E240" s="696" t="s">
        <v>1272</v>
      </c>
      <c r="F240" s="614" t="s">
        <v>1243</v>
      </c>
      <c r="G240" s="614" t="s">
        <v>1289</v>
      </c>
      <c r="H240" s="614" t="s">
        <v>325</v>
      </c>
      <c r="I240" s="614" t="s">
        <v>919</v>
      </c>
      <c r="J240" s="614" t="s">
        <v>920</v>
      </c>
      <c r="K240" s="614" t="s">
        <v>1209</v>
      </c>
      <c r="L240" s="615">
        <v>170.52</v>
      </c>
      <c r="M240" s="615">
        <v>341.04</v>
      </c>
      <c r="N240" s="614">
        <v>2</v>
      </c>
      <c r="O240" s="697">
        <v>1</v>
      </c>
      <c r="P240" s="615">
        <v>341.04</v>
      </c>
      <c r="Q240" s="630">
        <v>1</v>
      </c>
      <c r="R240" s="614">
        <v>2</v>
      </c>
      <c r="S240" s="630">
        <v>1</v>
      </c>
      <c r="T240" s="697">
        <v>1</v>
      </c>
      <c r="U240" s="653">
        <v>1</v>
      </c>
    </row>
    <row r="241" spans="1:21" ht="14.4" customHeight="1" x14ac:dyDescent="0.3">
      <c r="A241" s="613">
        <v>25</v>
      </c>
      <c r="B241" s="614" t="s">
        <v>1112</v>
      </c>
      <c r="C241" s="614" t="s">
        <v>1247</v>
      </c>
      <c r="D241" s="695" t="s">
        <v>1783</v>
      </c>
      <c r="E241" s="696" t="s">
        <v>1272</v>
      </c>
      <c r="F241" s="614" t="s">
        <v>1243</v>
      </c>
      <c r="G241" s="614" t="s">
        <v>1366</v>
      </c>
      <c r="H241" s="614" t="s">
        <v>325</v>
      </c>
      <c r="I241" s="614" t="s">
        <v>1575</v>
      </c>
      <c r="J241" s="614" t="s">
        <v>1576</v>
      </c>
      <c r="K241" s="614" t="s">
        <v>1577</v>
      </c>
      <c r="L241" s="615">
        <v>0</v>
      </c>
      <c r="M241" s="615">
        <v>0</v>
      </c>
      <c r="N241" s="614">
        <v>1</v>
      </c>
      <c r="O241" s="697">
        <v>1</v>
      </c>
      <c r="P241" s="615"/>
      <c r="Q241" s="630"/>
      <c r="R241" s="614"/>
      <c r="S241" s="630">
        <v>0</v>
      </c>
      <c r="T241" s="697"/>
      <c r="U241" s="653">
        <v>0</v>
      </c>
    </row>
    <row r="242" spans="1:21" ht="14.4" customHeight="1" x14ac:dyDescent="0.3">
      <c r="A242" s="613">
        <v>25</v>
      </c>
      <c r="B242" s="614" t="s">
        <v>1112</v>
      </c>
      <c r="C242" s="614" t="s">
        <v>1247</v>
      </c>
      <c r="D242" s="695" t="s">
        <v>1783</v>
      </c>
      <c r="E242" s="696" t="s">
        <v>1272</v>
      </c>
      <c r="F242" s="614" t="s">
        <v>1243</v>
      </c>
      <c r="G242" s="614" t="s">
        <v>1578</v>
      </c>
      <c r="H242" s="614" t="s">
        <v>325</v>
      </c>
      <c r="I242" s="614" t="s">
        <v>1579</v>
      </c>
      <c r="J242" s="614" t="s">
        <v>1580</v>
      </c>
      <c r="K242" s="614" t="s">
        <v>1581</v>
      </c>
      <c r="L242" s="615">
        <v>0</v>
      </c>
      <c r="M242" s="615">
        <v>0</v>
      </c>
      <c r="N242" s="614">
        <v>1</v>
      </c>
      <c r="O242" s="697">
        <v>0.5</v>
      </c>
      <c r="P242" s="615">
        <v>0</v>
      </c>
      <c r="Q242" s="630"/>
      <c r="R242" s="614">
        <v>1</v>
      </c>
      <c r="S242" s="630">
        <v>1</v>
      </c>
      <c r="T242" s="697">
        <v>0.5</v>
      </c>
      <c r="U242" s="653">
        <v>1</v>
      </c>
    </row>
    <row r="243" spans="1:21" ht="14.4" customHeight="1" x14ac:dyDescent="0.3">
      <c r="A243" s="613">
        <v>25</v>
      </c>
      <c r="B243" s="614" t="s">
        <v>1112</v>
      </c>
      <c r="C243" s="614" t="s">
        <v>1247</v>
      </c>
      <c r="D243" s="695" t="s">
        <v>1783</v>
      </c>
      <c r="E243" s="696" t="s">
        <v>1272</v>
      </c>
      <c r="F243" s="614" t="s">
        <v>1243</v>
      </c>
      <c r="G243" s="614" t="s">
        <v>1442</v>
      </c>
      <c r="H243" s="614" t="s">
        <v>325</v>
      </c>
      <c r="I243" s="614" t="s">
        <v>1443</v>
      </c>
      <c r="J243" s="614" t="s">
        <v>1444</v>
      </c>
      <c r="K243" s="614" t="s">
        <v>1445</v>
      </c>
      <c r="L243" s="615">
        <v>79.48</v>
      </c>
      <c r="M243" s="615">
        <v>317.92</v>
      </c>
      <c r="N243" s="614">
        <v>4</v>
      </c>
      <c r="O243" s="697">
        <v>3</v>
      </c>
      <c r="P243" s="615">
        <v>317.92</v>
      </c>
      <c r="Q243" s="630">
        <v>1</v>
      </c>
      <c r="R243" s="614">
        <v>4</v>
      </c>
      <c r="S243" s="630">
        <v>1</v>
      </c>
      <c r="T243" s="697">
        <v>3</v>
      </c>
      <c r="U243" s="653">
        <v>1</v>
      </c>
    </row>
    <row r="244" spans="1:21" ht="14.4" customHeight="1" x14ac:dyDescent="0.3">
      <c r="A244" s="613">
        <v>25</v>
      </c>
      <c r="B244" s="614" t="s">
        <v>1112</v>
      </c>
      <c r="C244" s="614" t="s">
        <v>1247</v>
      </c>
      <c r="D244" s="695" t="s">
        <v>1783</v>
      </c>
      <c r="E244" s="696" t="s">
        <v>1272</v>
      </c>
      <c r="F244" s="614" t="s">
        <v>1243</v>
      </c>
      <c r="G244" s="614" t="s">
        <v>1442</v>
      </c>
      <c r="H244" s="614" t="s">
        <v>325</v>
      </c>
      <c r="I244" s="614" t="s">
        <v>1582</v>
      </c>
      <c r="J244" s="614" t="s">
        <v>1444</v>
      </c>
      <c r="K244" s="614" t="s">
        <v>1192</v>
      </c>
      <c r="L244" s="615">
        <v>0</v>
      </c>
      <c r="M244" s="615">
        <v>0</v>
      </c>
      <c r="N244" s="614">
        <v>2</v>
      </c>
      <c r="O244" s="697">
        <v>1</v>
      </c>
      <c r="P244" s="615"/>
      <c r="Q244" s="630"/>
      <c r="R244" s="614"/>
      <c r="S244" s="630">
        <v>0</v>
      </c>
      <c r="T244" s="697"/>
      <c r="U244" s="653">
        <v>0</v>
      </c>
    </row>
    <row r="245" spans="1:21" ht="14.4" customHeight="1" x14ac:dyDescent="0.3">
      <c r="A245" s="613">
        <v>25</v>
      </c>
      <c r="B245" s="614" t="s">
        <v>1112</v>
      </c>
      <c r="C245" s="614" t="s">
        <v>1247</v>
      </c>
      <c r="D245" s="695" t="s">
        <v>1783</v>
      </c>
      <c r="E245" s="696" t="s">
        <v>1272</v>
      </c>
      <c r="F245" s="614" t="s">
        <v>1243</v>
      </c>
      <c r="G245" s="614" t="s">
        <v>1318</v>
      </c>
      <c r="H245" s="614" t="s">
        <v>325</v>
      </c>
      <c r="I245" s="614" t="s">
        <v>900</v>
      </c>
      <c r="J245" s="614" t="s">
        <v>901</v>
      </c>
      <c r="K245" s="614" t="s">
        <v>1319</v>
      </c>
      <c r="L245" s="615">
        <v>48.09</v>
      </c>
      <c r="M245" s="615">
        <v>96.18</v>
      </c>
      <c r="N245" s="614">
        <v>2</v>
      </c>
      <c r="O245" s="697">
        <v>1</v>
      </c>
      <c r="P245" s="615">
        <v>96.18</v>
      </c>
      <c r="Q245" s="630">
        <v>1</v>
      </c>
      <c r="R245" s="614">
        <v>2</v>
      </c>
      <c r="S245" s="630">
        <v>1</v>
      </c>
      <c r="T245" s="697">
        <v>1</v>
      </c>
      <c r="U245" s="653">
        <v>1</v>
      </c>
    </row>
    <row r="246" spans="1:21" ht="14.4" customHeight="1" x14ac:dyDescent="0.3">
      <c r="A246" s="613">
        <v>25</v>
      </c>
      <c r="B246" s="614" t="s">
        <v>1112</v>
      </c>
      <c r="C246" s="614" t="s">
        <v>1247</v>
      </c>
      <c r="D246" s="695" t="s">
        <v>1783</v>
      </c>
      <c r="E246" s="696" t="s">
        <v>1272</v>
      </c>
      <c r="F246" s="614" t="s">
        <v>1243</v>
      </c>
      <c r="G246" s="614" t="s">
        <v>1583</v>
      </c>
      <c r="H246" s="614" t="s">
        <v>325</v>
      </c>
      <c r="I246" s="614" t="s">
        <v>1584</v>
      </c>
      <c r="J246" s="614" t="s">
        <v>389</v>
      </c>
      <c r="K246" s="614" t="s">
        <v>1585</v>
      </c>
      <c r="L246" s="615">
        <v>0</v>
      </c>
      <c r="M246" s="615">
        <v>0</v>
      </c>
      <c r="N246" s="614">
        <v>1</v>
      </c>
      <c r="O246" s="697">
        <v>0.5</v>
      </c>
      <c r="P246" s="615">
        <v>0</v>
      </c>
      <c r="Q246" s="630"/>
      <c r="R246" s="614">
        <v>1</v>
      </c>
      <c r="S246" s="630">
        <v>1</v>
      </c>
      <c r="T246" s="697">
        <v>0.5</v>
      </c>
      <c r="U246" s="653">
        <v>1</v>
      </c>
    </row>
    <row r="247" spans="1:21" ht="14.4" customHeight="1" x14ac:dyDescent="0.3">
      <c r="A247" s="613">
        <v>25</v>
      </c>
      <c r="B247" s="614" t="s">
        <v>1112</v>
      </c>
      <c r="C247" s="614" t="s">
        <v>1247</v>
      </c>
      <c r="D247" s="695" t="s">
        <v>1783</v>
      </c>
      <c r="E247" s="696" t="s">
        <v>1272</v>
      </c>
      <c r="F247" s="614" t="s">
        <v>1243</v>
      </c>
      <c r="G247" s="614" t="s">
        <v>1378</v>
      </c>
      <c r="H247" s="614" t="s">
        <v>325</v>
      </c>
      <c r="I247" s="614" t="s">
        <v>1586</v>
      </c>
      <c r="J247" s="614" t="s">
        <v>1587</v>
      </c>
      <c r="K247" s="614" t="s">
        <v>1577</v>
      </c>
      <c r="L247" s="615">
        <v>73.73</v>
      </c>
      <c r="M247" s="615">
        <v>589.84</v>
      </c>
      <c r="N247" s="614">
        <v>8</v>
      </c>
      <c r="O247" s="697">
        <v>8</v>
      </c>
      <c r="P247" s="615">
        <v>368.65000000000003</v>
      </c>
      <c r="Q247" s="630">
        <v>0.625</v>
      </c>
      <c r="R247" s="614">
        <v>5</v>
      </c>
      <c r="S247" s="630">
        <v>0.625</v>
      </c>
      <c r="T247" s="697">
        <v>5</v>
      </c>
      <c r="U247" s="653">
        <v>0.625</v>
      </c>
    </row>
    <row r="248" spans="1:21" ht="14.4" customHeight="1" x14ac:dyDescent="0.3">
      <c r="A248" s="613">
        <v>25</v>
      </c>
      <c r="B248" s="614" t="s">
        <v>1112</v>
      </c>
      <c r="C248" s="614" t="s">
        <v>1247</v>
      </c>
      <c r="D248" s="695" t="s">
        <v>1783</v>
      </c>
      <c r="E248" s="696" t="s">
        <v>1272</v>
      </c>
      <c r="F248" s="614" t="s">
        <v>1243</v>
      </c>
      <c r="G248" s="614" t="s">
        <v>1378</v>
      </c>
      <c r="H248" s="614" t="s">
        <v>325</v>
      </c>
      <c r="I248" s="614" t="s">
        <v>1379</v>
      </c>
      <c r="J248" s="614" t="s">
        <v>1380</v>
      </c>
      <c r="K248" s="614" t="s">
        <v>1381</v>
      </c>
      <c r="L248" s="615">
        <v>26.9</v>
      </c>
      <c r="M248" s="615">
        <v>26.9</v>
      </c>
      <c r="N248" s="614">
        <v>1</v>
      </c>
      <c r="O248" s="697">
        <v>1</v>
      </c>
      <c r="P248" s="615"/>
      <c r="Q248" s="630">
        <v>0</v>
      </c>
      <c r="R248" s="614"/>
      <c r="S248" s="630">
        <v>0</v>
      </c>
      <c r="T248" s="697"/>
      <c r="U248" s="653">
        <v>0</v>
      </c>
    </row>
    <row r="249" spans="1:21" ht="14.4" customHeight="1" x14ac:dyDescent="0.3">
      <c r="A249" s="613">
        <v>25</v>
      </c>
      <c r="B249" s="614" t="s">
        <v>1112</v>
      </c>
      <c r="C249" s="614" t="s">
        <v>1247</v>
      </c>
      <c r="D249" s="695" t="s">
        <v>1783</v>
      </c>
      <c r="E249" s="696" t="s">
        <v>1272</v>
      </c>
      <c r="F249" s="614" t="s">
        <v>1243</v>
      </c>
      <c r="G249" s="614" t="s">
        <v>1291</v>
      </c>
      <c r="H249" s="614" t="s">
        <v>325</v>
      </c>
      <c r="I249" s="614" t="s">
        <v>930</v>
      </c>
      <c r="J249" s="614" t="s">
        <v>931</v>
      </c>
      <c r="K249" s="614" t="s">
        <v>932</v>
      </c>
      <c r="L249" s="615">
        <v>147.31</v>
      </c>
      <c r="M249" s="615">
        <v>1767.72</v>
      </c>
      <c r="N249" s="614">
        <v>12</v>
      </c>
      <c r="O249" s="697">
        <v>7</v>
      </c>
      <c r="P249" s="615">
        <v>441.93</v>
      </c>
      <c r="Q249" s="630">
        <v>0.25</v>
      </c>
      <c r="R249" s="614">
        <v>3</v>
      </c>
      <c r="S249" s="630">
        <v>0.25</v>
      </c>
      <c r="T249" s="697">
        <v>2.5</v>
      </c>
      <c r="U249" s="653">
        <v>0.35714285714285715</v>
      </c>
    </row>
    <row r="250" spans="1:21" ht="14.4" customHeight="1" x14ac:dyDescent="0.3">
      <c r="A250" s="613">
        <v>25</v>
      </c>
      <c r="B250" s="614" t="s">
        <v>1112</v>
      </c>
      <c r="C250" s="614" t="s">
        <v>1247</v>
      </c>
      <c r="D250" s="695" t="s">
        <v>1783</v>
      </c>
      <c r="E250" s="696" t="s">
        <v>1272</v>
      </c>
      <c r="F250" s="614" t="s">
        <v>1243</v>
      </c>
      <c r="G250" s="614" t="s">
        <v>1291</v>
      </c>
      <c r="H250" s="614" t="s">
        <v>325</v>
      </c>
      <c r="I250" s="614" t="s">
        <v>1387</v>
      </c>
      <c r="J250" s="614" t="s">
        <v>931</v>
      </c>
      <c r="K250" s="614" t="s">
        <v>1388</v>
      </c>
      <c r="L250" s="615">
        <v>0</v>
      </c>
      <c r="M250" s="615">
        <v>0</v>
      </c>
      <c r="N250" s="614">
        <v>2</v>
      </c>
      <c r="O250" s="697">
        <v>2</v>
      </c>
      <c r="P250" s="615">
        <v>0</v>
      </c>
      <c r="Q250" s="630"/>
      <c r="R250" s="614">
        <v>1</v>
      </c>
      <c r="S250" s="630">
        <v>0.5</v>
      </c>
      <c r="T250" s="697">
        <v>1</v>
      </c>
      <c r="U250" s="653">
        <v>0.5</v>
      </c>
    </row>
    <row r="251" spans="1:21" ht="14.4" customHeight="1" x14ac:dyDescent="0.3">
      <c r="A251" s="613">
        <v>25</v>
      </c>
      <c r="B251" s="614" t="s">
        <v>1112</v>
      </c>
      <c r="C251" s="614" t="s">
        <v>1247</v>
      </c>
      <c r="D251" s="695" t="s">
        <v>1783</v>
      </c>
      <c r="E251" s="696" t="s">
        <v>1272</v>
      </c>
      <c r="F251" s="614" t="s">
        <v>1243</v>
      </c>
      <c r="G251" s="614" t="s">
        <v>1291</v>
      </c>
      <c r="H251" s="614" t="s">
        <v>325</v>
      </c>
      <c r="I251" s="614" t="s">
        <v>1320</v>
      </c>
      <c r="J251" s="614" t="s">
        <v>931</v>
      </c>
      <c r="K251" s="614" t="s">
        <v>932</v>
      </c>
      <c r="L251" s="615">
        <v>147.31</v>
      </c>
      <c r="M251" s="615">
        <v>1325.79</v>
      </c>
      <c r="N251" s="614">
        <v>9</v>
      </c>
      <c r="O251" s="697">
        <v>5</v>
      </c>
      <c r="P251" s="615">
        <v>736.55</v>
      </c>
      <c r="Q251" s="630">
        <v>0.55555555555555558</v>
      </c>
      <c r="R251" s="614">
        <v>5</v>
      </c>
      <c r="S251" s="630">
        <v>0.55555555555555558</v>
      </c>
      <c r="T251" s="697">
        <v>3</v>
      </c>
      <c r="U251" s="653">
        <v>0.6</v>
      </c>
    </row>
    <row r="252" spans="1:21" ht="14.4" customHeight="1" x14ac:dyDescent="0.3">
      <c r="A252" s="613">
        <v>25</v>
      </c>
      <c r="B252" s="614" t="s">
        <v>1112</v>
      </c>
      <c r="C252" s="614" t="s">
        <v>1247</v>
      </c>
      <c r="D252" s="695" t="s">
        <v>1783</v>
      </c>
      <c r="E252" s="696" t="s">
        <v>1272</v>
      </c>
      <c r="F252" s="614" t="s">
        <v>1243</v>
      </c>
      <c r="G252" s="614" t="s">
        <v>1588</v>
      </c>
      <c r="H252" s="614" t="s">
        <v>325</v>
      </c>
      <c r="I252" s="614" t="s">
        <v>1589</v>
      </c>
      <c r="J252" s="614" t="s">
        <v>1590</v>
      </c>
      <c r="K252" s="614" t="s">
        <v>1219</v>
      </c>
      <c r="L252" s="615">
        <v>0</v>
      </c>
      <c r="M252" s="615">
        <v>0</v>
      </c>
      <c r="N252" s="614">
        <v>2</v>
      </c>
      <c r="O252" s="697">
        <v>1</v>
      </c>
      <c r="P252" s="615">
        <v>0</v>
      </c>
      <c r="Q252" s="630"/>
      <c r="R252" s="614">
        <v>2</v>
      </c>
      <c r="S252" s="630">
        <v>1</v>
      </c>
      <c r="T252" s="697">
        <v>1</v>
      </c>
      <c r="U252" s="653">
        <v>1</v>
      </c>
    </row>
    <row r="253" spans="1:21" ht="14.4" customHeight="1" x14ac:dyDescent="0.3">
      <c r="A253" s="613">
        <v>25</v>
      </c>
      <c r="B253" s="614" t="s">
        <v>1112</v>
      </c>
      <c r="C253" s="614" t="s">
        <v>1247</v>
      </c>
      <c r="D253" s="695" t="s">
        <v>1783</v>
      </c>
      <c r="E253" s="696" t="s">
        <v>1272</v>
      </c>
      <c r="F253" s="614" t="s">
        <v>1243</v>
      </c>
      <c r="G253" s="614" t="s">
        <v>1297</v>
      </c>
      <c r="H253" s="614" t="s">
        <v>325</v>
      </c>
      <c r="I253" s="614" t="s">
        <v>907</v>
      </c>
      <c r="J253" s="614" t="s">
        <v>908</v>
      </c>
      <c r="K253" s="614" t="s">
        <v>1296</v>
      </c>
      <c r="L253" s="615">
        <v>30.17</v>
      </c>
      <c r="M253" s="615">
        <v>150.85000000000002</v>
      </c>
      <c r="N253" s="614">
        <v>5</v>
      </c>
      <c r="O253" s="697">
        <v>2</v>
      </c>
      <c r="P253" s="615">
        <v>150.85000000000002</v>
      </c>
      <c r="Q253" s="630">
        <v>1</v>
      </c>
      <c r="R253" s="614">
        <v>5</v>
      </c>
      <c r="S253" s="630">
        <v>1</v>
      </c>
      <c r="T253" s="697">
        <v>2</v>
      </c>
      <c r="U253" s="653">
        <v>1</v>
      </c>
    </row>
    <row r="254" spans="1:21" ht="14.4" customHeight="1" x14ac:dyDescent="0.3">
      <c r="A254" s="613">
        <v>25</v>
      </c>
      <c r="B254" s="614" t="s">
        <v>1112</v>
      </c>
      <c r="C254" s="614" t="s">
        <v>1247</v>
      </c>
      <c r="D254" s="695" t="s">
        <v>1783</v>
      </c>
      <c r="E254" s="696" t="s">
        <v>1272</v>
      </c>
      <c r="F254" s="614" t="s">
        <v>1243</v>
      </c>
      <c r="G254" s="614" t="s">
        <v>1321</v>
      </c>
      <c r="H254" s="614" t="s">
        <v>325</v>
      </c>
      <c r="I254" s="614" t="s">
        <v>1591</v>
      </c>
      <c r="J254" s="614" t="s">
        <v>1323</v>
      </c>
      <c r="K254" s="614" t="s">
        <v>1592</v>
      </c>
      <c r="L254" s="615">
        <v>0</v>
      </c>
      <c r="M254" s="615">
        <v>0</v>
      </c>
      <c r="N254" s="614">
        <v>1</v>
      </c>
      <c r="O254" s="697">
        <v>0.5</v>
      </c>
      <c r="P254" s="615"/>
      <c r="Q254" s="630"/>
      <c r="R254" s="614"/>
      <c r="S254" s="630">
        <v>0</v>
      </c>
      <c r="T254" s="697"/>
      <c r="U254" s="653">
        <v>0</v>
      </c>
    </row>
    <row r="255" spans="1:21" ht="14.4" customHeight="1" x14ac:dyDescent="0.3">
      <c r="A255" s="613">
        <v>25</v>
      </c>
      <c r="B255" s="614" t="s">
        <v>1112</v>
      </c>
      <c r="C255" s="614" t="s">
        <v>1247</v>
      </c>
      <c r="D255" s="695" t="s">
        <v>1783</v>
      </c>
      <c r="E255" s="696" t="s">
        <v>1272</v>
      </c>
      <c r="F255" s="614" t="s">
        <v>1243</v>
      </c>
      <c r="G255" s="614" t="s">
        <v>1325</v>
      </c>
      <c r="H255" s="614" t="s">
        <v>325</v>
      </c>
      <c r="I255" s="614" t="s">
        <v>1593</v>
      </c>
      <c r="J255" s="614" t="s">
        <v>1594</v>
      </c>
      <c r="K255" s="614" t="s">
        <v>434</v>
      </c>
      <c r="L255" s="615">
        <v>185.26</v>
      </c>
      <c r="M255" s="615">
        <v>185.26</v>
      </c>
      <c r="N255" s="614">
        <v>1</v>
      </c>
      <c r="O255" s="697">
        <v>1</v>
      </c>
      <c r="P255" s="615">
        <v>185.26</v>
      </c>
      <c r="Q255" s="630">
        <v>1</v>
      </c>
      <c r="R255" s="614">
        <v>1</v>
      </c>
      <c r="S255" s="630">
        <v>1</v>
      </c>
      <c r="T255" s="697">
        <v>1</v>
      </c>
      <c r="U255" s="653">
        <v>1</v>
      </c>
    </row>
    <row r="256" spans="1:21" ht="14.4" customHeight="1" x14ac:dyDescent="0.3">
      <c r="A256" s="613">
        <v>25</v>
      </c>
      <c r="B256" s="614" t="s">
        <v>1112</v>
      </c>
      <c r="C256" s="614" t="s">
        <v>1247</v>
      </c>
      <c r="D256" s="695" t="s">
        <v>1783</v>
      </c>
      <c r="E256" s="696" t="s">
        <v>1272</v>
      </c>
      <c r="F256" s="614" t="s">
        <v>1243</v>
      </c>
      <c r="G256" s="614" t="s">
        <v>1325</v>
      </c>
      <c r="H256" s="614" t="s">
        <v>325</v>
      </c>
      <c r="I256" s="614" t="s">
        <v>433</v>
      </c>
      <c r="J256" s="614" t="s">
        <v>430</v>
      </c>
      <c r="K256" s="614" t="s">
        <v>434</v>
      </c>
      <c r="L256" s="615">
        <v>301.2</v>
      </c>
      <c r="M256" s="615">
        <v>301.2</v>
      </c>
      <c r="N256" s="614">
        <v>1</v>
      </c>
      <c r="O256" s="697">
        <v>1</v>
      </c>
      <c r="P256" s="615">
        <v>301.2</v>
      </c>
      <c r="Q256" s="630">
        <v>1</v>
      </c>
      <c r="R256" s="614">
        <v>1</v>
      </c>
      <c r="S256" s="630">
        <v>1</v>
      </c>
      <c r="T256" s="697">
        <v>1</v>
      </c>
      <c r="U256" s="653">
        <v>1</v>
      </c>
    </row>
    <row r="257" spans="1:21" ht="14.4" customHeight="1" x14ac:dyDescent="0.3">
      <c r="A257" s="613">
        <v>25</v>
      </c>
      <c r="B257" s="614" t="s">
        <v>1112</v>
      </c>
      <c r="C257" s="614" t="s">
        <v>1247</v>
      </c>
      <c r="D257" s="695" t="s">
        <v>1783</v>
      </c>
      <c r="E257" s="696" t="s">
        <v>1272</v>
      </c>
      <c r="F257" s="614" t="s">
        <v>1243</v>
      </c>
      <c r="G257" s="614" t="s">
        <v>1595</v>
      </c>
      <c r="H257" s="614" t="s">
        <v>325</v>
      </c>
      <c r="I257" s="614" t="s">
        <v>415</v>
      </c>
      <c r="J257" s="614" t="s">
        <v>1596</v>
      </c>
      <c r="K257" s="614" t="s">
        <v>1386</v>
      </c>
      <c r="L257" s="615">
        <v>0</v>
      </c>
      <c r="M257" s="615">
        <v>0</v>
      </c>
      <c r="N257" s="614">
        <v>1</v>
      </c>
      <c r="O257" s="697">
        <v>1</v>
      </c>
      <c r="P257" s="615">
        <v>0</v>
      </c>
      <c r="Q257" s="630"/>
      <c r="R257" s="614">
        <v>1</v>
      </c>
      <c r="S257" s="630">
        <v>1</v>
      </c>
      <c r="T257" s="697">
        <v>1</v>
      </c>
      <c r="U257" s="653">
        <v>1</v>
      </c>
    </row>
    <row r="258" spans="1:21" ht="14.4" customHeight="1" x14ac:dyDescent="0.3">
      <c r="A258" s="613">
        <v>25</v>
      </c>
      <c r="B258" s="614" t="s">
        <v>1112</v>
      </c>
      <c r="C258" s="614" t="s">
        <v>1247</v>
      </c>
      <c r="D258" s="695" t="s">
        <v>1783</v>
      </c>
      <c r="E258" s="696" t="s">
        <v>1272</v>
      </c>
      <c r="F258" s="614" t="s">
        <v>1243</v>
      </c>
      <c r="G258" s="614" t="s">
        <v>1466</v>
      </c>
      <c r="H258" s="614" t="s">
        <v>325</v>
      </c>
      <c r="I258" s="614" t="s">
        <v>1467</v>
      </c>
      <c r="J258" s="614" t="s">
        <v>735</v>
      </c>
      <c r="K258" s="614" t="s">
        <v>1468</v>
      </c>
      <c r="L258" s="615">
        <v>54.23</v>
      </c>
      <c r="M258" s="615">
        <v>54.23</v>
      </c>
      <c r="N258" s="614">
        <v>1</v>
      </c>
      <c r="O258" s="697">
        <v>1</v>
      </c>
      <c r="P258" s="615">
        <v>54.23</v>
      </c>
      <c r="Q258" s="630">
        <v>1</v>
      </c>
      <c r="R258" s="614">
        <v>1</v>
      </c>
      <c r="S258" s="630">
        <v>1</v>
      </c>
      <c r="T258" s="697">
        <v>1</v>
      </c>
      <c r="U258" s="653">
        <v>1</v>
      </c>
    </row>
    <row r="259" spans="1:21" ht="14.4" customHeight="1" x14ac:dyDescent="0.3">
      <c r="A259" s="613">
        <v>25</v>
      </c>
      <c r="B259" s="614" t="s">
        <v>1112</v>
      </c>
      <c r="C259" s="614" t="s">
        <v>1247</v>
      </c>
      <c r="D259" s="695" t="s">
        <v>1783</v>
      </c>
      <c r="E259" s="696" t="s">
        <v>1272</v>
      </c>
      <c r="F259" s="614" t="s">
        <v>1243</v>
      </c>
      <c r="G259" s="614" t="s">
        <v>1597</v>
      </c>
      <c r="H259" s="614" t="s">
        <v>325</v>
      </c>
      <c r="I259" s="614" t="s">
        <v>1598</v>
      </c>
      <c r="J259" s="614" t="s">
        <v>1599</v>
      </c>
      <c r="K259" s="614" t="s">
        <v>1600</v>
      </c>
      <c r="L259" s="615">
        <v>0</v>
      </c>
      <c r="M259" s="615">
        <v>0</v>
      </c>
      <c r="N259" s="614">
        <v>1</v>
      </c>
      <c r="O259" s="697">
        <v>1</v>
      </c>
      <c r="P259" s="615"/>
      <c r="Q259" s="630"/>
      <c r="R259" s="614"/>
      <c r="S259" s="630">
        <v>0</v>
      </c>
      <c r="T259" s="697"/>
      <c r="U259" s="653">
        <v>0</v>
      </c>
    </row>
    <row r="260" spans="1:21" ht="14.4" customHeight="1" x14ac:dyDescent="0.3">
      <c r="A260" s="613">
        <v>25</v>
      </c>
      <c r="B260" s="614" t="s">
        <v>1112</v>
      </c>
      <c r="C260" s="614" t="s">
        <v>1247</v>
      </c>
      <c r="D260" s="695" t="s">
        <v>1783</v>
      </c>
      <c r="E260" s="696" t="s">
        <v>1272</v>
      </c>
      <c r="F260" s="614" t="s">
        <v>1243</v>
      </c>
      <c r="G260" s="614" t="s">
        <v>1597</v>
      </c>
      <c r="H260" s="614" t="s">
        <v>325</v>
      </c>
      <c r="I260" s="614" t="s">
        <v>1601</v>
      </c>
      <c r="J260" s="614" t="s">
        <v>1599</v>
      </c>
      <c r="K260" s="614" t="s">
        <v>1602</v>
      </c>
      <c r="L260" s="615">
        <v>83.79</v>
      </c>
      <c r="M260" s="615">
        <v>167.58</v>
      </c>
      <c r="N260" s="614">
        <v>2</v>
      </c>
      <c r="O260" s="697">
        <v>1</v>
      </c>
      <c r="P260" s="615">
        <v>167.58</v>
      </c>
      <c r="Q260" s="630">
        <v>1</v>
      </c>
      <c r="R260" s="614">
        <v>2</v>
      </c>
      <c r="S260" s="630">
        <v>1</v>
      </c>
      <c r="T260" s="697">
        <v>1</v>
      </c>
      <c r="U260" s="653">
        <v>1</v>
      </c>
    </row>
    <row r="261" spans="1:21" ht="14.4" customHeight="1" x14ac:dyDescent="0.3">
      <c r="A261" s="613">
        <v>25</v>
      </c>
      <c r="B261" s="614" t="s">
        <v>1112</v>
      </c>
      <c r="C261" s="614" t="s">
        <v>1247</v>
      </c>
      <c r="D261" s="695" t="s">
        <v>1783</v>
      </c>
      <c r="E261" s="696" t="s">
        <v>1272</v>
      </c>
      <c r="F261" s="614" t="s">
        <v>1243</v>
      </c>
      <c r="G261" s="614" t="s">
        <v>1603</v>
      </c>
      <c r="H261" s="614" t="s">
        <v>770</v>
      </c>
      <c r="I261" s="614" t="s">
        <v>1604</v>
      </c>
      <c r="J261" s="614" t="s">
        <v>1605</v>
      </c>
      <c r="K261" s="614" t="s">
        <v>1606</v>
      </c>
      <c r="L261" s="615">
        <v>31.32</v>
      </c>
      <c r="M261" s="615">
        <v>62.64</v>
      </c>
      <c r="N261" s="614">
        <v>2</v>
      </c>
      <c r="O261" s="697">
        <v>1</v>
      </c>
      <c r="P261" s="615">
        <v>62.64</v>
      </c>
      <c r="Q261" s="630">
        <v>1</v>
      </c>
      <c r="R261" s="614">
        <v>2</v>
      </c>
      <c r="S261" s="630">
        <v>1</v>
      </c>
      <c r="T261" s="697">
        <v>1</v>
      </c>
      <c r="U261" s="653">
        <v>1</v>
      </c>
    </row>
    <row r="262" spans="1:21" ht="14.4" customHeight="1" x14ac:dyDescent="0.3">
      <c r="A262" s="613">
        <v>25</v>
      </c>
      <c r="B262" s="614" t="s">
        <v>1112</v>
      </c>
      <c r="C262" s="614" t="s">
        <v>1247</v>
      </c>
      <c r="D262" s="695" t="s">
        <v>1783</v>
      </c>
      <c r="E262" s="696" t="s">
        <v>1273</v>
      </c>
      <c r="F262" s="614" t="s">
        <v>1243</v>
      </c>
      <c r="G262" s="614" t="s">
        <v>1607</v>
      </c>
      <c r="H262" s="614" t="s">
        <v>325</v>
      </c>
      <c r="I262" s="614" t="s">
        <v>1608</v>
      </c>
      <c r="J262" s="614" t="s">
        <v>1609</v>
      </c>
      <c r="K262" s="614" t="s">
        <v>1610</v>
      </c>
      <c r="L262" s="615">
        <v>5.14</v>
      </c>
      <c r="M262" s="615">
        <v>5.14</v>
      </c>
      <c r="N262" s="614">
        <v>1</v>
      </c>
      <c r="O262" s="697">
        <v>1</v>
      </c>
      <c r="P262" s="615">
        <v>5.14</v>
      </c>
      <c r="Q262" s="630">
        <v>1</v>
      </c>
      <c r="R262" s="614">
        <v>1</v>
      </c>
      <c r="S262" s="630">
        <v>1</v>
      </c>
      <c r="T262" s="697">
        <v>1</v>
      </c>
      <c r="U262" s="653">
        <v>1</v>
      </c>
    </row>
    <row r="263" spans="1:21" ht="14.4" customHeight="1" x14ac:dyDescent="0.3">
      <c r="A263" s="613">
        <v>25</v>
      </c>
      <c r="B263" s="614" t="s">
        <v>1112</v>
      </c>
      <c r="C263" s="614" t="s">
        <v>1247</v>
      </c>
      <c r="D263" s="695" t="s">
        <v>1783</v>
      </c>
      <c r="E263" s="696" t="s">
        <v>1273</v>
      </c>
      <c r="F263" s="614" t="s">
        <v>1243</v>
      </c>
      <c r="G263" s="614" t="s">
        <v>1287</v>
      </c>
      <c r="H263" s="614" t="s">
        <v>770</v>
      </c>
      <c r="I263" s="614" t="s">
        <v>956</v>
      </c>
      <c r="J263" s="614" t="s">
        <v>864</v>
      </c>
      <c r="K263" s="614" t="s">
        <v>1196</v>
      </c>
      <c r="L263" s="615">
        <v>150.04</v>
      </c>
      <c r="M263" s="615">
        <v>450.12</v>
      </c>
      <c r="N263" s="614">
        <v>3</v>
      </c>
      <c r="O263" s="697">
        <v>3</v>
      </c>
      <c r="P263" s="615">
        <v>450.12</v>
      </c>
      <c r="Q263" s="630">
        <v>1</v>
      </c>
      <c r="R263" s="614">
        <v>3</v>
      </c>
      <c r="S263" s="630">
        <v>1</v>
      </c>
      <c r="T263" s="697">
        <v>3</v>
      </c>
      <c r="U263" s="653">
        <v>1</v>
      </c>
    </row>
    <row r="264" spans="1:21" ht="14.4" customHeight="1" x14ac:dyDescent="0.3">
      <c r="A264" s="613">
        <v>25</v>
      </c>
      <c r="B264" s="614" t="s">
        <v>1112</v>
      </c>
      <c r="C264" s="614" t="s">
        <v>1247</v>
      </c>
      <c r="D264" s="695" t="s">
        <v>1783</v>
      </c>
      <c r="E264" s="696" t="s">
        <v>1273</v>
      </c>
      <c r="F264" s="614" t="s">
        <v>1243</v>
      </c>
      <c r="G264" s="614" t="s">
        <v>1287</v>
      </c>
      <c r="H264" s="614" t="s">
        <v>770</v>
      </c>
      <c r="I264" s="614" t="s">
        <v>956</v>
      </c>
      <c r="J264" s="614" t="s">
        <v>864</v>
      </c>
      <c r="K264" s="614" t="s">
        <v>1196</v>
      </c>
      <c r="L264" s="615">
        <v>154.36000000000001</v>
      </c>
      <c r="M264" s="615">
        <v>1389.2400000000002</v>
      </c>
      <c r="N264" s="614">
        <v>9</v>
      </c>
      <c r="O264" s="697">
        <v>7.5</v>
      </c>
      <c r="P264" s="615">
        <v>463.08000000000004</v>
      </c>
      <c r="Q264" s="630">
        <v>0.33333333333333331</v>
      </c>
      <c r="R264" s="614">
        <v>3</v>
      </c>
      <c r="S264" s="630">
        <v>0.33333333333333331</v>
      </c>
      <c r="T264" s="697">
        <v>2.5</v>
      </c>
      <c r="U264" s="653">
        <v>0.33333333333333331</v>
      </c>
    </row>
    <row r="265" spans="1:21" ht="14.4" customHeight="1" x14ac:dyDescent="0.3">
      <c r="A265" s="613">
        <v>25</v>
      </c>
      <c r="B265" s="614" t="s">
        <v>1112</v>
      </c>
      <c r="C265" s="614" t="s">
        <v>1247</v>
      </c>
      <c r="D265" s="695" t="s">
        <v>1783</v>
      </c>
      <c r="E265" s="696" t="s">
        <v>1273</v>
      </c>
      <c r="F265" s="614" t="s">
        <v>1243</v>
      </c>
      <c r="G265" s="614" t="s">
        <v>1287</v>
      </c>
      <c r="H265" s="614" t="s">
        <v>325</v>
      </c>
      <c r="I265" s="614" t="s">
        <v>1288</v>
      </c>
      <c r="J265" s="614" t="s">
        <v>864</v>
      </c>
      <c r="K265" s="614" t="s">
        <v>1196</v>
      </c>
      <c r="L265" s="615">
        <v>154.36000000000001</v>
      </c>
      <c r="M265" s="615">
        <v>308.72000000000003</v>
      </c>
      <c r="N265" s="614">
        <v>2</v>
      </c>
      <c r="O265" s="697">
        <v>2</v>
      </c>
      <c r="P265" s="615">
        <v>154.36000000000001</v>
      </c>
      <c r="Q265" s="630">
        <v>0.5</v>
      </c>
      <c r="R265" s="614">
        <v>1</v>
      </c>
      <c r="S265" s="630">
        <v>0.5</v>
      </c>
      <c r="T265" s="697">
        <v>1</v>
      </c>
      <c r="U265" s="653">
        <v>0.5</v>
      </c>
    </row>
    <row r="266" spans="1:21" ht="14.4" customHeight="1" x14ac:dyDescent="0.3">
      <c r="A266" s="613">
        <v>25</v>
      </c>
      <c r="B266" s="614" t="s">
        <v>1112</v>
      </c>
      <c r="C266" s="614" t="s">
        <v>1247</v>
      </c>
      <c r="D266" s="695" t="s">
        <v>1783</v>
      </c>
      <c r="E266" s="696" t="s">
        <v>1273</v>
      </c>
      <c r="F266" s="614" t="s">
        <v>1243</v>
      </c>
      <c r="G266" s="614" t="s">
        <v>1505</v>
      </c>
      <c r="H266" s="614" t="s">
        <v>325</v>
      </c>
      <c r="I266" s="614" t="s">
        <v>1611</v>
      </c>
      <c r="J266" s="614" t="s">
        <v>1612</v>
      </c>
      <c r="K266" s="614" t="s">
        <v>1508</v>
      </c>
      <c r="L266" s="615">
        <v>212.59</v>
      </c>
      <c r="M266" s="615">
        <v>425.18</v>
      </c>
      <c r="N266" s="614">
        <v>2</v>
      </c>
      <c r="O266" s="697">
        <v>0.5</v>
      </c>
      <c r="P266" s="615"/>
      <c r="Q266" s="630">
        <v>0</v>
      </c>
      <c r="R266" s="614"/>
      <c r="S266" s="630">
        <v>0</v>
      </c>
      <c r="T266" s="697"/>
      <c r="U266" s="653">
        <v>0</v>
      </c>
    </row>
    <row r="267" spans="1:21" ht="14.4" customHeight="1" x14ac:dyDescent="0.3">
      <c r="A267" s="613">
        <v>25</v>
      </c>
      <c r="B267" s="614" t="s">
        <v>1112</v>
      </c>
      <c r="C267" s="614" t="s">
        <v>1247</v>
      </c>
      <c r="D267" s="695" t="s">
        <v>1783</v>
      </c>
      <c r="E267" s="696" t="s">
        <v>1273</v>
      </c>
      <c r="F267" s="614" t="s">
        <v>1243</v>
      </c>
      <c r="G267" s="614" t="s">
        <v>1312</v>
      </c>
      <c r="H267" s="614" t="s">
        <v>325</v>
      </c>
      <c r="I267" s="614" t="s">
        <v>937</v>
      </c>
      <c r="J267" s="614" t="s">
        <v>938</v>
      </c>
      <c r="K267" s="614" t="s">
        <v>1613</v>
      </c>
      <c r="L267" s="615">
        <v>64.12</v>
      </c>
      <c r="M267" s="615">
        <v>64.12</v>
      </c>
      <c r="N267" s="614">
        <v>1</v>
      </c>
      <c r="O267" s="697">
        <v>1</v>
      </c>
      <c r="P267" s="615">
        <v>64.12</v>
      </c>
      <c r="Q267" s="630">
        <v>1</v>
      </c>
      <c r="R267" s="614">
        <v>1</v>
      </c>
      <c r="S267" s="630">
        <v>1</v>
      </c>
      <c r="T267" s="697">
        <v>1</v>
      </c>
      <c r="U267" s="653">
        <v>1</v>
      </c>
    </row>
    <row r="268" spans="1:21" ht="14.4" customHeight="1" x14ac:dyDescent="0.3">
      <c r="A268" s="613">
        <v>25</v>
      </c>
      <c r="B268" s="614" t="s">
        <v>1112</v>
      </c>
      <c r="C268" s="614" t="s">
        <v>1247</v>
      </c>
      <c r="D268" s="695" t="s">
        <v>1783</v>
      </c>
      <c r="E268" s="696" t="s">
        <v>1273</v>
      </c>
      <c r="F268" s="614" t="s">
        <v>1243</v>
      </c>
      <c r="G268" s="614" t="s">
        <v>1614</v>
      </c>
      <c r="H268" s="614" t="s">
        <v>325</v>
      </c>
      <c r="I268" s="614" t="s">
        <v>1615</v>
      </c>
      <c r="J268" s="614" t="s">
        <v>1616</v>
      </c>
      <c r="K268" s="614" t="s">
        <v>1617</v>
      </c>
      <c r="L268" s="615">
        <v>43.76</v>
      </c>
      <c r="M268" s="615">
        <v>43.76</v>
      </c>
      <c r="N268" s="614">
        <v>1</v>
      </c>
      <c r="O268" s="697">
        <v>0.5</v>
      </c>
      <c r="P268" s="615"/>
      <c r="Q268" s="630">
        <v>0</v>
      </c>
      <c r="R268" s="614"/>
      <c r="S268" s="630">
        <v>0</v>
      </c>
      <c r="T268" s="697"/>
      <c r="U268" s="653">
        <v>0</v>
      </c>
    </row>
    <row r="269" spans="1:21" ht="14.4" customHeight="1" x14ac:dyDescent="0.3">
      <c r="A269" s="613">
        <v>25</v>
      </c>
      <c r="B269" s="614" t="s">
        <v>1112</v>
      </c>
      <c r="C269" s="614" t="s">
        <v>1247</v>
      </c>
      <c r="D269" s="695" t="s">
        <v>1783</v>
      </c>
      <c r="E269" s="696" t="s">
        <v>1273</v>
      </c>
      <c r="F269" s="614" t="s">
        <v>1243</v>
      </c>
      <c r="G269" s="614" t="s">
        <v>1358</v>
      </c>
      <c r="H269" s="614" t="s">
        <v>325</v>
      </c>
      <c r="I269" s="614" t="s">
        <v>1618</v>
      </c>
      <c r="J269" s="614" t="s">
        <v>1540</v>
      </c>
      <c r="K269" s="614" t="s">
        <v>1619</v>
      </c>
      <c r="L269" s="615">
        <v>334.1</v>
      </c>
      <c r="M269" s="615">
        <v>334.1</v>
      </c>
      <c r="N269" s="614">
        <v>1</v>
      </c>
      <c r="O269" s="697">
        <v>0.5</v>
      </c>
      <c r="P269" s="615"/>
      <c r="Q269" s="630">
        <v>0</v>
      </c>
      <c r="R269" s="614"/>
      <c r="S269" s="630">
        <v>0</v>
      </c>
      <c r="T269" s="697"/>
      <c r="U269" s="653">
        <v>0</v>
      </c>
    </row>
    <row r="270" spans="1:21" ht="14.4" customHeight="1" x14ac:dyDescent="0.3">
      <c r="A270" s="613">
        <v>25</v>
      </c>
      <c r="B270" s="614" t="s">
        <v>1112</v>
      </c>
      <c r="C270" s="614" t="s">
        <v>1247</v>
      </c>
      <c r="D270" s="695" t="s">
        <v>1783</v>
      </c>
      <c r="E270" s="696" t="s">
        <v>1273</v>
      </c>
      <c r="F270" s="614" t="s">
        <v>1243</v>
      </c>
      <c r="G270" s="614" t="s">
        <v>1480</v>
      </c>
      <c r="H270" s="614" t="s">
        <v>325</v>
      </c>
      <c r="I270" s="614" t="s">
        <v>400</v>
      </c>
      <c r="J270" s="614" t="s">
        <v>1481</v>
      </c>
      <c r="K270" s="614" t="s">
        <v>1482</v>
      </c>
      <c r="L270" s="615">
        <v>18.11</v>
      </c>
      <c r="M270" s="615">
        <v>36.22</v>
      </c>
      <c r="N270" s="614">
        <v>2</v>
      </c>
      <c r="O270" s="697">
        <v>0.5</v>
      </c>
      <c r="P270" s="615"/>
      <c r="Q270" s="630">
        <v>0</v>
      </c>
      <c r="R270" s="614"/>
      <c r="S270" s="630">
        <v>0</v>
      </c>
      <c r="T270" s="697"/>
      <c r="U270" s="653">
        <v>0</v>
      </c>
    </row>
    <row r="271" spans="1:21" ht="14.4" customHeight="1" x14ac:dyDescent="0.3">
      <c r="A271" s="613">
        <v>25</v>
      </c>
      <c r="B271" s="614" t="s">
        <v>1112</v>
      </c>
      <c r="C271" s="614" t="s">
        <v>1247</v>
      </c>
      <c r="D271" s="695" t="s">
        <v>1783</v>
      </c>
      <c r="E271" s="696" t="s">
        <v>1273</v>
      </c>
      <c r="F271" s="614" t="s">
        <v>1243</v>
      </c>
      <c r="G271" s="614" t="s">
        <v>1541</v>
      </c>
      <c r="H271" s="614" t="s">
        <v>325</v>
      </c>
      <c r="I271" s="614" t="s">
        <v>1620</v>
      </c>
      <c r="J271" s="614" t="s">
        <v>1621</v>
      </c>
      <c r="K271" s="614" t="s">
        <v>1622</v>
      </c>
      <c r="L271" s="615">
        <v>519.42999999999995</v>
      </c>
      <c r="M271" s="615">
        <v>519.42999999999995</v>
      </c>
      <c r="N271" s="614">
        <v>1</v>
      </c>
      <c r="O271" s="697">
        <v>0.5</v>
      </c>
      <c r="P271" s="615"/>
      <c r="Q271" s="630">
        <v>0</v>
      </c>
      <c r="R271" s="614"/>
      <c r="S271" s="630">
        <v>0</v>
      </c>
      <c r="T271" s="697"/>
      <c r="U271" s="653">
        <v>0</v>
      </c>
    </row>
    <row r="272" spans="1:21" ht="14.4" customHeight="1" x14ac:dyDescent="0.3">
      <c r="A272" s="613">
        <v>25</v>
      </c>
      <c r="B272" s="614" t="s">
        <v>1112</v>
      </c>
      <c r="C272" s="614" t="s">
        <v>1247</v>
      </c>
      <c r="D272" s="695" t="s">
        <v>1783</v>
      </c>
      <c r="E272" s="696" t="s">
        <v>1273</v>
      </c>
      <c r="F272" s="614" t="s">
        <v>1243</v>
      </c>
      <c r="G272" s="614" t="s">
        <v>1541</v>
      </c>
      <c r="H272" s="614" t="s">
        <v>325</v>
      </c>
      <c r="I272" s="614" t="s">
        <v>985</v>
      </c>
      <c r="J272" s="614" t="s">
        <v>986</v>
      </c>
      <c r="K272" s="614" t="s">
        <v>1542</v>
      </c>
      <c r="L272" s="615">
        <v>2991.23</v>
      </c>
      <c r="M272" s="615">
        <v>5982.46</v>
      </c>
      <c r="N272" s="614">
        <v>2</v>
      </c>
      <c r="O272" s="697">
        <v>2</v>
      </c>
      <c r="P272" s="615">
        <v>2991.23</v>
      </c>
      <c r="Q272" s="630">
        <v>0.5</v>
      </c>
      <c r="R272" s="614">
        <v>1</v>
      </c>
      <c r="S272" s="630">
        <v>0.5</v>
      </c>
      <c r="T272" s="697">
        <v>1</v>
      </c>
      <c r="U272" s="653">
        <v>0.5</v>
      </c>
    </row>
    <row r="273" spans="1:21" ht="14.4" customHeight="1" x14ac:dyDescent="0.3">
      <c r="A273" s="613">
        <v>25</v>
      </c>
      <c r="B273" s="614" t="s">
        <v>1112</v>
      </c>
      <c r="C273" s="614" t="s">
        <v>1247</v>
      </c>
      <c r="D273" s="695" t="s">
        <v>1783</v>
      </c>
      <c r="E273" s="696" t="s">
        <v>1273</v>
      </c>
      <c r="F273" s="614" t="s">
        <v>1243</v>
      </c>
      <c r="G273" s="614" t="s">
        <v>1541</v>
      </c>
      <c r="H273" s="614" t="s">
        <v>325</v>
      </c>
      <c r="I273" s="614" t="s">
        <v>1553</v>
      </c>
      <c r="J273" s="614" t="s">
        <v>986</v>
      </c>
      <c r="K273" s="614" t="s">
        <v>1554</v>
      </c>
      <c r="L273" s="615">
        <v>748.21</v>
      </c>
      <c r="M273" s="615">
        <v>1496.42</v>
      </c>
      <c r="N273" s="614">
        <v>2</v>
      </c>
      <c r="O273" s="697">
        <v>2</v>
      </c>
      <c r="P273" s="615">
        <v>1496.42</v>
      </c>
      <c r="Q273" s="630">
        <v>1</v>
      </c>
      <c r="R273" s="614">
        <v>2</v>
      </c>
      <c r="S273" s="630">
        <v>1</v>
      </c>
      <c r="T273" s="697">
        <v>2</v>
      </c>
      <c r="U273" s="653">
        <v>1</v>
      </c>
    </row>
    <row r="274" spans="1:21" ht="14.4" customHeight="1" x14ac:dyDescent="0.3">
      <c r="A274" s="613">
        <v>25</v>
      </c>
      <c r="B274" s="614" t="s">
        <v>1112</v>
      </c>
      <c r="C274" s="614" t="s">
        <v>1247</v>
      </c>
      <c r="D274" s="695" t="s">
        <v>1783</v>
      </c>
      <c r="E274" s="696" t="s">
        <v>1273</v>
      </c>
      <c r="F274" s="614" t="s">
        <v>1243</v>
      </c>
      <c r="G274" s="614" t="s">
        <v>1623</v>
      </c>
      <c r="H274" s="614" t="s">
        <v>325</v>
      </c>
      <c r="I274" s="614" t="s">
        <v>1624</v>
      </c>
      <c r="J274" s="614" t="s">
        <v>1625</v>
      </c>
      <c r="K274" s="614" t="s">
        <v>1626</v>
      </c>
      <c r="L274" s="615">
        <v>0</v>
      </c>
      <c r="M274" s="615">
        <v>0</v>
      </c>
      <c r="N274" s="614">
        <v>1</v>
      </c>
      <c r="O274" s="697">
        <v>1</v>
      </c>
      <c r="P274" s="615">
        <v>0</v>
      </c>
      <c r="Q274" s="630"/>
      <c r="R274" s="614">
        <v>1</v>
      </c>
      <c r="S274" s="630">
        <v>1</v>
      </c>
      <c r="T274" s="697">
        <v>1</v>
      </c>
      <c r="U274" s="653">
        <v>1</v>
      </c>
    </row>
    <row r="275" spans="1:21" ht="14.4" customHeight="1" x14ac:dyDescent="0.3">
      <c r="A275" s="613">
        <v>25</v>
      </c>
      <c r="B275" s="614" t="s">
        <v>1112</v>
      </c>
      <c r="C275" s="614" t="s">
        <v>1247</v>
      </c>
      <c r="D275" s="695" t="s">
        <v>1783</v>
      </c>
      <c r="E275" s="696" t="s">
        <v>1273</v>
      </c>
      <c r="F275" s="614" t="s">
        <v>1243</v>
      </c>
      <c r="G275" s="614" t="s">
        <v>1318</v>
      </c>
      <c r="H275" s="614" t="s">
        <v>325</v>
      </c>
      <c r="I275" s="614" t="s">
        <v>900</v>
      </c>
      <c r="J275" s="614" t="s">
        <v>901</v>
      </c>
      <c r="K275" s="614" t="s">
        <v>1319</v>
      </c>
      <c r="L275" s="615">
        <v>48.09</v>
      </c>
      <c r="M275" s="615">
        <v>48.09</v>
      </c>
      <c r="N275" s="614">
        <v>1</v>
      </c>
      <c r="O275" s="697">
        <v>0.5</v>
      </c>
      <c r="P275" s="615"/>
      <c r="Q275" s="630">
        <v>0</v>
      </c>
      <c r="R275" s="614"/>
      <c r="S275" s="630">
        <v>0</v>
      </c>
      <c r="T275" s="697"/>
      <c r="U275" s="653">
        <v>0</v>
      </c>
    </row>
    <row r="276" spans="1:21" ht="14.4" customHeight="1" x14ac:dyDescent="0.3">
      <c r="A276" s="613">
        <v>25</v>
      </c>
      <c r="B276" s="614" t="s">
        <v>1112</v>
      </c>
      <c r="C276" s="614" t="s">
        <v>1247</v>
      </c>
      <c r="D276" s="695" t="s">
        <v>1783</v>
      </c>
      <c r="E276" s="696" t="s">
        <v>1273</v>
      </c>
      <c r="F276" s="614" t="s">
        <v>1243</v>
      </c>
      <c r="G276" s="614" t="s">
        <v>1291</v>
      </c>
      <c r="H276" s="614" t="s">
        <v>325</v>
      </c>
      <c r="I276" s="614" t="s">
        <v>930</v>
      </c>
      <c r="J276" s="614" t="s">
        <v>931</v>
      </c>
      <c r="K276" s="614" t="s">
        <v>932</v>
      </c>
      <c r="L276" s="615">
        <v>147.31</v>
      </c>
      <c r="M276" s="615">
        <v>883.86</v>
      </c>
      <c r="N276" s="614">
        <v>6</v>
      </c>
      <c r="O276" s="697">
        <v>4.5</v>
      </c>
      <c r="P276" s="615">
        <v>294.62</v>
      </c>
      <c r="Q276" s="630">
        <v>0.33333333333333331</v>
      </c>
      <c r="R276" s="614">
        <v>2</v>
      </c>
      <c r="S276" s="630">
        <v>0.33333333333333331</v>
      </c>
      <c r="T276" s="697">
        <v>2</v>
      </c>
      <c r="U276" s="653">
        <v>0.44444444444444442</v>
      </c>
    </row>
    <row r="277" spans="1:21" ht="14.4" customHeight="1" x14ac:dyDescent="0.3">
      <c r="A277" s="613">
        <v>25</v>
      </c>
      <c r="B277" s="614" t="s">
        <v>1112</v>
      </c>
      <c r="C277" s="614" t="s">
        <v>1247</v>
      </c>
      <c r="D277" s="695" t="s">
        <v>1783</v>
      </c>
      <c r="E277" s="696" t="s">
        <v>1273</v>
      </c>
      <c r="F277" s="614" t="s">
        <v>1243</v>
      </c>
      <c r="G277" s="614" t="s">
        <v>1291</v>
      </c>
      <c r="H277" s="614" t="s">
        <v>325</v>
      </c>
      <c r="I277" s="614" t="s">
        <v>1320</v>
      </c>
      <c r="J277" s="614" t="s">
        <v>931</v>
      </c>
      <c r="K277" s="614" t="s">
        <v>932</v>
      </c>
      <c r="L277" s="615">
        <v>147.31</v>
      </c>
      <c r="M277" s="615">
        <v>294.62</v>
      </c>
      <c r="N277" s="614">
        <v>2</v>
      </c>
      <c r="O277" s="697">
        <v>1</v>
      </c>
      <c r="P277" s="615"/>
      <c r="Q277" s="630">
        <v>0</v>
      </c>
      <c r="R277" s="614"/>
      <c r="S277" s="630">
        <v>0</v>
      </c>
      <c r="T277" s="697"/>
      <c r="U277" s="653">
        <v>0</v>
      </c>
    </row>
    <row r="278" spans="1:21" ht="14.4" customHeight="1" x14ac:dyDescent="0.3">
      <c r="A278" s="613">
        <v>25</v>
      </c>
      <c r="B278" s="614" t="s">
        <v>1112</v>
      </c>
      <c r="C278" s="614" t="s">
        <v>1247</v>
      </c>
      <c r="D278" s="695" t="s">
        <v>1783</v>
      </c>
      <c r="E278" s="696" t="s">
        <v>1273</v>
      </c>
      <c r="F278" s="614" t="s">
        <v>1243</v>
      </c>
      <c r="G278" s="614" t="s">
        <v>1291</v>
      </c>
      <c r="H278" s="614" t="s">
        <v>325</v>
      </c>
      <c r="I278" s="614" t="s">
        <v>1627</v>
      </c>
      <c r="J278" s="614" t="s">
        <v>1206</v>
      </c>
      <c r="K278" s="614" t="s">
        <v>1628</v>
      </c>
      <c r="L278" s="615">
        <v>79.31</v>
      </c>
      <c r="M278" s="615">
        <v>79.31</v>
      </c>
      <c r="N278" s="614">
        <v>1</v>
      </c>
      <c r="O278" s="697">
        <v>0.5</v>
      </c>
      <c r="P278" s="615">
        <v>79.31</v>
      </c>
      <c r="Q278" s="630">
        <v>1</v>
      </c>
      <c r="R278" s="614">
        <v>1</v>
      </c>
      <c r="S278" s="630">
        <v>1</v>
      </c>
      <c r="T278" s="697">
        <v>0.5</v>
      </c>
      <c r="U278" s="653">
        <v>1</v>
      </c>
    </row>
    <row r="279" spans="1:21" ht="14.4" customHeight="1" x14ac:dyDescent="0.3">
      <c r="A279" s="613">
        <v>25</v>
      </c>
      <c r="B279" s="614" t="s">
        <v>1112</v>
      </c>
      <c r="C279" s="614" t="s">
        <v>1247</v>
      </c>
      <c r="D279" s="695" t="s">
        <v>1783</v>
      </c>
      <c r="E279" s="696" t="s">
        <v>1273</v>
      </c>
      <c r="F279" s="614" t="s">
        <v>1243</v>
      </c>
      <c r="G279" s="614" t="s">
        <v>1292</v>
      </c>
      <c r="H279" s="614" t="s">
        <v>770</v>
      </c>
      <c r="I279" s="614" t="s">
        <v>776</v>
      </c>
      <c r="J279" s="614" t="s">
        <v>714</v>
      </c>
      <c r="K279" s="614" t="s">
        <v>1219</v>
      </c>
      <c r="L279" s="615">
        <v>48.42</v>
      </c>
      <c r="M279" s="615">
        <v>338.94</v>
      </c>
      <c r="N279" s="614">
        <v>7</v>
      </c>
      <c r="O279" s="697">
        <v>5.5</v>
      </c>
      <c r="P279" s="615">
        <v>193.68</v>
      </c>
      <c r="Q279" s="630">
        <v>0.57142857142857151</v>
      </c>
      <c r="R279" s="614">
        <v>4</v>
      </c>
      <c r="S279" s="630">
        <v>0.5714285714285714</v>
      </c>
      <c r="T279" s="697">
        <v>3</v>
      </c>
      <c r="U279" s="653">
        <v>0.54545454545454541</v>
      </c>
    </row>
    <row r="280" spans="1:21" ht="14.4" customHeight="1" x14ac:dyDescent="0.3">
      <c r="A280" s="613">
        <v>25</v>
      </c>
      <c r="B280" s="614" t="s">
        <v>1112</v>
      </c>
      <c r="C280" s="614" t="s">
        <v>1247</v>
      </c>
      <c r="D280" s="695" t="s">
        <v>1783</v>
      </c>
      <c r="E280" s="696" t="s">
        <v>1273</v>
      </c>
      <c r="F280" s="614" t="s">
        <v>1243</v>
      </c>
      <c r="G280" s="614" t="s">
        <v>1292</v>
      </c>
      <c r="H280" s="614" t="s">
        <v>325</v>
      </c>
      <c r="I280" s="614" t="s">
        <v>713</v>
      </c>
      <c r="J280" s="614" t="s">
        <v>714</v>
      </c>
      <c r="K280" s="614" t="s">
        <v>1310</v>
      </c>
      <c r="L280" s="615">
        <v>48.42</v>
      </c>
      <c r="M280" s="615">
        <v>48.42</v>
      </c>
      <c r="N280" s="614">
        <v>1</v>
      </c>
      <c r="O280" s="697">
        <v>0.5</v>
      </c>
      <c r="P280" s="615"/>
      <c r="Q280" s="630">
        <v>0</v>
      </c>
      <c r="R280" s="614"/>
      <c r="S280" s="630">
        <v>0</v>
      </c>
      <c r="T280" s="697"/>
      <c r="U280" s="653">
        <v>0</v>
      </c>
    </row>
    <row r="281" spans="1:21" ht="14.4" customHeight="1" x14ac:dyDescent="0.3">
      <c r="A281" s="613">
        <v>25</v>
      </c>
      <c r="B281" s="614" t="s">
        <v>1112</v>
      </c>
      <c r="C281" s="614" t="s">
        <v>1247</v>
      </c>
      <c r="D281" s="695" t="s">
        <v>1783</v>
      </c>
      <c r="E281" s="696" t="s">
        <v>1273</v>
      </c>
      <c r="F281" s="614" t="s">
        <v>1243</v>
      </c>
      <c r="G281" s="614" t="s">
        <v>1629</v>
      </c>
      <c r="H281" s="614" t="s">
        <v>325</v>
      </c>
      <c r="I281" s="614" t="s">
        <v>1630</v>
      </c>
      <c r="J281" s="614" t="s">
        <v>1631</v>
      </c>
      <c r="K281" s="614" t="s">
        <v>1632</v>
      </c>
      <c r="L281" s="615">
        <v>36.97</v>
      </c>
      <c r="M281" s="615">
        <v>36.97</v>
      </c>
      <c r="N281" s="614">
        <v>1</v>
      </c>
      <c r="O281" s="697">
        <v>0.5</v>
      </c>
      <c r="P281" s="615">
        <v>36.97</v>
      </c>
      <c r="Q281" s="630">
        <v>1</v>
      </c>
      <c r="R281" s="614">
        <v>1</v>
      </c>
      <c r="S281" s="630">
        <v>1</v>
      </c>
      <c r="T281" s="697">
        <v>0.5</v>
      </c>
      <c r="U281" s="653">
        <v>1</v>
      </c>
    </row>
    <row r="282" spans="1:21" ht="14.4" customHeight="1" x14ac:dyDescent="0.3">
      <c r="A282" s="613">
        <v>25</v>
      </c>
      <c r="B282" s="614" t="s">
        <v>1112</v>
      </c>
      <c r="C282" s="614" t="s">
        <v>1247</v>
      </c>
      <c r="D282" s="695" t="s">
        <v>1783</v>
      </c>
      <c r="E282" s="696" t="s">
        <v>1273</v>
      </c>
      <c r="F282" s="614" t="s">
        <v>1243</v>
      </c>
      <c r="G282" s="614" t="s">
        <v>1629</v>
      </c>
      <c r="H282" s="614" t="s">
        <v>325</v>
      </c>
      <c r="I282" s="614" t="s">
        <v>1633</v>
      </c>
      <c r="J282" s="614" t="s">
        <v>1631</v>
      </c>
      <c r="K282" s="614" t="s">
        <v>1634</v>
      </c>
      <c r="L282" s="615">
        <v>36.97</v>
      </c>
      <c r="M282" s="615">
        <v>36.97</v>
      </c>
      <c r="N282" s="614">
        <v>1</v>
      </c>
      <c r="O282" s="697">
        <v>0.5</v>
      </c>
      <c r="P282" s="615">
        <v>36.97</v>
      </c>
      <c r="Q282" s="630">
        <v>1</v>
      </c>
      <c r="R282" s="614">
        <v>1</v>
      </c>
      <c r="S282" s="630">
        <v>1</v>
      </c>
      <c r="T282" s="697">
        <v>0.5</v>
      </c>
      <c r="U282" s="653">
        <v>1</v>
      </c>
    </row>
    <row r="283" spans="1:21" ht="14.4" customHeight="1" x14ac:dyDescent="0.3">
      <c r="A283" s="613">
        <v>25</v>
      </c>
      <c r="B283" s="614" t="s">
        <v>1112</v>
      </c>
      <c r="C283" s="614" t="s">
        <v>1247</v>
      </c>
      <c r="D283" s="695" t="s">
        <v>1783</v>
      </c>
      <c r="E283" s="696" t="s">
        <v>1273</v>
      </c>
      <c r="F283" s="614" t="s">
        <v>1243</v>
      </c>
      <c r="G283" s="614" t="s">
        <v>1475</v>
      </c>
      <c r="H283" s="614" t="s">
        <v>325</v>
      </c>
      <c r="I283" s="614" t="s">
        <v>1517</v>
      </c>
      <c r="J283" s="614" t="s">
        <v>1477</v>
      </c>
      <c r="K283" s="614" t="s">
        <v>1518</v>
      </c>
      <c r="L283" s="615">
        <v>50.14</v>
      </c>
      <c r="M283" s="615">
        <v>50.14</v>
      </c>
      <c r="N283" s="614">
        <v>1</v>
      </c>
      <c r="O283" s="697">
        <v>0.5</v>
      </c>
      <c r="P283" s="615"/>
      <c r="Q283" s="630">
        <v>0</v>
      </c>
      <c r="R283" s="614"/>
      <c r="S283" s="630">
        <v>0</v>
      </c>
      <c r="T283" s="697"/>
      <c r="U283" s="653">
        <v>0</v>
      </c>
    </row>
    <row r="284" spans="1:21" ht="14.4" customHeight="1" x14ac:dyDescent="0.3">
      <c r="A284" s="613">
        <v>25</v>
      </c>
      <c r="B284" s="614" t="s">
        <v>1112</v>
      </c>
      <c r="C284" s="614" t="s">
        <v>1247</v>
      </c>
      <c r="D284" s="695" t="s">
        <v>1783</v>
      </c>
      <c r="E284" s="696" t="s">
        <v>1274</v>
      </c>
      <c r="F284" s="614" t="s">
        <v>1243</v>
      </c>
      <c r="G284" s="614" t="s">
        <v>1287</v>
      </c>
      <c r="H284" s="614" t="s">
        <v>325</v>
      </c>
      <c r="I284" s="614" t="s">
        <v>1332</v>
      </c>
      <c r="J284" s="614" t="s">
        <v>864</v>
      </c>
      <c r="K284" s="614" t="s">
        <v>566</v>
      </c>
      <c r="L284" s="615">
        <v>0</v>
      </c>
      <c r="M284" s="615">
        <v>0</v>
      </c>
      <c r="N284" s="614">
        <v>1</v>
      </c>
      <c r="O284" s="697">
        <v>1</v>
      </c>
      <c r="P284" s="615">
        <v>0</v>
      </c>
      <c r="Q284" s="630"/>
      <c r="R284" s="614">
        <v>1</v>
      </c>
      <c r="S284" s="630">
        <v>1</v>
      </c>
      <c r="T284" s="697">
        <v>1</v>
      </c>
      <c r="U284" s="653">
        <v>1</v>
      </c>
    </row>
    <row r="285" spans="1:21" ht="14.4" customHeight="1" x14ac:dyDescent="0.3">
      <c r="A285" s="613">
        <v>25</v>
      </c>
      <c r="B285" s="614" t="s">
        <v>1112</v>
      </c>
      <c r="C285" s="614" t="s">
        <v>1247</v>
      </c>
      <c r="D285" s="695" t="s">
        <v>1783</v>
      </c>
      <c r="E285" s="696" t="s">
        <v>1274</v>
      </c>
      <c r="F285" s="614" t="s">
        <v>1243</v>
      </c>
      <c r="G285" s="614" t="s">
        <v>1287</v>
      </c>
      <c r="H285" s="614" t="s">
        <v>770</v>
      </c>
      <c r="I285" s="614" t="s">
        <v>956</v>
      </c>
      <c r="J285" s="614" t="s">
        <v>864</v>
      </c>
      <c r="K285" s="614" t="s">
        <v>1196</v>
      </c>
      <c r="L285" s="615">
        <v>154.36000000000001</v>
      </c>
      <c r="M285" s="615">
        <v>463.08000000000004</v>
      </c>
      <c r="N285" s="614">
        <v>3</v>
      </c>
      <c r="O285" s="697">
        <v>2.5</v>
      </c>
      <c r="P285" s="615"/>
      <c r="Q285" s="630">
        <v>0</v>
      </c>
      <c r="R285" s="614"/>
      <c r="S285" s="630">
        <v>0</v>
      </c>
      <c r="T285" s="697"/>
      <c r="U285" s="653">
        <v>0</v>
      </c>
    </row>
    <row r="286" spans="1:21" ht="14.4" customHeight="1" x14ac:dyDescent="0.3">
      <c r="A286" s="613">
        <v>25</v>
      </c>
      <c r="B286" s="614" t="s">
        <v>1112</v>
      </c>
      <c r="C286" s="614" t="s">
        <v>1247</v>
      </c>
      <c r="D286" s="695" t="s">
        <v>1783</v>
      </c>
      <c r="E286" s="696" t="s">
        <v>1274</v>
      </c>
      <c r="F286" s="614" t="s">
        <v>1243</v>
      </c>
      <c r="G286" s="614" t="s">
        <v>1635</v>
      </c>
      <c r="H286" s="614" t="s">
        <v>325</v>
      </c>
      <c r="I286" s="614" t="s">
        <v>1636</v>
      </c>
      <c r="J286" s="614" t="s">
        <v>1637</v>
      </c>
      <c r="K286" s="614" t="s">
        <v>1638</v>
      </c>
      <c r="L286" s="615">
        <v>0</v>
      </c>
      <c r="M286" s="615">
        <v>0</v>
      </c>
      <c r="N286" s="614">
        <v>2</v>
      </c>
      <c r="O286" s="697">
        <v>1.5</v>
      </c>
      <c r="P286" s="615">
        <v>0</v>
      </c>
      <c r="Q286" s="630"/>
      <c r="R286" s="614">
        <v>1</v>
      </c>
      <c r="S286" s="630">
        <v>0.5</v>
      </c>
      <c r="T286" s="697">
        <v>0.5</v>
      </c>
      <c r="U286" s="653">
        <v>0.33333333333333331</v>
      </c>
    </row>
    <row r="287" spans="1:21" ht="14.4" customHeight="1" x14ac:dyDescent="0.3">
      <c r="A287" s="613">
        <v>25</v>
      </c>
      <c r="B287" s="614" t="s">
        <v>1112</v>
      </c>
      <c r="C287" s="614" t="s">
        <v>1247</v>
      </c>
      <c r="D287" s="695" t="s">
        <v>1783</v>
      </c>
      <c r="E287" s="696" t="s">
        <v>1274</v>
      </c>
      <c r="F287" s="614" t="s">
        <v>1243</v>
      </c>
      <c r="G287" s="614" t="s">
        <v>1291</v>
      </c>
      <c r="H287" s="614" t="s">
        <v>325</v>
      </c>
      <c r="I287" s="614" t="s">
        <v>1387</v>
      </c>
      <c r="J287" s="614" t="s">
        <v>931</v>
      </c>
      <c r="K287" s="614" t="s">
        <v>1388</v>
      </c>
      <c r="L287" s="615">
        <v>0</v>
      </c>
      <c r="M287" s="615">
        <v>0</v>
      </c>
      <c r="N287" s="614">
        <v>1</v>
      </c>
      <c r="O287" s="697">
        <v>1</v>
      </c>
      <c r="P287" s="615">
        <v>0</v>
      </c>
      <c r="Q287" s="630"/>
      <c r="R287" s="614">
        <v>1</v>
      </c>
      <c r="S287" s="630">
        <v>1</v>
      </c>
      <c r="T287" s="697">
        <v>1</v>
      </c>
      <c r="U287" s="653">
        <v>1</v>
      </c>
    </row>
    <row r="288" spans="1:21" ht="14.4" customHeight="1" x14ac:dyDescent="0.3">
      <c r="A288" s="613">
        <v>25</v>
      </c>
      <c r="B288" s="614" t="s">
        <v>1112</v>
      </c>
      <c r="C288" s="614" t="s">
        <v>1247</v>
      </c>
      <c r="D288" s="695" t="s">
        <v>1783</v>
      </c>
      <c r="E288" s="696" t="s">
        <v>1274</v>
      </c>
      <c r="F288" s="614" t="s">
        <v>1243</v>
      </c>
      <c r="G288" s="614" t="s">
        <v>1639</v>
      </c>
      <c r="H288" s="614" t="s">
        <v>325</v>
      </c>
      <c r="I288" s="614" t="s">
        <v>1640</v>
      </c>
      <c r="J288" s="614" t="s">
        <v>1641</v>
      </c>
      <c r="K288" s="614" t="s">
        <v>1642</v>
      </c>
      <c r="L288" s="615">
        <v>0</v>
      </c>
      <c r="M288" s="615">
        <v>0</v>
      </c>
      <c r="N288" s="614">
        <v>1</v>
      </c>
      <c r="O288" s="697">
        <v>0.5</v>
      </c>
      <c r="P288" s="615"/>
      <c r="Q288" s="630"/>
      <c r="R288" s="614"/>
      <c r="S288" s="630">
        <v>0</v>
      </c>
      <c r="T288" s="697"/>
      <c r="U288" s="653">
        <v>0</v>
      </c>
    </row>
    <row r="289" spans="1:21" ht="14.4" customHeight="1" x14ac:dyDescent="0.3">
      <c r="A289" s="613">
        <v>25</v>
      </c>
      <c r="B289" s="614" t="s">
        <v>1112</v>
      </c>
      <c r="C289" s="614" t="s">
        <v>1247</v>
      </c>
      <c r="D289" s="695" t="s">
        <v>1783</v>
      </c>
      <c r="E289" s="696" t="s">
        <v>1274</v>
      </c>
      <c r="F289" s="614" t="s">
        <v>1243</v>
      </c>
      <c r="G289" s="614" t="s">
        <v>1292</v>
      </c>
      <c r="H289" s="614" t="s">
        <v>770</v>
      </c>
      <c r="I289" s="614" t="s">
        <v>1307</v>
      </c>
      <c r="J289" s="614" t="s">
        <v>714</v>
      </c>
      <c r="K289" s="614" t="s">
        <v>1308</v>
      </c>
      <c r="L289" s="615">
        <v>24.22</v>
      </c>
      <c r="M289" s="615">
        <v>48.44</v>
      </c>
      <c r="N289" s="614">
        <v>2</v>
      </c>
      <c r="O289" s="697">
        <v>0.5</v>
      </c>
      <c r="P289" s="615">
        <v>24.22</v>
      </c>
      <c r="Q289" s="630">
        <v>0.5</v>
      </c>
      <c r="R289" s="614">
        <v>1</v>
      </c>
      <c r="S289" s="630">
        <v>0.5</v>
      </c>
      <c r="T289" s="697"/>
      <c r="U289" s="653">
        <v>0</v>
      </c>
    </row>
    <row r="290" spans="1:21" ht="14.4" customHeight="1" x14ac:dyDescent="0.3">
      <c r="A290" s="613">
        <v>25</v>
      </c>
      <c r="B290" s="614" t="s">
        <v>1112</v>
      </c>
      <c r="C290" s="614" t="s">
        <v>1247</v>
      </c>
      <c r="D290" s="695" t="s">
        <v>1783</v>
      </c>
      <c r="E290" s="696" t="s">
        <v>1274</v>
      </c>
      <c r="F290" s="614" t="s">
        <v>1243</v>
      </c>
      <c r="G290" s="614" t="s">
        <v>1292</v>
      </c>
      <c r="H290" s="614" t="s">
        <v>325</v>
      </c>
      <c r="I290" s="614" t="s">
        <v>1643</v>
      </c>
      <c r="J290" s="614" t="s">
        <v>714</v>
      </c>
      <c r="K290" s="614" t="s">
        <v>1219</v>
      </c>
      <c r="L290" s="615">
        <v>48.42</v>
      </c>
      <c r="M290" s="615">
        <v>48.42</v>
      </c>
      <c r="N290" s="614">
        <v>1</v>
      </c>
      <c r="O290" s="697">
        <v>1</v>
      </c>
      <c r="P290" s="615"/>
      <c r="Q290" s="630">
        <v>0</v>
      </c>
      <c r="R290" s="614"/>
      <c r="S290" s="630">
        <v>0</v>
      </c>
      <c r="T290" s="697"/>
      <c r="U290" s="653">
        <v>0</v>
      </c>
    </row>
    <row r="291" spans="1:21" ht="14.4" customHeight="1" x14ac:dyDescent="0.3">
      <c r="A291" s="613">
        <v>25</v>
      </c>
      <c r="B291" s="614" t="s">
        <v>1112</v>
      </c>
      <c r="C291" s="614" t="s">
        <v>1247</v>
      </c>
      <c r="D291" s="695" t="s">
        <v>1783</v>
      </c>
      <c r="E291" s="696" t="s">
        <v>1274</v>
      </c>
      <c r="F291" s="614" t="s">
        <v>1243</v>
      </c>
      <c r="G291" s="614" t="s">
        <v>1644</v>
      </c>
      <c r="H291" s="614" t="s">
        <v>325</v>
      </c>
      <c r="I291" s="614" t="s">
        <v>1645</v>
      </c>
      <c r="J291" s="614" t="s">
        <v>1646</v>
      </c>
      <c r="K291" s="614" t="s">
        <v>1647</v>
      </c>
      <c r="L291" s="615">
        <v>0</v>
      </c>
      <c r="M291" s="615">
        <v>0</v>
      </c>
      <c r="N291" s="614">
        <v>1</v>
      </c>
      <c r="O291" s="697">
        <v>0.5</v>
      </c>
      <c r="P291" s="615"/>
      <c r="Q291" s="630"/>
      <c r="R291" s="614"/>
      <c r="S291" s="630">
        <v>0</v>
      </c>
      <c r="T291" s="697"/>
      <c r="U291" s="653">
        <v>0</v>
      </c>
    </row>
    <row r="292" spans="1:21" ht="14.4" customHeight="1" x14ac:dyDescent="0.3">
      <c r="A292" s="613">
        <v>25</v>
      </c>
      <c r="B292" s="614" t="s">
        <v>1112</v>
      </c>
      <c r="C292" s="614" t="s">
        <v>1247</v>
      </c>
      <c r="D292" s="695" t="s">
        <v>1783</v>
      </c>
      <c r="E292" s="696" t="s">
        <v>1274</v>
      </c>
      <c r="F292" s="614" t="s">
        <v>1243</v>
      </c>
      <c r="G292" s="614" t="s">
        <v>1644</v>
      </c>
      <c r="H292" s="614" t="s">
        <v>325</v>
      </c>
      <c r="I292" s="614" t="s">
        <v>1648</v>
      </c>
      <c r="J292" s="614" t="s">
        <v>1646</v>
      </c>
      <c r="K292" s="614" t="s">
        <v>1649</v>
      </c>
      <c r="L292" s="615">
        <v>0</v>
      </c>
      <c r="M292" s="615">
        <v>0</v>
      </c>
      <c r="N292" s="614">
        <v>3</v>
      </c>
      <c r="O292" s="697">
        <v>0.5</v>
      </c>
      <c r="P292" s="615"/>
      <c r="Q292" s="630"/>
      <c r="R292" s="614"/>
      <c r="S292" s="630">
        <v>0</v>
      </c>
      <c r="T292" s="697"/>
      <c r="U292" s="653">
        <v>0</v>
      </c>
    </row>
    <row r="293" spans="1:21" ht="14.4" customHeight="1" x14ac:dyDescent="0.3">
      <c r="A293" s="613">
        <v>25</v>
      </c>
      <c r="B293" s="614" t="s">
        <v>1112</v>
      </c>
      <c r="C293" s="614" t="s">
        <v>1247</v>
      </c>
      <c r="D293" s="695" t="s">
        <v>1783</v>
      </c>
      <c r="E293" s="696" t="s">
        <v>1274</v>
      </c>
      <c r="F293" s="614" t="s">
        <v>1243</v>
      </c>
      <c r="G293" s="614" t="s">
        <v>1466</v>
      </c>
      <c r="H293" s="614" t="s">
        <v>325</v>
      </c>
      <c r="I293" s="614" t="s">
        <v>1467</v>
      </c>
      <c r="J293" s="614" t="s">
        <v>735</v>
      </c>
      <c r="K293" s="614" t="s">
        <v>1468</v>
      </c>
      <c r="L293" s="615">
        <v>54.23</v>
      </c>
      <c r="M293" s="615">
        <v>54.23</v>
      </c>
      <c r="N293" s="614">
        <v>1</v>
      </c>
      <c r="O293" s="697">
        <v>0.5</v>
      </c>
      <c r="P293" s="615">
        <v>54.23</v>
      </c>
      <c r="Q293" s="630">
        <v>1</v>
      </c>
      <c r="R293" s="614">
        <v>1</v>
      </c>
      <c r="S293" s="630">
        <v>1</v>
      </c>
      <c r="T293" s="697">
        <v>0.5</v>
      </c>
      <c r="U293" s="653">
        <v>1</v>
      </c>
    </row>
    <row r="294" spans="1:21" ht="14.4" customHeight="1" x14ac:dyDescent="0.3">
      <c r="A294" s="613">
        <v>25</v>
      </c>
      <c r="B294" s="614" t="s">
        <v>1112</v>
      </c>
      <c r="C294" s="614" t="s">
        <v>1247</v>
      </c>
      <c r="D294" s="695" t="s">
        <v>1783</v>
      </c>
      <c r="E294" s="696" t="s">
        <v>1274</v>
      </c>
      <c r="F294" s="614" t="s">
        <v>1243</v>
      </c>
      <c r="G294" s="614" t="s">
        <v>1497</v>
      </c>
      <c r="H294" s="614" t="s">
        <v>325</v>
      </c>
      <c r="I294" s="614" t="s">
        <v>1650</v>
      </c>
      <c r="J294" s="614" t="s">
        <v>1651</v>
      </c>
      <c r="K294" s="614" t="s">
        <v>1652</v>
      </c>
      <c r="L294" s="615">
        <v>0</v>
      </c>
      <c r="M294" s="615">
        <v>0</v>
      </c>
      <c r="N294" s="614">
        <v>3</v>
      </c>
      <c r="O294" s="697">
        <v>2.5</v>
      </c>
      <c r="P294" s="615"/>
      <c r="Q294" s="630"/>
      <c r="R294" s="614"/>
      <c r="S294" s="630">
        <v>0</v>
      </c>
      <c r="T294" s="697"/>
      <c r="U294" s="653">
        <v>0</v>
      </c>
    </row>
    <row r="295" spans="1:21" ht="14.4" customHeight="1" x14ac:dyDescent="0.3">
      <c r="A295" s="613">
        <v>25</v>
      </c>
      <c r="B295" s="614" t="s">
        <v>1112</v>
      </c>
      <c r="C295" s="614" t="s">
        <v>1247</v>
      </c>
      <c r="D295" s="695" t="s">
        <v>1783</v>
      </c>
      <c r="E295" s="696" t="s">
        <v>1275</v>
      </c>
      <c r="F295" s="614" t="s">
        <v>1243</v>
      </c>
      <c r="G295" s="614" t="s">
        <v>1289</v>
      </c>
      <c r="H295" s="614" t="s">
        <v>325</v>
      </c>
      <c r="I295" s="614" t="s">
        <v>1337</v>
      </c>
      <c r="J295" s="614" t="s">
        <v>920</v>
      </c>
      <c r="K295" s="614" t="s">
        <v>1338</v>
      </c>
      <c r="L295" s="615">
        <v>0</v>
      </c>
      <c r="M295" s="615">
        <v>0</v>
      </c>
      <c r="N295" s="614">
        <v>1</v>
      </c>
      <c r="O295" s="697">
        <v>1</v>
      </c>
      <c r="P295" s="615">
        <v>0</v>
      </c>
      <c r="Q295" s="630"/>
      <c r="R295" s="614">
        <v>1</v>
      </c>
      <c r="S295" s="630">
        <v>1</v>
      </c>
      <c r="T295" s="697">
        <v>1</v>
      </c>
      <c r="U295" s="653">
        <v>1</v>
      </c>
    </row>
    <row r="296" spans="1:21" ht="14.4" customHeight="1" x14ac:dyDescent="0.3">
      <c r="A296" s="613">
        <v>25</v>
      </c>
      <c r="B296" s="614" t="s">
        <v>1112</v>
      </c>
      <c r="C296" s="614" t="s">
        <v>1247</v>
      </c>
      <c r="D296" s="695" t="s">
        <v>1783</v>
      </c>
      <c r="E296" s="696" t="s">
        <v>1275</v>
      </c>
      <c r="F296" s="614" t="s">
        <v>1243</v>
      </c>
      <c r="G296" s="614" t="s">
        <v>1366</v>
      </c>
      <c r="H296" s="614" t="s">
        <v>325</v>
      </c>
      <c r="I296" s="614" t="s">
        <v>1653</v>
      </c>
      <c r="J296" s="614" t="s">
        <v>1654</v>
      </c>
      <c r="K296" s="614" t="s">
        <v>1655</v>
      </c>
      <c r="L296" s="615">
        <v>0</v>
      </c>
      <c r="M296" s="615">
        <v>0</v>
      </c>
      <c r="N296" s="614">
        <v>2</v>
      </c>
      <c r="O296" s="697">
        <v>1.5</v>
      </c>
      <c r="P296" s="615">
        <v>0</v>
      </c>
      <c r="Q296" s="630"/>
      <c r="R296" s="614">
        <v>1</v>
      </c>
      <c r="S296" s="630">
        <v>0.5</v>
      </c>
      <c r="T296" s="697">
        <v>0.5</v>
      </c>
      <c r="U296" s="653">
        <v>0.33333333333333331</v>
      </c>
    </row>
    <row r="297" spans="1:21" ht="14.4" customHeight="1" x14ac:dyDescent="0.3">
      <c r="A297" s="613">
        <v>25</v>
      </c>
      <c r="B297" s="614" t="s">
        <v>1112</v>
      </c>
      <c r="C297" s="614" t="s">
        <v>1247</v>
      </c>
      <c r="D297" s="695" t="s">
        <v>1783</v>
      </c>
      <c r="E297" s="696" t="s">
        <v>1275</v>
      </c>
      <c r="F297" s="614" t="s">
        <v>1243</v>
      </c>
      <c r="G297" s="614" t="s">
        <v>1366</v>
      </c>
      <c r="H297" s="614" t="s">
        <v>325</v>
      </c>
      <c r="I297" s="614" t="s">
        <v>1656</v>
      </c>
      <c r="J297" s="614" t="s">
        <v>1654</v>
      </c>
      <c r="K297" s="614" t="s">
        <v>1657</v>
      </c>
      <c r="L297" s="615">
        <v>0</v>
      </c>
      <c r="M297" s="615">
        <v>0</v>
      </c>
      <c r="N297" s="614">
        <v>2</v>
      </c>
      <c r="O297" s="697">
        <v>2</v>
      </c>
      <c r="P297" s="615">
        <v>0</v>
      </c>
      <c r="Q297" s="630"/>
      <c r="R297" s="614">
        <v>1</v>
      </c>
      <c r="S297" s="630">
        <v>0.5</v>
      </c>
      <c r="T297" s="697">
        <v>1</v>
      </c>
      <c r="U297" s="653">
        <v>0.5</v>
      </c>
    </row>
    <row r="298" spans="1:21" ht="14.4" customHeight="1" x14ac:dyDescent="0.3">
      <c r="A298" s="613">
        <v>25</v>
      </c>
      <c r="B298" s="614" t="s">
        <v>1112</v>
      </c>
      <c r="C298" s="614" t="s">
        <v>1247</v>
      </c>
      <c r="D298" s="695" t="s">
        <v>1783</v>
      </c>
      <c r="E298" s="696" t="s">
        <v>1275</v>
      </c>
      <c r="F298" s="614" t="s">
        <v>1243</v>
      </c>
      <c r="G298" s="614" t="s">
        <v>1658</v>
      </c>
      <c r="H298" s="614" t="s">
        <v>325</v>
      </c>
      <c r="I298" s="614" t="s">
        <v>1659</v>
      </c>
      <c r="J298" s="614" t="s">
        <v>1660</v>
      </c>
      <c r="K298" s="614" t="s">
        <v>1661</v>
      </c>
      <c r="L298" s="615">
        <v>0</v>
      </c>
      <c r="M298" s="615">
        <v>0</v>
      </c>
      <c r="N298" s="614">
        <v>1</v>
      </c>
      <c r="O298" s="697">
        <v>0.5</v>
      </c>
      <c r="P298" s="615">
        <v>0</v>
      </c>
      <c r="Q298" s="630"/>
      <c r="R298" s="614">
        <v>1</v>
      </c>
      <c r="S298" s="630">
        <v>1</v>
      </c>
      <c r="T298" s="697">
        <v>0.5</v>
      </c>
      <c r="U298" s="653">
        <v>1</v>
      </c>
    </row>
    <row r="299" spans="1:21" ht="14.4" customHeight="1" x14ac:dyDescent="0.3">
      <c r="A299" s="613">
        <v>25</v>
      </c>
      <c r="B299" s="614" t="s">
        <v>1112</v>
      </c>
      <c r="C299" s="614" t="s">
        <v>1247</v>
      </c>
      <c r="D299" s="695" t="s">
        <v>1783</v>
      </c>
      <c r="E299" s="696" t="s">
        <v>1275</v>
      </c>
      <c r="F299" s="614" t="s">
        <v>1243</v>
      </c>
      <c r="G299" s="614" t="s">
        <v>1344</v>
      </c>
      <c r="H299" s="614" t="s">
        <v>325</v>
      </c>
      <c r="I299" s="614" t="s">
        <v>1662</v>
      </c>
      <c r="J299" s="614" t="s">
        <v>1346</v>
      </c>
      <c r="K299" s="614"/>
      <c r="L299" s="615">
        <v>170.52</v>
      </c>
      <c r="M299" s="615">
        <v>341.04</v>
      </c>
      <c r="N299" s="614">
        <v>2</v>
      </c>
      <c r="O299" s="697">
        <v>0.5</v>
      </c>
      <c r="P299" s="615">
        <v>341.04</v>
      </c>
      <c r="Q299" s="630">
        <v>1</v>
      </c>
      <c r="R299" s="614">
        <v>2</v>
      </c>
      <c r="S299" s="630">
        <v>1</v>
      </c>
      <c r="T299" s="697">
        <v>0.5</v>
      </c>
      <c r="U299" s="653">
        <v>1</v>
      </c>
    </row>
    <row r="300" spans="1:21" ht="14.4" customHeight="1" x14ac:dyDescent="0.3">
      <c r="A300" s="613">
        <v>25</v>
      </c>
      <c r="B300" s="614" t="s">
        <v>1112</v>
      </c>
      <c r="C300" s="614" t="s">
        <v>1247</v>
      </c>
      <c r="D300" s="695" t="s">
        <v>1783</v>
      </c>
      <c r="E300" s="696" t="s">
        <v>1275</v>
      </c>
      <c r="F300" s="614" t="s">
        <v>1243</v>
      </c>
      <c r="G300" s="614" t="s">
        <v>1297</v>
      </c>
      <c r="H300" s="614" t="s">
        <v>325</v>
      </c>
      <c r="I300" s="614" t="s">
        <v>907</v>
      </c>
      <c r="J300" s="614" t="s">
        <v>908</v>
      </c>
      <c r="K300" s="614" t="s">
        <v>1296</v>
      </c>
      <c r="L300" s="615">
        <v>30.17</v>
      </c>
      <c r="M300" s="615">
        <v>30.17</v>
      </c>
      <c r="N300" s="614">
        <v>1</v>
      </c>
      <c r="O300" s="697">
        <v>0.5</v>
      </c>
      <c r="P300" s="615">
        <v>30.17</v>
      </c>
      <c r="Q300" s="630">
        <v>1</v>
      </c>
      <c r="R300" s="614">
        <v>1</v>
      </c>
      <c r="S300" s="630">
        <v>1</v>
      </c>
      <c r="T300" s="697">
        <v>0.5</v>
      </c>
      <c r="U300" s="653">
        <v>1</v>
      </c>
    </row>
    <row r="301" spans="1:21" ht="14.4" customHeight="1" x14ac:dyDescent="0.3">
      <c r="A301" s="613">
        <v>25</v>
      </c>
      <c r="B301" s="614" t="s">
        <v>1112</v>
      </c>
      <c r="C301" s="614" t="s">
        <v>1247</v>
      </c>
      <c r="D301" s="695" t="s">
        <v>1783</v>
      </c>
      <c r="E301" s="696" t="s">
        <v>1275</v>
      </c>
      <c r="F301" s="614" t="s">
        <v>1243</v>
      </c>
      <c r="G301" s="614" t="s">
        <v>1292</v>
      </c>
      <c r="H301" s="614" t="s">
        <v>325</v>
      </c>
      <c r="I301" s="614" t="s">
        <v>713</v>
      </c>
      <c r="J301" s="614" t="s">
        <v>714</v>
      </c>
      <c r="K301" s="614" t="s">
        <v>1310</v>
      </c>
      <c r="L301" s="615">
        <v>48.42</v>
      </c>
      <c r="M301" s="615">
        <v>48.42</v>
      </c>
      <c r="N301" s="614">
        <v>1</v>
      </c>
      <c r="O301" s="697">
        <v>1</v>
      </c>
      <c r="P301" s="615"/>
      <c r="Q301" s="630">
        <v>0</v>
      </c>
      <c r="R301" s="614"/>
      <c r="S301" s="630">
        <v>0</v>
      </c>
      <c r="T301" s="697"/>
      <c r="U301" s="653">
        <v>0</v>
      </c>
    </row>
    <row r="302" spans="1:21" ht="14.4" customHeight="1" x14ac:dyDescent="0.3">
      <c r="A302" s="613">
        <v>25</v>
      </c>
      <c r="B302" s="614" t="s">
        <v>1112</v>
      </c>
      <c r="C302" s="614" t="s">
        <v>1247</v>
      </c>
      <c r="D302" s="695" t="s">
        <v>1783</v>
      </c>
      <c r="E302" s="696" t="s">
        <v>1275</v>
      </c>
      <c r="F302" s="614" t="s">
        <v>1243</v>
      </c>
      <c r="G302" s="614" t="s">
        <v>1663</v>
      </c>
      <c r="H302" s="614" t="s">
        <v>325</v>
      </c>
      <c r="I302" s="614" t="s">
        <v>1664</v>
      </c>
      <c r="J302" s="614" t="s">
        <v>1665</v>
      </c>
      <c r="K302" s="614" t="s">
        <v>1666</v>
      </c>
      <c r="L302" s="615">
        <v>146.84</v>
      </c>
      <c r="M302" s="615">
        <v>146.84</v>
      </c>
      <c r="N302" s="614">
        <v>1</v>
      </c>
      <c r="O302" s="697">
        <v>1</v>
      </c>
      <c r="P302" s="615">
        <v>146.84</v>
      </c>
      <c r="Q302" s="630">
        <v>1</v>
      </c>
      <c r="R302" s="614">
        <v>1</v>
      </c>
      <c r="S302" s="630">
        <v>1</v>
      </c>
      <c r="T302" s="697">
        <v>1</v>
      </c>
      <c r="U302" s="653">
        <v>1</v>
      </c>
    </row>
    <row r="303" spans="1:21" ht="14.4" customHeight="1" x14ac:dyDescent="0.3">
      <c r="A303" s="613">
        <v>25</v>
      </c>
      <c r="B303" s="614" t="s">
        <v>1112</v>
      </c>
      <c r="C303" s="614" t="s">
        <v>1247</v>
      </c>
      <c r="D303" s="695" t="s">
        <v>1783</v>
      </c>
      <c r="E303" s="696" t="s">
        <v>1275</v>
      </c>
      <c r="F303" s="614" t="s">
        <v>1243</v>
      </c>
      <c r="G303" s="614" t="s">
        <v>1429</v>
      </c>
      <c r="H303" s="614" t="s">
        <v>325</v>
      </c>
      <c r="I303" s="614" t="s">
        <v>1667</v>
      </c>
      <c r="J303" s="614" t="s">
        <v>1668</v>
      </c>
      <c r="K303" s="614" t="s">
        <v>1669</v>
      </c>
      <c r="L303" s="615">
        <v>0</v>
      </c>
      <c r="M303" s="615">
        <v>0</v>
      </c>
      <c r="N303" s="614">
        <v>1</v>
      </c>
      <c r="O303" s="697">
        <v>1</v>
      </c>
      <c r="P303" s="615"/>
      <c r="Q303" s="630"/>
      <c r="R303" s="614"/>
      <c r="S303" s="630">
        <v>0</v>
      </c>
      <c r="T303" s="697"/>
      <c r="U303" s="653">
        <v>0</v>
      </c>
    </row>
    <row r="304" spans="1:21" ht="14.4" customHeight="1" x14ac:dyDescent="0.3">
      <c r="A304" s="613">
        <v>25</v>
      </c>
      <c r="B304" s="614" t="s">
        <v>1112</v>
      </c>
      <c r="C304" s="614" t="s">
        <v>1247</v>
      </c>
      <c r="D304" s="695" t="s">
        <v>1783</v>
      </c>
      <c r="E304" s="696" t="s">
        <v>1277</v>
      </c>
      <c r="F304" s="614" t="s">
        <v>1243</v>
      </c>
      <c r="G304" s="614" t="s">
        <v>1670</v>
      </c>
      <c r="H304" s="614" t="s">
        <v>325</v>
      </c>
      <c r="I304" s="614" t="s">
        <v>1671</v>
      </c>
      <c r="J304" s="614" t="s">
        <v>1672</v>
      </c>
      <c r="K304" s="614" t="s">
        <v>1673</v>
      </c>
      <c r="L304" s="615">
        <v>0</v>
      </c>
      <c r="M304" s="615">
        <v>0</v>
      </c>
      <c r="N304" s="614">
        <v>1</v>
      </c>
      <c r="O304" s="697">
        <v>1</v>
      </c>
      <c r="P304" s="615">
        <v>0</v>
      </c>
      <c r="Q304" s="630"/>
      <c r="R304" s="614">
        <v>1</v>
      </c>
      <c r="S304" s="630">
        <v>1</v>
      </c>
      <c r="T304" s="697">
        <v>1</v>
      </c>
      <c r="U304" s="653">
        <v>1</v>
      </c>
    </row>
    <row r="305" spans="1:21" ht="14.4" customHeight="1" x14ac:dyDescent="0.3">
      <c r="A305" s="613">
        <v>25</v>
      </c>
      <c r="B305" s="614" t="s">
        <v>1112</v>
      </c>
      <c r="C305" s="614" t="s">
        <v>1247</v>
      </c>
      <c r="D305" s="695" t="s">
        <v>1783</v>
      </c>
      <c r="E305" s="696" t="s">
        <v>1277</v>
      </c>
      <c r="F305" s="614" t="s">
        <v>1243</v>
      </c>
      <c r="G305" s="614" t="s">
        <v>1305</v>
      </c>
      <c r="H305" s="614" t="s">
        <v>325</v>
      </c>
      <c r="I305" s="614" t="s">
        <v>1674</v>
      </c>
      <c r="J305" s="614" t="s">
        <v>1675</v>
      </c>
      <c r="K305" s="614" t="s">
        <v>1676</v>
      </c>
      <c r="L305" s="615">
        <v>194.24</v>
      </c>
      <c r="M305" s="615">
        <v>194.24</v>
      </c>
      <c r="N305" s="614">
        <v>1</v>
      </c>
      <c r="O305" s="697">
        <v>0.5</v>
      </c>
      <c r="P305" s="615">
        <v>194.24</v>
      </c>
      <c r="Q305" s="630">
        <v>1</v>
      </c>
      <c r="R305" s="614">
        <v>1</v>
      </c>
      <c r="S305" s="630">
        <v>1</v>
      </c>
      <c r="T305" s="697">
        <v>0.5</v>
      </c>
      <c r="U305" s="653">
        <v>1</v>
      </c>
    </row>
    <row r="306" spans="1:21" ht="14.4" customHeight="1" x14ac:dyDescent="0.3">
      <c r="A306" s="613">
        <v>25</v>
      </c>
      <c r="B306" s="614" t="s">
        <v>1112</v>
      </c>
      <c r="C306" s="614" t="s">
        <v>1247</v>
      </c>
      <c r="D306" s="695" t="s">
        <v>1783</v>
      </c>
      <c r="E306" s="696" t="s">
        <v>1277</v>
      </c>
      <c r="F306" s="614" t="s">
        <v>1243</v>
      </c>
      <c r="G306" s="614" t="s">
        <v>1305</v>
      </c>
      <c r="H306" s="614" t="s">
        <v>325</v>
      </c>
      <c r="I306" s="614" t="s">
        <v>1674</v>
      </c>
      <c r="J306" s="614" t="s">
        <v>1675</v>
      </c>
      <c r="K306" s="614" t="s">
        <v>1676</v>
      </c>
      <c r="L306" s="615">
        <v>122.87</v>
      </c>
      <c r="M306" s="615">
        <v>245.74</v>
      </c>
      <c r="N306" s="614">
        <v>2</v>
      </c>
      <c r="O306" s="697">
        <v>0.5</v>
      </c>
      <c r="P306" s="615">
        <v>245.74</v>
      </c>
      <c r="Q306" s="630">
        <v>1</v>
      </c>
      <c r="R306" s="614">
        <v>2</v>
      </c>
      <c r="S306" s="630">
        <v>1</v>
      </c>
      <c r="T306" s="697">
        <v>0.5</v>
      </c>
      <c r="U306" s="653">
        <v>1</v>
      </c>
    </row>
    <row r="307" spans="1:21" ht="14.4" customHeight="1" x14ac:dyDescent="0.3">
      <c r="A307" s="613">
        <v>25</v>
      </c>
      <c r="B307" s="614" t="s">
        <v>1112</v>
      </c>
      <c r="C307" s="614" t="s">
        <v>1247</v>
      </c>
      <c r="D307" s="695" t="s">
        <v>1783</v>
      </c>
      <c r="E307" s="696" t="s">
        <v>1277</v>
      </c>
      <c r="F307" s="614" t="s">
        <v>1243</v>
      </c>
      <c r="G307" s="614" t="s">
        <v>1305</v>
      </c>
      <c r="H307" s="614" t="s">
        <v>325</v>
      </c>
      <c r="I307" s="614" t="s">
        <v>1677</v>
      </c>
      <c r="J307" s="614" t="s">
        <v>1675</v>
      </c>
      <c r="K307" s="614" t="s">
        <v>1678</v>
      </c>
      <c r="L307" s="615">
        <v>0</v>
      </c>
      <c r="M307" s="615">
        <v>0</v>
      </c>
      <c r="N307" s="614">
        <v>1</v>
      </c>
      <c r="O307" s="697">
        <v>0.5</v>
      </c>
      <c r="P307" s="615">
        <v>0</v>
      </c>
      <c r="Q307" s="630"/>
      <c r="R307" s="614">
        <v>1</v>
      </c>
      <c r="S307" s="630">
        <v>1</v>
      </c>
      <c r="T307" s="697">
        <v>0.5</v>
      </c>
      <c r="U307" s="653">
        <v>1</v>
      </c>
    </row>
    <row r="308" spans="1:21" ht="14.4" customHeight="1" x14ac:dyDescent="0.3">
      <c r="A308" s="613">
        <v>25</v>
      </c>
      <c r="B308" s="614" t="s">
        <v>1112</v>
      </c>
      <c r="C308" s="614" t="s">
        <v>1247</v>
      </c>
      <c r="D308" s="695" t="s">
        <v>1783</v>
      </c>
      <c r="E308" s="696" t="s">
        <v>1277</v>
      </c>
      <c r="F308" s="614" t="s">
        <v>1243</v>
      </c>
      <c r="G308" s="614" t="s">
        <v>1287</v>
      </c>
      <c r="H308" s="614" t="s">
        <v>770</v>
      </c>
      <c r="I308" s="614" t="s">
        <v>956</v>
      </c>
      <c r="J308" s="614" t="s">
        <v>864</v>
      </c>
      <c r="K308" s="614" t="s">
        <v>1196</v>
      </c>
      <c r="L308" s="615">
        <v>150.04</v>
      </c>
      <c r="M308" s="615">
        <v>150.04</v>
      </c>
      <c r="N308" s="614">
        <v>1</v>
      </c>
      <c r="O308" s="697">
        <v>0.5</v>
      </c>
      <c r="P308" s="615"/>
      <c r="Q308" s="630">
        <v>0</v>
      </c>
      <c r="R308" s="614"/>
      <c r="S308" s="630">
        <v>0</v>
      </c>
      <c r="T308" s="697"/>
      <c r="U308" s="653">
        <v>0</v>
      </c>
    </row>
    <row r="309" spans="1:21" ht="14.4" customHeight="1" x14ac:dyDescent="0.3">
      <c r="A309" s="613">
        <v>25</v>
      </c>
      <c r="B309" s="614" t="s">
        <v>1112</v>
      </c>
      <c r="C309" s="614" t="s">
        <v>1247</v>
      </c>
      <c r="D309" s="695" t="s">
        <v>1783</v>
      </c>
      <c r="E309" s="696" t="s">
        <v>1277</v>
      </c>
      <c r="F309" s="614" t="s">
        <v>1243</v>
      </c>
      <c r="G309" s="614" t="s">
        <v>1287</v>
      </c>
      <c r="H309" s="614" t="s">
        <v>770</v>
      </c>
      <c r="I309" s="614" t="s">
        <v>956</v>
      </c>
      <c r="J309" s="614" t="s">
        <v>864</v>
      </c>
      <c r="K309" s="614" t="s">
        <v>1196</v>
      </c>
      <c r="L309" s="615">
        <v>154.36000000000001</v>
      </c>
      <c r="M309" s="615">
        <v>2006.6800000000003</v>
      </c>
      <c r="N309" s="614">
        <v>13</v>
      </c>
      <c r="O309" s="697">
        <v>9.5</v>
      </c>
      <c r="P309" s="615">
        <v>771.80000000000007</v>
      </c>
      <c r="Q309" s="630">
        <v>0.38461538461538458</v>
      </c>
      <c r="R309" s="614">
        <v>5</v>
      </c>
      <c r="S309" s="630">
        <v>0.38461538461538464</v>
      </c>
      <c r="T309" s="697">
        <v>4.5</v>
      </c>
      <c r="U309" s="653">
        <v>0.47368421052631576</v>
      </c>
    </row>
    <row r="310" spans="1:21" ht="14.4" customHeight="1" x14ac:dyDescent="0.3">
      <c r="A310" s="613">
        <v>25</v>
      </c>
      <c r="B310" s="614" t="s">
        <v>1112</v>
      </c>
      <c r="C310" s="614" t="s">
        <v>1247</v>
      </c>
      <c r="D310" s="695" t="s">
        <v>1783</v>
      </c>
      <c r="E310" s="696" t="s">
        <v>1277</v>
      </c>
      <c r="F310" s="614" t="s">
        <v>1243</v>
      </c>
      <c r="G310" s="614" t="s">
        <v>1505</v>
      </c>
      <c r="H310" s="614" t="s">
        <v>770</v>
      </c>
      <c r="I310" s="614" t="s">
        <v>1679</v>
      </c>
      <c r="J310" s="614" t="s">
        <v>1574</v>
      </c>
      <c r="K310" s="614" t="s">
        <v>1680</v>
      </c>
      <c r="L310" s="615">
        <v>425.17</v>
      </c>
      <c r="M310" s="615">
        <v>425.17</v>
      </c>
      <c r="N310" s="614">
        <v>1</v>
      </c>
      <c r="O310" s="697"/>
      <c r="P310" s="615">
        <v>425.17</v>
      </c>
      <c r="Q310" s="630">
        <v>1</v>
      </c>
      <c r="R310" s="614">
        <v>1</v>
      </c>
      <c r="S310" s="630">
        <v>1</v>
      </c>
      <c r="T310" s="697"/>
      <c r="U310" s="653"/>
    </row>
    <row r="311" spans="1:21" ht="14.4" customHeight="1" x14ac:dyDescent="0.3">
      <c r="A311" s="613">
        <v>25</v>
      </c>
      <c r="B311" s="614" t="s">
        <v>1112</v>
      </c>
      <c r="C311" s="614" t="s">
        <v>1247</v>
      </c>
      <c r="D311" s="695" t="s">
        <v>1783</v>
      </c>
      <c r="E311" s="696" t="s">
        <v>1277</v>
      </c>
      <c r="F311" s="614" t="s">
        <v>1243</v>
      </c>
      <c r="G311" s="614" t="s">
        <v>1289</v>
      </c>
      <c r="H311" s="614" t="s">
        <v>325</v>
      </c>
      <c r="I311" s="614" t="s">
        <v>1337</v>
      </c>
      <c r="J311" s="614" t="s">
        <v>920</v>
      </c>
      <c r="K311" s="614" t="s">
        <v>1338</v>
      </c>
      <c r="L311" s="615">
        <v>0</v>
      </c>
      <c r="M311" s="615">
        <v>0</v>
      </c>
      <c r="N311" s="614">
        <v>1</v>
      </c>
      <c r="O311" s="697">
        <v>1</v>
      </c>
      <c r="P311" s="615">
        <v>0</v>
      </c>
      <c r="Q311" s="630"/>
      <c r="R311" s="614">
        <v>1</v>
      </c>
      <c r="S311" s="630">
        <v>1</v>
      </c>
      <c r="T311" s="697">
        <v>1</v>
      </c>
      <c r="U311" s="653">
        <v>1</v>
      </c>
    </row>
    <row r="312" spans="1:21" ht="14.4" customHeight="1" x14ac:dyDescent="0.3">
      <c r="A312" s="613">
        <v>25</v>
      </c>
      <c r="B312" s="614" t="s">
        <v>1112</v>
      </c>
      <c r="C312" s="614" t="s">
        <v>1247</v>
      </c>
      <c r="D312" s="695" t="s">
        <v>1783</v>
      </c>
      <c r="E312" s="696" t="s">
        <v>1277</v>
      </c>
      <c r="F312" s="614" t="s">
        <v>1243</v>
      </c>
      <c r="G312" s="614" t="s">
        <v>1681</v>
      </c>
      <c r="H312" s="614" t="s">
        <v>325</v>
      </c>
      <c r="I312" s="614" t="s">
        <v>1682</v>
      </c>
      <c r="J312" s="614" t="s">
        <v>1683</v>
      </c>
      <c r="K312" s="614" t="s">
        <v>1684</v>
      </c>
      <c r="L312" s="615">
        <v>72.5</v>
      </c>
      <c r="M312" s="615">
        <v>72.5</v>
      </c>
      <c r="N312" s="614">
        <v>1</v>
      </c>
      <c r="O312" s="697">
        <v>1</v>
      </c>
      <c r="P312" s="615"/>
      <c r="Q312" s="630">
        <v>0</v>
      </c>
      <c r="R312" s="614"/>
      <c r="S312" s="630">
        <v>0</v>
      </c>
      <c r="T312" s="697"/>
      <c r="U312" s="653">
        <v>0</v>
      </c>
    </row>
    <row r="313" spans="1:21" ht="14.4" customHeight="1" x14ac:dyDescent="0.3">
      <c r="A313" s="613">
        <v>25</v>
      </c>
      <c r="B313" s="614" t="s">
        <v>1112</v>
      </c>
      <c r="C313" s="614" t="s">
        <v>1247</v>
      </c>
      <c r="D313" s="695" t="s">
        <v>1783</v>
      </c>
      <c r="E313" s="696" t="s">
        <v>1277</v>
      </c>
      <c r="F313" s="614" t="s">
        <v>1243</v>
      </c>
      <c r="G313" s="614" t="s">
        <v>1685</v>
      </c>
      <c r="H313" s="614" t="s">
        <v>325</v>
      </c>
      <c r="I313" s="614" t="s">
        <v>1686</v>
      </c>
      <c r="J313" s="614" t="s">
        <v>1687</v>
      </c>
      <c r="K313" s="614" t="s">
        <v>1688</v>
      </c>
      <c r="L313" s="615">
        <v>43.76</v>
      </c>
      <c r="M313" s="615">
        <v>43.76</v>
      </c>
      <c r="N313" s="614">
        <v>1</v>
      </c>
      <c r="O313" s="697">
        <v>1</v>
      </c>
      <c r="P313" s="615">
        <v>43.76</v>
      </c>
      <c r="Q313" s="630">
        <v>1</v>
      </c>
      <c r="R313" s="614">
        <v>1</v>
      </c>
      <c r="S313" s="630">
        <v>1</v>
      </c>
      <c r="T313" s="697">
        <v>1</v>
      </c>
      <c r="U313" s="653">
        <v>1</v>
      </c>
    </row>
    <row r="314" spans="1:21" ht="14.4" customHeight="1" x14ac:dyDescent="0.3">
      <c r="A314" s="613">
        <v>25</v>
      </c>
      <c r="B314" s="614" t="s">
        <v>1112</v>
      </c>
      <c r="C314" s="614" t="s">
        <v>1247</v>
      </c>
      <c r="D314" s="695" t="s">
        <v>1783</v>
      </c>
      <c r="E314" s="696" t="s">
        <v>1277</v>
      </c>
      <c r="F314" s="614" t="s">
        <v>1243</v>
      </c>
      <c r="G314" s="614" t="s">
        <v>1442</v>
      </c>
      <c r="H314" s="614" t="s">
        <v>325</v>
      </c>
      <c r="I314" s="614" t="s">
        <v>1525</v>
      </c>
      <c r="J314" s="614" t="s">
        <v>1526</v>
      </c>
      <c r="K314" s="614" t="s">
        <v>1527</v>
      </c>
      <c r="L314" s="615">
        <v>39.74</v>
      </c>
      <c r="M314" s="615">
        <v>79.48</v>
      </c>
      <c r="N314" s="614">
        <v>2</v>
      </c>
      <c r="O314" s="697">
        <v>1</v>
      </c>
      <c r="P314" s="615"/>
      <c r="Q314" s="630">
        <v>0</v>
      </c>
      <c r="R314" s="614"/>
      <c r="S314" s="630">
        <v>0</v>
      </c>
      <c r="T314" s="697"/>
      <c r="U314" s="653">
        <v>0</v>
      </c>
    </row>
    <row r="315" spans="1:21" ht="14.4" customHeight="1" x14ac:dyDescent="0.3">
      <c r="A315" s="613">
        <v>25</v>
      </c>
      <c r="B315" s="614" t="s">
        <v>1112</v>
      </c>
      <c r="C315" s="614" t="s">
        <v>1247</v>
      </c>
      <c r="D315" s="695" t="s">
        <v>1783</v>
      </c>
      <c r="E315" s="696" t="s">
        <v>1277</v>
      </c>
      <c r="F315" s="614" t="s">
        <v>1243</v>
      </c>
      <c r="G315" s="614" t="s">
        <v>1446</v>
      </c>
      <c r="H315" s="614" t="s">
        <v>325</v>
      </c>
      <c r="I315" s="614" t="s">
        <v>1689</v>
      </c>
      <c r="J315" s="614" t="s">
        <v>1448</v>
      </c>
      <c r="K315" s="614" t="s">
        <v>1690</v>
      </c>
      <c r="L315" s="615">
        <v>0</v>
      </c>
      <c r="M315" s="615">
        <v>0</v>
      </c>
      <c r="N315" s="614">
        <v>1</v>
      </c>
      <c r="O315" s="697">
        <v>1</v>
      </c>
      <c r="P315" s="615">
        <v>0</v>
      </c>
      <c r="Q315" s="630"/>
      <c r="R315" s="614">
        <v>1</v>
      </c>
      <c r="S315" s="630">
        <v>1</v>
      </c>
      <c r="T315" s="697">
        <v>1</v>
      </c>
      <c r="U315" s="653">
        <v>1</v>
      </c>
    </row>
    <row r="316" spans="1:21" ht="14.4" customHeight="1" x14ac:dyDescent="0.3">
      <c r="A316" s="613">
        <v>25</v>
      </c>
      <c r="B316" s="614" t="s">
        <v>1112</v>
      </c>
      <c r="C316" s="614" t="s">
        <v>1247</v>
      </c>
      <c r="D316" s="695" t="s">
        <v>1783</v>
      </c>
      <c r="E316" s="696" t="s">
        <v>1277</v>
      </c>
      <c r="F316" s="614" t="s">
        <v>1243</v>
      </c>
      <c r="G316" s="614" t="s">
        <v>1490</v>
      </c>
      <c r="H316" s="614" t="s">
        <v>325</v>
      </c>
      <c r="I316" s="614" t="s">
        <v>1691</v>
      </c>
      <c r="J316" s="614" t="s">
        <v>1692</v>
      </c>
      <c r="K316" s="614" t="s">
        <v>1693</v>
      </c>
      <c r="L316" s="615">
        <v>167.58</v>
      </c>
      <c r="M316" s="615">
        <v>167.58</v>
      </c>
      <c r="N316" s="614">
        <v>1</v>
      </c>
      <c r="O316" s="697">
        <v>1</v>
      </c>
      <c r="P316" s="615">
        <v>167.58</v>
      </c>
      <c r="Q316" s="630">
        <v>1</v>
      </c>
      <c r="R316" s="614">
        <v>1</v>
      </c>
      <c r="S316" s="630">
        <v>1</v>
      </c>
      <c r="T316" s="697">
        <v>1</v>
      </c>
      <c r="U316" s="653">
        <v>1</v>
      </c>
    </row>
    <row r="317" spans="1:21" ht="14.4" customHeight="1" x14ac:dyDescent="0.3">
      <c r="A317" s="613">
        <v>25</v>
      </c>
      <c r="B317" s="614" t="s">
        <v>1112</v>
      </c>
      <c r="C317" s="614" t="s">
        <v>1247</v>
      </c>
      <c r="D317" s="695" t="s">
        <v>1783</v>
      </c>
      <c r="E317" s="696" t="s">
        <v>1277</v>
      </c>
      <c r="F317" s="614" t="s">
        <v>1243</v>
      </c>
      <c r="G317" s="614" t="s">
        <v>1291</v>
      </c>
      <c r="H317" s="614" t="s">
        <v>325</v>
      </c>
      <c r="I317" s="614" t="s">
        <v>1320</v>
      </c>
      <c r="J317" s="614" t="s">
        <v>931</v>
      </c>
      <c r="K317" s="614" t="s">
        <v>932</v>
      </c>
      <c r="L317" s="615">
        <v>147.31</v>
      </c>
      <c r="M317" s="615">
        <v>441.93</v>
      </c>
      <c r="N317" s="614">
        <v>3</v>
      </c>
      <c r="O317" s="697">
        <v>2</v>
      </c>
      <c r="P317" s="615">
        <v>147.31</v>
      </c>
      <c r="Q317" s="630">
        <v>0.33333333333333331</v>
      </c>
      <c r="R317" s="614">
        <v>1</v>
      </c>
      <c r="S317" s="630">
        <v>0.33333333333333331</v>
      </c>
      <c r="T317" s="697">
        <v>1</v>
      </c>
      <c r="U317" s="653">
        <v>0.5</v>
      </c>
    </row>
    <row r="318" spans="1:21" ht="14.4" customHeight="1" x14ac:dyDescent="0.3">
      <c r="A318" s="613">
        <v>25</v>
      </c>
      <c r="B318" s="614" t="s">
        <v>1112</v>
      </c>
      <c r="C318" s="614" t="s">
        <v>1247</v>
      </c>
      <c r="D318" s="695" t="s">
        <v>1783</v>
      </c>
      <c r="E318" s="696" t="s">
        <v>1277</v>
      </c>
      <c r="F318" s="614" t="s">
        <v>1243</v>
      </c>
      <c r="G318" s="614" t="s">
        <v>1694</v>
      </c>
      <c r="H318" s="614" t="s">
        <v>325</v>
      </c>
      <c r="I318" s="614" t="s">
        <v>1695</v>
      </c>
      <c r="J318" s="614" t="s">
        <v>1696</v>
      </c>
      <c r="K318" s="614" t="s">
        <v>1697</v>
      </c>
      <c r="L318" s="615">
        <v>0</v>
      </c>
      <c r="M318" s="615">
        <v>0</v>
      </c>
      <c r="N318" s="614">
        <v>1</v>
      </c>
      <c r="O318" s="697">
        <v>0.5</v>
      </c>
      <c r="P318" s="615">
        <v>0</v>
      </c>
      <c r="Q318" s="630"/>
      <c r="R318" s="614">
        <v>1</v>
      </c>
      <c r="S318" s="630">
        <v>1</v>
      </c>
      <c r="T318" s="697">
        <v>0.5</v>
      </c>
      <c r="U318" s="653">
        <v>1</v>
      </c>
    </row>
    <row r="319" spans="1:21" ht="14.4" customHeight="1" x14ac:dyDescent="0.3">
      <c r="A319" s="613">
        <v>25</v>
      </c>
      <c r="B319" s="614" t="s">
        <v>1112</v>
      </c>
      <c r="C319" s="614" t="s">
        <v>1247</v>
      </c>
      <c r="D319" s="695" t="s">
        <v>1783</v>
      </c>
      <c r="E319" s="696" t="s">
        <v>1277</v>
      </c>
      <c r="F319" s="614" t="s">
        <v>1243</v>
      </c>
      <c r="G319" s="614" t="s">
        <v>1297</v>
      </c>
      <c r="H319" s="614" t="s">
        <v>325</v>
      </c>
      <c r="I319" s="614" t="s">
        <v>1698</v>
      </c>
      <c r="J319" s="614" t="s">
        <v>908</v>
      </c>
      <c r="K319" s="614" t="s">
        <v>1699</v>
      </c>
      <c r="L319" s="615">
        <v>34.19</v>
      </c>
      <c r="M319" s="615">
        <v>34.19</v>
      </c>
      <c r="N319" s="614">
        <v>1</v>
      </c>
      <c r="O319" s="697">
        <v>0.5</v>
      </c>
      <c r="P319" s="615"/>
      <c r="Q319" s="630">
        <v>0</v>
      </c>
      <c r="R319" s="614"/>
      <c r="S319" s="630">
        <v>0</v>
      </c>
      <c r="T319" s="697"/>
      <c r="U319" s="653">
        <v>0</v>
      </c>
    </row>
    <row r="320" spans="1:21" ht="14.4" customHeight="1" x14ac:dyDescent="0.3">
      <c r="A320" s="613">
        <v>25</v>
      </c>
      <c r="B320" s="614" t="s">
        <v>1112</v>
      </c>
      <c r="C320" s="614" t="s">
        <v>1247</v>
      </c>
      <c r="D320" s="695" t="s">
        <v>1783</v>
      </c>
      <c r="E320" s="696" t="s">
        <v>1277</v>
      </c>
      <c r="F320" s="614" t="s">
        <v>1243</v>
      </c>
      <c r="G320" s="614" t="s">
        <v>1700</v>
      </c>
      <c r="H320" s="614" t="s">
        <v>770</v>
      </c>
      <c r="I320" s="614" t="s">
        <v>1701</v>
      </c>
      <c r="J320" s="614" t="s">
        <v>1702</v>
      </c>
      <c r="K320" s="614" t="s">
        <v>1703</v>
      </c>
      <c r="L320" s="615">
        <v>205.84</v>
      </c>
      <c r="M320" s="615">
        <v>411.68</v>
      </c>
      <c r="N320" s="614">
        <v>2</v>
      </c>
      <c r="O320" s="697">
        <v>1</v>
      </c>
      <c r="P320" s="615">
        <v>411.68</v>
      </c>
      <c r="Q320" s="630">
        <v>1</v>
      </c>
      <c r="R320" s="614">
        <v>2</v>
      </c>
      <c r="S320" s="630">
        <v>1</v>
      </c>
      <c r="T320" s="697">
        <v>1</v>
      </c>
      <c r="U320" s="653">
        <v>1</v>
      </c>
    </row>
    <row r="321" spans="1:21" ht="14.4" customHeight="1" x14ac:dyDescent="0.3">
      <c r="A321" s="613">
        <v>25</v>
      </c>
      <c r="B321" s="614" t="s">
        <v>1112</v>
      </c>
      <c r="C321" s="614" t="s">
        <v>1247</v>
      </c>
      <c r="D321" s="695" t="s">
        <v>1783</v>
      </c>
      <c r="E321" s="696" t="s">
        <v>1277</v>
      </c>
      <c r="F321" s="614" t="s">
        <v>1243</v>
      </c>
      <c r="G321" s="614" t="s">
        <v>1700</v>
      </c>
      <c r="H321" s="614" t="s">
        <v>770</v>
      </c>
      <c r="I321" s="614" t="s">
        <v>1704</v>
      </c>
      <c r="J321" s="614" t="s">
        <v>1705</v>
      </c>
      <c r="K321" s="614" t="s">
        <v>1706</v>
      </c>
      <c r="L321" s="615">
        <v>0</v>
      </c>
      <c r="M321" s="615">
        <v>0</v>
      </c>
      <c r="N321" s="614">
        <v>1</v>
      </c>
      <c r="O321" s="697">
        <v>0.5</v>
      </c>
      <c r="P321" s="615">
        <v>0</v>
      </c>
      <c r="Q321" s="630"/>
      <c r="R321" s="614">
        <v>1</v>
      </c>
      <c r="S321" s="630">
        <v>1</v>
      </c>
      <c r="T321" s="697">
        <v>0.5</v>
      </c>
      <c r="U321" s="653">
        <v>1</v>
      </c>
    </row>
    <row r="322" spans="1:21" ht="14.4" customHeight="1" x14ac:dyDescent="0.3">
      <c r="A322" s="613">
        <v>25</v>
      </c>
      <c r="B322" s="614" t="s">
        <v>1112</v>
      </c>
      <c r="C322" s="614" t="s">
        <v>1247</v>
      </c>
      <c r="D322" s="695" t="s">
        <v>1783</v>
      </c>
      <c r="E322" s="696" t="s">
        <v>1277</v>
      </c>
      <c r="F322" s="614" t="s">
        <v>1244</v>
      </c>
      <c r="G322" s="614" t="s">
        <v>1344</v>
      </c>
      <c r="H322" s="614" t="s">
        <v>325</v>
      </c>
      <c r="I322" s="614" t="s">
        <v>1707</v>
      </c>
      <c r="J322" s="614" t="s">
        <v>1346</v>
      </c>
      <c r="K322" s="614"/>
      <c r="L322" s="615">
        <v>0</v>
      </c>
      <c r="M322" s="615">
        <v>0</v>
      </c>
      <c r="N322" s="614">
        <v>1</v>
      </c>
      <c r="O322" s="697">
        <v>1</v>
      </c>
      <c r="P322" s="615">
        <v>0</v>
      </c>
      <c r="Q322" s="630"/>
      <c r="R322" s="614">
        <v>1</v>
      </c>
      <c r="S322" s="630">
        <v>1</v>
      </c>
      <c r="T322" s="697">
        <v>1</v>
      </c>
      <c r="U322" s="653">
        <v>1</v>
      </c>
    </row>
    <row r="323" spans="1:21" ht="14.4" customHeight="1" x14ac:dyDescent="0.3">
      <c r="A323" s="613">
        <v>25</v>
      </c>
      <c r="B323" s="614" t="s">
        <v>1112</v>
      </c>
      <c r="C323" s="614" t="s">
        <v>1247</v>
      </c>
      <c r="D323" s="695" t="s">
        <v>1783</v>
      </c>
      <c r="E323" s="696" t="s">
        <v>1280</v>
      </c>
      <c r="F323" s="614" t="s">
        <v>1243</v>
      </c>
      <c r="G323" s="614" t="s">
        <v>1607</v>
      </c>
      <c r="H323" s="614" t="s">
        <v>770</v>
      </c>
      <c r="I323" s="614" t="s">
        <v>1708</v>
      </c>
      <c r="J323" s="614" t="s">
        <v>1709</v>
      </c>
      <c r="K323" s="614" t="s">
        <v>1610</v>
      </c>
      <c r="L323" s="615">
        <v>6.68</v>
      </c>
      <c r="M323" s="615">
        <v>6.68</v>
      </c>
      <c r="N323" s="614">
        <v>1</v>
      </c>
      <c r="O323" s="697">
        <v>0.5</v>
      </c>
      <c r="P323" s="615">
        <v>6.68</v>
      </c>
      <c r="Q323" s="630">
        <v>1</v>
      </c>
      <c r="R323" s="614">
        <v>1</v>
      </c>
      <c r="S323" s="630">
        <v>1</v>
      </c>
      <c r="T323" s="697">
        <v>0.5</v>
      </c>
      <c r="U323" s="653">
        <v>1</v>
      </c>
    </row>
    <row r="324" spans="1:21" ht="14.4" customHeight="1" x14ac:dyDescent="0.3">
      <c r="A324" s="613">
        <v>25</v>
      </c>
      <c r="B324" s="614" t="s">
        <v>1112</v>
      </c>
      <c r="C324" s="614" t="s">
        <v>1247</v>
      </c>
      <c r="D324" s="695" t="s">
        <v>1783</v>
      </c>
      <c r="E324" s="696" t="s">
        <v>1280</v>
      </c>
      <c r="F324" s="614" t="s">
        <v>1243</v>
      </c>
      <c r="G324" s="614" t="s">
        <v>1287</v>
      </c>
      <c r="H324" s="614" t="s">
        <v>770</v>
      </c>
      <c r="I324" s="614" t="s">
        <v>956</v>
      </c>
      <c r="J324" s="614" t="s">
        <v>864</v>
      </c>
      <c r="K324" s="614" t="s">
        <v>1196</v>
      </c>
      <c r="L324" s="615">
        <v>150.04</v>
      </c>
      <c r="M324" s="615">
        <v>1050.28</v>
      </c>
      <c r="N324" s="614">
        <v>7</v>
      </c>
      <c r="O324" s="697">
        <v>6.5</v>
      </c>
      <c r="P324" s="615">
        <v>150.04</v>
      </c>
      <c r="Q324" s="630">
        <v>0.14285714285714285</v>
      </c>
      <c r="R324" s="614">
        <v>1</v>
      </c>
      <c r="S324" s="630">
        <v>0.14285714285714285</v>
      </c>
      <c r="T324" s="697">
        <v>0.5</v>
      </c>
      <c r="U324" s="653">
        <v>7.6923076923076927E-2</v>
      </c>
    </row>
    <row r="325" spans="1:21" ht="14.4" customHeight="1" x14ac:dyDescent="0.3">
      <c r="A325" s="613">
        <v>25</v>
      </c>
      <c r="B325" s="614" t="s">
        <v>1112</v>
      </c>
      <c r="C325" s="614" t="s">
        <v>1247</v>
      </c>
      <c r="D325" s="695" t="s">
        <v>1783</v>
      </c>
      <c r="E325" s="696" t="s">
        <v>1280</v>
      </c>
      <c r="F325" s="614" t="s">
        <v>1243</v>
      </c>
      <c r="G325" s="614" t="s">
        <v>1287</v>
      </c>
      <c r="H325" s="614" t="s">
        <v>770</v>
      </c>
      <c r="I325" s="614" t="s">
        <v>956</v>
      </c>
      <c r="J325" s="614" t="s">
        <v>864</v>
      </c>
      <c r="K325" s="614" t="s">
        <v>1196</v>
      </c>
      <c r="L325" s="615">
        <v>154.36000000000001</v>
      </c>
      <c r="M325" s="615">
        <v>9261.6000000000022</v>
      </c>
      <c r="N325" s="614">
        <v>60</v>
      </c>
      <c r="O325" s="697">
        <v>49.5</v>
      </c>
      <c r="P325" s="615">
        <v>4939.5200000000004</v>
      </c>
      <c r="Q325" s="630">
        <v>0.53333333333333321</v>
      </c>
      <c r="R325" s="614">
        <v>32</v>
      </c>
      <c r="S325" s="630">
        <v>0.53333333333333333</v>
      </c>
      <c r="T325" s="697">
        <v>23.5</v>
      </c>
      <c r="U325" s="653">
        <v>0.47474747474747475</v>
      </c>
    </row>
    <row r="326" spans="1:21" ht="14.4" customHeight="1" x14ac:dyDescent="0.3">
      <c r="A326" s="613">
        <v>25</v>
      </c>
      <c r="B326" s="614" t="s">
        <v>1112</v>
      </c>
      <c r="C326" s="614" t="s">
        <v>1247</v>
      </c>
      <c r="D326" s="695" t="s">
        <v>1783</v>
      </c>
      <c r="E326" s="696" t="s">
        <v>1280</v>
      </c>
      <c r="F326" s="614" t="s">
        <v>1243</v>
      </c>
      <c r="G326" s="614" t="s">
        <v>1505</v>
      </c>
      <c r="H326" s="614" t="s">
        <v>770</v>
      </c>
      <c r="I326" s="614" t="s">
        <v>1679</v>
      </c>
      <c r="J326" s="614" t="s">
        <v>1574</v>
      </c>
      <c r="K326" s="614" t="s">
        <v>1680</v>
      </c>
      <c r="L326" s="615">
        <v>425.17</v>
      </c>
      <c r="M326" s="615">
        <v>425.17</v>
      </c>
      <c r="N326" s="614">
        <v>1</v>
      </c>
      <c r="O326" s="697">
        <v>0.5</v>
      </c>
      <c r="P326" s="615">
        <v>425.17</v>
      </c>
      <c r="Q326" s="630">
        <v>1</v>
      </c>
      <c r="R326" s="614">
        <v>1</v>
      </c>
      <c r="S326" s="630">
        <v>1</v>
      </c>
      <c r="T326" s="697">
        <v>0.5</v>
      </c>
      <c r="U326" s="653">
        <v>1</v>
      </c>
    </row>
    <row r="327" spans="1:21" ht="14.4" customHeight="1" x14ac:dyDescent="0.3">
      <c r="A327" s="613">
        <v>25</v>
      </c>
      <c r="B327" s="614" t="s">
        <v>1112</v>
      </c>
      <c r="C327" s="614" t="s">
        <v>1247</v>
      </c>
      <c r="D327" s="695" t="s">
        <v>1783</v>
      </c>
      <c r="E327" s="696" t="s">
        <v>1280</v>
      </c>
      <c r="F327" s="614" t="s">
        <v>1243</v>
      </c>
      <c r="G327" s="614" t="s">
        <v>1710</v>
      </c>
      <c r="H327" s="614" t="s">
        <v>325</v>
      </c>
      <c r="I327" s="614" t="s">
        <v>1711</v>
      </c>
      <c r="J327" s="614" t="s">
        <v>1712</v>
      </c>
      <c r="K327" s="614" t="s">
        <v>1713</v>
      </c>
      <c r="L327" s="615">
        <v>62.37</v>
      </c>
      <c r="M327" s="615">
        <v>124.74</v>
      </c>
      <c r="N327" s="614">
        <v>2</v>
      </c>
      <c r="O327" s="697">
        <v>0.5</v>
      </c>
      <c r="P327" s="615">
        <v>124.74</v>
      </c>
      <c r="Q327" s="630">
        <v>1</v>
      </c>
      <c r="R327" s="614">
        <v>2</v>
      </c>
      <c r="S327" s="630">
        <v>1</v>
      </c>
      <c r="T327" s="697">
        <v>0.5</v>
      </c>
      <c r="U327" s="653">
        <v>1</v>
      </c>
    </row>
    <row r="328" spans="1:21" ht="14.4" customHeight="1" x14ac:dyDescent="0.3">
      <c r="A328" s="613">
        <v>25</v>
      </c>
      <c r="B328" s="614" t="s">
        <v>1112</v>
      </c>
      <c r="C328" s="614" t="s">
        <v>1247</v>
      </c>
      <c r="D328" s="695" t="s">
        <v>1783</v>
      </c>
      <c r="E328" s="696" t="s">
        <v>1280</v>
      </c>
      <c r="F328" s="614" t="s">
        <v>1243</v>
      </c>
      <c r="G328" s="614" t="s">
        <v>1289</v>
      </c>
      <c r="H328" s="614" t="s">
        <v>325</v>
      </c>
      <c r="I328" s="614" t="s">
        <v>919</v>
      </c>
      <c r="J328" s="614" t="s">
        <v>920</v>
      </c>
      <c r="K328" s="614" t="s">
        <v>1209</v>
      </c>
      <c r="L328" s="615">
        <v>170.52</v>
      </c>
      <c r="M328" s="615">
        <v>341.04</v>
      </c>
      <c r="N328" s="614">
        <v>2</v>
      </c>
      <c r="O328" s="697">
        <v>2</v>
      </c>
      <c r="P328" s="615">
        <v>170.52</v>
      </c>
      <c r="Q328" s="630">
        <v>0.5</v>
      </c>
      <c r="R328" s="614">
        <v>1</v>
      </c>
      <c r="S328" s="630">
        <v>0.5</v>
      </c>
      <c r="T328" s="697">
        <v>1</v>
      </c>
      <c r="U328" s="653">
        <v>0.5</v>
      </c>
    </row>
    <row r="329" spans="1:21" ht="14.4" customHeight="1" x14ac:dyDescent="0.3">
      <c r="A329" s="613">
        <v>25</v>
      </c>
      <c r="B329" s="614" t="s">
        <v>1112</v>
      </c>
      <c r="C329" s="614" t="s">
        <v>1247</v>
      </c>
      <c r="D329" s="695" t="s">
        <v>1783</v>
      </c>
      <c r="E329" s="696" t="s">
        <v>1280</v>
      </c>
      <c r="F329" s="614" t="s">
        <v>1243</v>
      </c>
      <c r="G329" s="614" t="s">
        <v>1289</v>
      </c>
      <c r="H329" s="614" t="s">
        <v>325</v>
      </c>
      <c r="I329" s="614" t="s">
        <v>1337</v>
      </c>
      <c r="J329" s="614" t="s">
        <v>920</v>
      </c>
      <c r="K329" s="614" t="s">
        <v>1338</v>
      </c>
      <c r="L329" s="615">
        <v>0</v>
      </c>
      <c r="M329" s="615">
        <v>0</v>
      </c>
      <c r="N329" s="614">
        <v>1</v>
      </c>
      <c r="O329" s="697">
        <v>0.5</v>
      </c>
      <c r="P329" s="615"/>
      <c r="Q329" s="630"/>
      <c r="R329" s="614"/>
      <c r="S329" s="630">
        <v>0</v>
      </c>
      <c r="T329" s="697"/>
      <c r="U329" s="653">
        <v>0</v>
      </c>
    </row>
    <row r="330" spans="1:21" ht="14.4" customHeight="1" x14ac:dyDescent="0.3">
      <c r="A330" s="613">
        <v>25</v>
      </c>
      <c r="B330" s="614" t="s">
        <v>1112</v>
      </c>
      <c r="C330" s="614" t="s">
        <v>1247</v>
      </c>
      <c r="D330" s="695" t="s">
        <v>1783</v>
      </c>
      <c r="E330" s="696" t="s">
        <v>1280</v>
      </c>
      <c r="F330" s="614" t="s">
        <v>1243</v>
      </c>
      <c r="G330" s="614" t="s">
        <v>1362</v>
      </c>
      <c r="H330" s="614" t="s">
        <v>325</v>
      </c>
      <c r="I330" s="614" t="s">
        <v>1714</v>
      </c>
      <c r="J330" s="614" t="s">
        <v>1440</v>
      </c>
      <c r="K330" s="614" t="s">
        <v>1715</v>
      </c>
      <c r="L330" s="615">
        <v>340.97</v>
      </c>
      <c r="M330" s="615">
        <v>1022.9100000000001</v>
      </c>
      <c r="N330" s="614">
        <v>3</v>
      </c>
      <c r="O330" s="697">
        <v>2</v>
      </c>
      <c r="P330" s="615">
        <v>340.97</v>
      </c>
      <c r="Q330" s="630">
        <v>0.33333333333333331</v>
      </c>
      <c r="R330" s="614">
        <v>1</v>
      </c>
      <c r="S330" s="630">
        <v>0.33333333333333331</v>
      </c>
      <c r="T330" s="697">
        <v>1</v>
      </c>
      <c r="U330" s="653">
        <v>0.5</v>
      </c>
    </row>
    <row r="331" spans="1:21" ht="14.4" customHeight="1" x14ac:dyDescent="0.3">
      <c r="A331" s="613">
        <v>25</v>
      </c>
      <c r="B331" s="614" t="s">
        <v>1112</v>
      </c>
      <c r="C331" s="614" t="s">
        <v>1247</v>
      </c>
      <c r="D331" s="695" t="s">
        <v>1783</v>
      </c>
      <c r="E331" s="696" t="s">
        <v>1280</v>
      </c>
      <c r="F331" s="614" t="s">
        <v>1243</v>
      </c>
      <c r="G331" s="614" t="s">
        <v>1635</v>
      </c>
      <c r="H331" s="614" t="s">
        <v>325</v>
      </c>
      <c r="I331" s="614" t="s">
        <v>1716</v>
      </c>
      <c r="J331" s="614" t="s">
        <v>1717</v>
      </c>
      <c r="K331" s="614" t="s">
        <v>1718</v>
      </c>
      <c r="L331" s="615">
        <v>0</v>
      </c>
      <c r="M331" s="615">
        <v>0</v>
      </c>
      <c r="N331" s="614">
        <v>2</v>
      </c>
      <c r="O331" s="697">
        <v>2</v>
      </c>
      <c r="P331" s="615"/>
      <c r="Q331" s="630"/>
      <c r="R331" s="614"/>
      <c r="S331" s="630">
        <v>0</v>
      </c>
      <c r="T331" s="697"/>
      <c r="U331" s="653">
        <v>0</v>
      </c>
    </row>
    <row r="332" spans="1:21" ht="14.4" customHeight="1" x14ac:dyDescent="0.3">
      <c r="A332" s="613">
        <v>25</v>
      </c>
      <c r="B332" s="614" t="s">
        <v>1112</v>
      </c>
      <c r="C332" s="614" t="s">
        <v>1247</v>
      </c>
      <c r="D332" s="695" t="s">
        <v>1783</v>
      </c>
      <c r="E332" s="696" t="s">
        <v>1280</v>
      </c>
      <c r="F332" s="614" t="s">
        <v>1243</v>
      </c>
      <c r="G332" s="614" t="s">
        <v>1635</v>
      </c>
      <c r="H332" s="614" t="s">
        <v>325</v>
      </c>
      <c r="I332" s="614" t="s">
        <v>1636</v>
      </c>
      <c r="J332" s="614" t="s">
        <v>1637</v>
      </c>
      <c r="K332" s="614" t="s">
        <v>1638</v>
      </c>
      <c r="L332" s="615">
        <v>0</v>
      </c>
      <c r="M332" s="615">
        <v>0</v>
      </c>
      <c r="N332" s="614">
        <v>3</v>
      </c>
      <c r="O332" s="697">
        <v>1</v>
      </c>
      <c r="P332" s="615">
        <v>0</v>
      </c>
      <c r="Q332" s="630"/>
      <c r="R332" s="614">
        <v>3</v>
      </c>
      <c r="S332" s="630">
        <v>1</v>
      </c>
      <c r="T332" s="697">
        <v>1</v>
      </c>
      <c r="U332" s="653">
        <v>1</v>
      </c>
    </row>
    <row r="333" spans="1:21" ht="14.4" customHeight="1" x14ac:dyDescent="0.3">
      <c r="A333" s="613">
        <v>25</v>
      </c>
      <c r="B333" s="614" t="s">
        <v>1112</v>
      </c>
      <c r="C333" s="614" t="s">
        <v>1247</v>
      </c>
      <c r="D333" s="695" t="s">
        <v>1783</v>
      </c>
      <c r="E333" s="696" t="s">
        <v>1280</v>
      </c>
      <c r="F333" s="614" t="s">
        <v>1243</v>
      </c>
      <c r="G333" s="614" t="s">
        <v>1314</v>
      </c>
      <c r="H333" s="614" t="s">
        <v>325</v>
      </c>
      <c r="I333" s="614" t="s">
        <v>1339</v>
      </c>
      <c r="J333" s="614" t="s">
        <v>1316</v>
      </c>
      <c r="K333" s="614" t="s">
        <v>1340</v>
      </c>
      <c r="L333" s="615">
        <v>0</v>
      </c>
      <c r="M333" s="615">
        <v>0</v>
      </c>
      <c r="N333" s="614">
        <v>1</v>
      </c>
      <c r="O333" s="697">
        <v>0.5</v>
      </c>
      <c r="P333" s="615"/>
      <c r="Q333" s="630"/>
      <c r="R333" s="614"/>
      <c r="S333" s="630">
        <v>0</v>
      </c>
      <c r="T333" s="697"/>
      <c r="U333" s="653">
        <v>0</v>
      </c>
    </row>
    <row r="334" spans="1:21" ht="14.4" customHeight="1" x14ac:dyDescent="0.3">
      <c r="A334" s="613">
        <v>25</v>
      </c>
      <c r="B334" s="614" t="s">
        <v>1112</v>
      </c>
      <c r="C334" s="614" t="s">
        <v>1247</v>
      </c>
      <c r="D334" s="695" t="s">
        <v>1783</v>
      </c>
      <c r="E334" s="696" t="s">
        <v>1280</v>
      </c>
      <c r="F334" s="614" t="s">
        <v>1243</v>
      </c>
      <c r="G334" s="614" t="s">
        <v>1314</v>
      </c>
      <c r="H334" s="614" t="s">
        <v>325</v>
      </c>
      <c r="I334" s="614" t="s">
        <v>1315</v>
      </c>
      <c r="J334" s="614" t="s">
        <v>1316</v>
      </c>
      <c r="K334" s="614" t="s">
        <v>1317</v>
      </c>
      <c r="L334" s="615">
        <v>0</v>
      </c>
      <c r="M334" s="615">
        <v>0</v>
      </c>
      <c r="N334" s="614">
        <v>1</v>
      </c>
      <c r="O334" s="697">
        <v>1</v>
      </c>
      <c r="P334" s="615"/>
      <c r="Q334" s="630"/>
      <c r="R334" s="614"/>
      <c r="S334" s="630">
        <v>0</v>
      </c>
      <c r="T334" s="697"/>
      <c r="U334" s="653">
        <v>0</v>
      </c>
    </row>
    <row r="335" spans="1:21" ht="14.4" customHeight="1" x14ac:dyDescent="0.3">
      <c r="A335" s="613">
        <v>25</v>
      </c>
      <c r="B335" s="614" t="s">
        <v>1112</v>
      </c>
      <c r="C335" s="614" t="s">
        <v>1247</v>
      </c>
      <c r="D335" s="695" t="s">
        <v>1783</v>
      </c>
      <c r="E335" s="696" t="s">
        <v>1280</v>
      </c>
      <c r="F335" s="614" t="s">
        <v>1243</v>
      </c>
      <c r="G335" s="614" t="s">
        <v>1372</v>
      </c>
      <c r="H335" s="614" t="s">
        <v>325</v>
      </c>
      <c r="I335" s="614" t="s">
        <v>464</v>
      </c>
      <c r="J335" s="614" t="s">
        <v>465</v>
      </c>
      <c r="K335" s="614" t="s">
        <v>1373</v>
      </c>
      <c r="L335" s="615">
        <v>156.77000000000001</v>
      </c>
      <c r="M335" s="615">
        <v>1410.9300000000003</v>
      </c>
      <c r="N335" s="614">
        <v>9</v>
      </c>
      <c r="O335" s="697">
        <v>2.5</v>
      </c>
      <c r="P335" s="615">
        <v>627.08000000000004</v>
      </c>
      <c r="Q335" s="630">
        <v>0.44444444444444436</v>
      </c>
      <c r="R335" s="614">
        <v>4</v>
      </c>
      <c r="S335" s="630">
        <v>0.44444444444444442</v>
      </c>
      <c r="T335" s="697">
        <v>1.5</v>
      </c>
      <c r="U335" s="653">
        <v>0.6</v>
      </c>
    </row>
    <row r="336" spans="1:21" ht="14.4" customHeight="1" x14ac:dyDescent="0.3">
      <c r="A336" s="613">
        <v>25</v>
      </c>
      <c r="B336" s="614" t="s">
        <v>1112</v>
      </c>
      <c r="C336" s="614" t="s">
        <v>1247</v>
      </c>
      <c r="D336" s="695" t="s">
        <v>1783</v>
      </c>
      <c r="E336" s="696" t="s">
        <v>1280</v>
      </c>
      <c r="F336" s="614" t="s">
        <v>1243</v>
      </c>
      <c r="G336" s="614" t="s">
        <v>1719</v>
      </c>
      <c r="H336" s="614" t="s">
        <v>325</v>
      </c>
      <c r="I336" s="614" t="s">
        <v>1720</v>
      </c>
      <c r="J336" s="614" t="s">
        <v>1721</v>
      </c>
      <c r="K336" s="614" t="s">
        <v>1638</v>
      </c>
      <c r="L336" s="615">
        <v>0</v>
      </c>
      <c r="M336" s="615">
        <v>0</v>
      </c>
      <c r="N336" s="614">
        <v>1</v>
      </c>
      <c r="O336" s="697">
        <v>1</v>
      </c>
      <c r="P336" s="615">
        <v>0</v>
      </c>
      <c r="Q336" s="630"/>
      <c r="R336" s="614">
        <v>1</v>
      </c>
      <c r="S336" s="630">
        <v>1</v>
      </c>
      <c r="T336" s="697">
        <v>1</v>
      </c>
      <c r="U336" s="653">
        <v>1</v>
      </c>
    </row>
    <row r="337" spans="1:21" ht="14.4" customHeight="1" x14ac:dyDescent="0.3">
      <c r="A337" s="613">
        <v>25</v>
      </c>
      <c r="B337" s="614" t="s">
        <v>1112</v>
      </c>
      <c r="C337" s="614" t="s">
        <v>1247</v>
      </c>
      <c r="D337" s="695" t="s">
        <v>1783</v>
      </c>
      <c r="E337" s="696" t="s">
        <v>1280</v>
      </c>
      <c r="F337" s="614" t="s">
        <v>1243</v>
      </c>
      <c r="G337" s="614" t="s">
        <v>1318</v>
      </c>
      <c r="H337" s="614" t="s">
        <v>325</v>
      </c>
      <c r="I337" s="614" t="s">
        <v>900</v>
      </c>
      <c r="J337" s="614" t="s">
        <v>901</v>
      </c>
      <c r="K337" s="614" t="s">
        <v>1319</v>
      </c>
      <c r="L337" s="615">
        <v>48.09</v>
      </c>
      <c r="M337" s="615">
        <v>240.45000000000002</v>
      </c>
      <c r="N337" s="614">
        <v>5</v>
      </c>
      <c r="O337" s="697">
        <v>4</v>
      </c>
      <c r="P337" s="615">
        <v>144.27000000000001</v>
      </c>
      <c r="Q337" s="630">
        <v>0.6</v>
      </c>
      <c r="R337" s="614">
        <v>3</v>
      </c>
      <c r="S337" s="630">
        <v>0.6</v>
      </c>
      <c r="T337" s="697">
        <v>2</v>
      </c>
      <c r="U337" s="653">
        <v>0.5</v>
      </c>
    </row>
    <row r="338" spans="1:21" ht="14.4" customHeight="1" x14ac:dyDescent="0.3">
      <c r="A338" s="613">
        <v>25</v>
      </c>
      <c r="B338" s="614" t="s">
        <v>1112</v>
      </c>
      <c r="C338" s="614" t="s">
        <v>1247</v>
      </c>
      <c r="D338" s="695" t="s">
        <v>1783</v>
      </c>
      <c r="E338" s="696" t="s">
        <v>1280</v>
      </c>
      <c r="F338" s="614" t="s">
        <v>1243</v>
      </c>
      <c r="G338" s="614" t="s">
        <v>1318</v>
      </c>
      <c r="H338" s="614" t="s">
        <v>325</v>
      </c>
      <c r="I338" s="614" t="s">
        <v>1722</v>
      </c>
      <c r="J338" s="614" t="s">
        <v>901</v>
      </c>
      <c r="K338" s="614" t="s">
        <v>1723</v>
      </c>
      <c r="L338" s="615">
        <v>55.58</v>
      </c>
      <c r="M338" s="615">
        <v>55.58</v>
      </c>
      <c r="N338" s="614">
        <v>1</v>
      </c>
      <c r="O338" s="697">
        <v>1</v>
      </c>
      <c r="P338" s="615">
        <v>55.58</v>
      </c>
      <c r="Q338" s="630">
        <v>1</v>
      </c>
      <c r="R338" s="614">
        <v>1</v>
      </c>
      <c r="S338" s="630">
        <v>1</v>
      </c>
      <c r="T338" s="697">
        <v>1</v>
      </c>
      <c r="U338" s="653">
        <v>1</v>
      </c>
    </row>
    <row r="339" spans="1:21" ht="14.4" customHeight="1" x14ac:dyDescent="0.3">
      <c r="A339" s="613">
        <v>25</v>
      </c>
      <c r="B339" s="614" t="s">
        <v>1112</v>
      </c>
      <c r="C339" s="614" t="s">
        <v>1247</v>
      </c>
      <c r="D339" s="695" t="s">
        <v>1783</v>
      </c>
      <c r="E339" s="696" t="s">
        <v>1280</v>
      </c>
      <c r="F339" s="614" t="s">
        <v>1243</v>
      </c>
      <c r="G339" s="614" t="s">
        <v>1378</v>
      </c>
      <c r="H339" s="614" t="s">
        <v>325</v>
      </c>
      <c r="I339" s="614" t="s">
        <v>1586</v>
      </c>
      <c r="J339" s="614" t="s">
        <v>1587</v>
      </c>
      <c r="K339" s="614" t="s">
        <v>1577</v>
      </c>
      <c r="L339" s="615">
        <v>73.73</v>
      </c>
      <c r="M339" s="615">
        <v>73.73</v>
      </c>
      <c r="N339" s="614">
        <v>1</v>
      </c>
      <c r="O339" s="697">
        <v>0.5</v>
      </c>
      <c r="P339" s="615"/>
      <c r="Q339" s="630">
        <v>0</v>
      </c>
      <c r="R339" s="614"/>
      <c r="S339" s="630">
        <v>0</v>
      </c>
      <c r="T339" s="697"/>
      <c r="U339" s="653">
        <v>0</v>
      </c>
    </row>
    <row r="340" spans="1:21" ht="14.4" customHeight="1" x14ac:dyDescent="0.3">
      <c r="A340" s="613">
        <v>25</v>
      </c>
      <c r="B340" s="614" t="s">
        <v>1112</v>
      </c>
      <c r="C340" s="614" t="s">
        <v>1247</v>
      </c>
      <c r="D340" s="695" t="s">
        <v>1783</v>
      </c>
      <c r="E340" s="696" t="s">
        <v>1280</v>
      </c>
      <c r="F340" s="614" t="s">
        <v>1243</v>
      </c>
      <c r="G340" s="614" t="s">
        <v>1291</v>
      </c>
      <c r="H340" s="614" t="s">
        <v>325</v>
      </c>
      <c r="I340" s="614" t="s">
        <v>930</v>
      </c>
      <c r="J340" s="614" t="s">
        <v>931</v>
      </c>
      <c r="K340" s="614" t="s">
        <v>932</v>
      </c>
      <c r="L340" s="615">
        <v>147.31</v>
      </c>
      <c r="M340" s="615">
        <v>1915.0299999999997</v>
      </c>
      <c r="N340" s="614">
        <v>13</v>
      </c>
      <c r="O340" s="697">
        <v>11</v>
      </c>
      <c r="P340" s="615">
        <v>883.8599999999999</v>
      </c>
      <c r="Q340" s="630">
        <v>0.46153846153846156</v>
      </c>
      <c r="R340" s="614">
        <v>6</v>
      </c>
      <c r="S340" s="630">
        <v>0.46153846153846156</v>
      </c>
      <c r="T340" s="697">
        <v>6</v>
      </c>
      <c r="U340" s="653">
        <v>0.54545454545454541</v>
      </c>
    </row>
    <row r="341" spans="1:21" ht="14.4" customHeight="1" x14ac:dyDescent="0.3">
      <c r="A341" s="613">
        <v>25</v>
      </c>
      <c r="B341" s="614" t="s">
        <v>1112</v>
      </c>
      <c r="C341" s="614" t="s">
        <v>1247</v>
      </c>
      <c r="D341" s="695" t="s">
        <v>1783</v>
      </c>
      <c r="E341" s="696" t="s">
        <v>1280</v>
      </c>
      <c r="F341" s="614" t="s">
        <v>1243</v>
      </c>
      <c r="G341" s="614" t="s">
        <v>1291</v>
      </c>
      <c r="H341" s="614" t="s">
        <v>325</v>
      </c>
      <c r="I341" s="614" t="s">
        <v>1320</v>
      </c>
      <c r="J341" s="614" t="s">
        <v>931</v>
      </c>
      <c r="K341" s="614" t="s">
        <v>932</v>
      </c>
      <c r="L341" s="615">
        <v>147.31</v>
      </c>
      <c r="M341" s="615">
        <v>883.86</v>
      </c>
      <c r="N341" s="614">
        <v>6</v>
      </c>
      <c r="O341" s="697">
        <v>3</v>
      </c>
      <c r="P341" s="615">
        <v>294.62</v>
      </c>
      <c r="Q341" s="630">
        <v>0.33333333333333331</v>
      </c>
      <c r="R341" s="614">
        <v>2</v>
      </c>
      <c r="S341" s="630">
        <v>0.33333333333333331</v>
      </c>
      <c r="T341" s="697">
        <v>2</v>
      </c>
      <c r="U341" s="653">
        <v>0.66666666666666663</v>
      </c>
    </row>
    <row r="342" spans="1:21" ht="14.4" customHeight="1" x14ac:dyDescent="0.3">
      <c r="A342" s="613">
        <v>25</v>
      </c>
      <c r="B342" s="614" t="s">
        <v>1112</v>
      </c>
      <c r="C342" s="614" t="s">
        <v>1247</v>
      </c>
      <c r="D342" s="695" t="s">
        <v>1783</v>
      </c>
      <c r="E342" s="696" t="s">
        <v>1280</v>
      </c>
      <c r="F342" s="614" t="s">
        <v>1243</v>
      </c>
      <c r="G342" s="614" t="s">
        <v>1297</v>
      </c>
      <c r="H342" s="614" t="s">
        <v>325</v>
      </c>
      <c r="I342" s="614" t="s">
        <v>907</v>
      </c>
      <c r="J342" s="614" t="s">
        <v>908</v>
      </c>
      <c r="K342" s="614" t="s">
        <v>1296</v>
      </c>
      <c r="L342" s="615">
        <v>30.17</v>
      </c>
      <c r="M342" s="615">
        <v>301.70000000000005</v>
      </c>
      <c r="N342" s="614">
        <v>10</v>
      </c>
      <c r="O342" s="697">
        <v>6</v>
      </c>
      <c r="P342" s="615">
        <v>241.36000000000007</v>
      </c>
      <c r="Q342" s="630">
        <v>0.80000000000000016</v>
      </c>
      <c r="R342" s="614">
        <v>8</v>
      </c>
      <c r="S342" s="630">
        <v>0.8</v>
      </c>
      <c r="T342" s="697">
        <v>4</v>
      </c>
      <c r="U342" s="653">
        <v>0.66666666666666663</v>
      </c>
    </row>
    <row r="343" spans="1:21" ht="14.4" customHeight="1" x14ac:dyDescent="0.3">
      <c r="A343" s="613">
        <v>25</v>
      </c>
      <c r="B343" s="614" t="s">
        <v>1112</v>
      </c>
      <c r="C343" s="614" t="s">
        <v>1247</v>
      </c>
      <c r="D343" s="695" t="s">
        <v>1783</v>
      </c>
      <c r="E343" s="696" t="s">
        <v>1280</v>
      </c>
      <c r="F343" s="614" t="s">
        <v>1243</v>
      </c>
      <c r="G343" s="614" t="s">
        <v>1532</v>
      </c>
      <c r="H343" s="614" t="s">
        <v>325</v>
      </c>
      <c r="I343" s="614" t="s">
        <v>926</v>
      </c>
      <c r="J343" s="614" t="s">
        <v>927</v>
      </c>
      <c r="K343" s="614" t="s">
        <v>928</v>
      </c>
      <c r="L343" s="615">
        <v>115.13</v>
      </c>
      <c r="M343" s="615">
        <v>115.13</v>
      </c>
      <c r="N343" s="614">
        <v>1</v>
      </c>
      <c r="O343" s="697">
        <v>1</v>
      </c>
      <c r="P343" s="615"/>
      <c r="Q343" s="630">
        <v>0</v>
      </c>
      <c r="R343" s="614"/>
      <c r="S343" s="630">
        <v>0</v>
      </c>
      <c r="T343" s="697"/>
      <c r="U343" s="653">
        <v>0</v>
      </c>
    </row>
    <row r="344" spans="1:21" ht="14.4" customHeight="1" x14ac:dyDescent="0.3">
      <c r="A344" s="613">
        <v>25</v>
      </c>
      <c r="B344" s="614" t="s">
        <v>1112</v>
      </c>
      <c r="C344" s="614" t="s">
        <v>1247</v>
      </c>
      <c r="D344" s="695" t="s">
        <v>1783</v>
      </c>
      <c r="E344" s="696" t="s">
        <v>1280</v>
      </c>
      <c r="F344" s="614" t="s">
        <v>1243</v>
      </c>
      <c r="G344" s="614" t="s">
        <v>1724</v>
      </c>
      <c r="H344" s="614" t="s">
        <v>325</v>
      </c>
      <c r="I344" s="614" t="s">
        <v>1725</v>
      </c>
      <c r="J344" s="614" t="s">
        <v>1726</v>
      </c>
      <c r="K344" s="614" t="s">
        <v>1727</v>
      </c>
      <c r="L344" s="615">
        <v>0</v>
      </c>
      <c r="M344" s="615">
        <v>0</v>
      </c>
      <c r="N344" s="614">
        <v>1</v>
      </c>
      <c r="O344" s="697">
        <v>0.5</v>
      </c>
      <c r="P344" s="615">
        <v>0</v>
      </c>
      <c r="Q344" s="630"/>
      <c r="R344" s="614">
        <v>1</v>
      </c>
      <c r="S344" s="630">
        <v>1</v>
      </c>
      <c r="T344" s="697">
        <v>0.5</v>
      </c>
      <c r="U344" s="653">
        <v>1</v>
      </c>
    </row>
    <row r="345" spans="1:21" ht="14.4" customHeight="1" x14ac:dyDescent="0.3">
      <c r="A345" s="613">
        <v>25</v>
      </c>
      <c r="B345" s="614" t="s">
        <v>1112</v>
      </c>
      <c r="C345" s="614" t="s">
        <v>1247</v>
      </c>
      <c r="D345" s="695" t="s">
        <v>1783</v>
      </c>
      <c r="E345" s="696" t="s">
        <v>1280</v>
      </c>
      <c r="F345" s="614" t="s">
        <v>1243</v>
      </c>
      <c r="G345" s="614" t="s">
        <v>1292</v>
      </c>
      <c r="H345" s="614" t="s">
        <v>770</v>
      </c>
      <c r="I345" s="614" t="s">
        <v>1307</v>
      </c>
      <c r="J345" s="614" t="s">
        <v>714</v>
      </c>
      <c r="K345" s="614" t="s">
        <v>1308</v>
      </c>
      <c r="L345" s="615">
        <v>24.22</v>
      </c>
      <c r="M345" s="615">
        <v>24.22</v>
      </c>
      <c r="N345" s="614">
        <v>1</v>
      </c>
      <c r="O345" s="697">
        <v>1</v>
      </c>
      <c r="P345" s="615"/>
      <c r="Q345" s="630">
        <v>0</v>
      </c>
      <c r="R345" s="614"/>
      <c r="S345" s="630">
        <v>0</v>
      </c>
      <c r="T345" s="697"/>
      <c r="U345" s="653">
        <v>0</v>
      </c>
    </row>
    <row r="346" spans="1:21" ht="14.4" customHeight="1" x14ac:dyDescent="0.3">
      <c r="A346" s="613">
        <v>25</v>
      </c>
      <c r="B346" s="614" t="s">
        <v>1112</v>
      </c>
      <c r="C346" s="614" t="s">
        <v>1247</v>
      </c>
      <c r="D346" s="695" t="s">
        <v>1783</v>
      </c>
      <c r="E346" s="696" t="s">
        <v>1280</v>
      </c>
      <c r="F346" s="614" t="s">
        <v>1243</v>
      </c>
      <c r="G346" s="614" t="s">
        <v>1292</v>
      </c>
      <c r="H346" s="614" t="s">
        <v>770</v>
      </c>
      <c r="I346" s="614" t="s">
        <v>776</v>
      </c>
      <c r="J346" s="614" t="s">
        <v>714</v>
      </c>
      <c r="K346" s="614" t="s">
        <v>1219</v>
      </c>
      <c r="L346" s="615">
        <v>48.42</v>
      </c>
      <c r="M346" s="615">
        <v>1016.8200000000002</v>
      </c>
      <c r="N346" s="614">
        <v>21</v>
      </c>
      <c r="O346" s="697">
        <v>15.5</v>
      </c>
      <c r="P346" s="615">
        <v>532.62000000000012</v>
      </c>
      <c r="Q346" s="630">
        <v>0.52380952380952384</v>
      </c>
      <c r="R346" s="614">
        <v>11</v>
      </c>
      <c r="S346" s="630">
        <v>0.52380952380952384</v>
      </c>
      <c r="T346" s="697">
        <v>7.5</v>
      </c>
      <c r="U346" s="653">
        <v>0.4838709677419355</v>
      </c>
    </row>
    <row r="347" spans="1:21" ht="14.4" customHeight="1" x14ac:dyDescent="0.3">
      <c r="A347" s="613">
        <v>25</v>
      </c>
      <c r="B347" s="614" t="s">
        <v>1112</v>
      </c>
      <c r="C347" s="614" t="s">
        <v>1247</v>
      </c>
      <c r="D347" s="695" t="s">
        <v>1783</v>
      </c>
      <c r="E347" s="696" t="s">
        <v>1280</v>
      </c>
      <c r="F347" s="614" t="s">
        <v>1243</v>
      </c>
      <c r="G347" s="614" t="s">
        <v>1466</v>
      </c>
      <c r="H347" s="614" t="s">
        <v>325</v>
      </c>
      <c r="I347" s="614" t="s">
        <v>1467</v>
      </c>
      <c r="J347" s="614" t="s">
        <v>735</v>
      </c>
      <c r="K347" s="614" t="s">
        <v>1468</v>
      </c>
      <c r="L347" s="615">
        <v>54.23</v>
      </c>
      <c r="M347" s="615">
        <v>54.23</v>
      </c>
      <c r="N347" s="614">
        <v>1</v>
      </c>
      <c r="O347" s="697">
        <v>0.5</v>
      </c>
      <c r="P347" s="615">
        <v>54.23</v>
      </c>
      <c r="Q347" s="630">
        <v>1</v>
      </c>
      <c r="R347" s="614">
        <v>1</v>
      </c>
      <c r="S347" s="630">
        <v>1</v>
      </c>
      <c r="T347" s="697">
        <v>0.5</v>
      </c>
      <c r="U347" s="653">
        <v>1</v>
      </c>
    </row>
    <row r="348" spans="1:21" ht="14.4" customHeight="1" x14ac:dyDescent="0.3">
      <c r="A348" s="613">
        <v>25</v>
      </c>
      <c r="B348" s="614" t="s">
        <v>1112</v>
      </c>
      <c r="C348" s="614" t="s">
        <v>1247</v>
      </c>
      <c r="D348" s="695" t="s">
        <v>1783</v>
      </c>
      <c r="E348" s="696" t="s">
        <v>1280</v>
      </c>
      <c r="F348" s="614" t="s">
        <v>1243</v>
      </c>
      <c r="G348" s="614" t="s">
        <v>1466</v>
      </c>
      <c r="H348" s="614" t="s">
        <v>325</v>
      </c>
      <c r="I348" s="614" t="s">
        <v>1728</v>
      </c>
      <c r="J348" s="614" t="s">
        <v>1729</v>
      </c>
      <c r="K348" s="614" t="s">
        <v>1730</v>
      </c>
      <c r="L348" s="615">
        <v>43.37</v>
      </c>
      <c r="M348" s="615">
        <v>43.37</v>
      </c>
      <c r="N348" s="614">
        <v>1</v>
      </c>
      <c r="O348" s="697">
        <v>0.5</v>
      </c>
      <c r="P348" s="615"/>
      <c r="Q348" s="630">
        <v>0</v>
      </c>
      <c r="R348" s="614"/>
      <c r="S348" s="630">
        <v>0</v>
      </c>
      <c r="T348" s="697"/>
      <c r="U348" s="653">
        <v>0</v>
      </c>
    </row>
    <row r="349" spans="1:21" ht="14.4" customHeight="1" x14ac:dyDescent="0.3">
      <c r="A349" s="613">
        <v>25</v>
      </c>
      <c r="B349" s="614" t="s">
        <v>1112</v>
      </c>
      <c r="C349" s="614" t="s">
        <v>1247</v>
      </c>
      <c r="D349" s="695" t="s">
        <v>1783</v>
      </c>
      <c r="E349" s="696" t="s">
        <v>1280</v>
      </c>
      <c r="F349" s="614" t="s">
        <v>1243</v>
      </c>
      <c r="G349" s="614" t="s">
        <v>1731</v>
      </c>
      <c r="H349" s="614" t="s">
        <v>325</v>
      </c>
      <c r="I349" s="614" t="s">
        <v>1732</v>
      </c>
      <c r="J349" s="614" t="s">
        <v>1733</v>
      </c>
      <c r="K349" s="614" t="s">
        <v>1734</v>
      </c>
      <c r="L349" s="615">
        <v>24.78</v>
      </c>
      <c r="M349" s="615">
        <v>49.56</v>
      </c>
      <c r="N349" s="614">
        <v>2</v>
      </c>
      <c r="O349" s="697">
        <v>1</v>
      </c>
      <c r="P349" s="615">
        <v>49.56</v>
      </c>
      <c r="Q349" s="630">
        <v>1</v>
      </c>
      <c r="R349" s="614">
        <v>2</v>
      </c>
      <c r="S349" s="630">
        <v>1</v>
      </c>
      <c r="T349" s="697">
        <v>1</v>
      </c>
      <c r="U349" s="653">
        <v>1</v>
      </c>
    </row>
    <row r="350" spans="1:21" ht="14.4" customHeight="1" x14ac:dyDescent="0.3">
      <c r="A350" s="613">
        <v>25</v>
      </c>
      <c r="B350" s="614" t="s">
        <v>1112</v>
      </c>
      <c r="C350" s="614" t="s">
        <v>1247</v>
      </c>
      <c r="D350" s="695" t="s">
        <v>1783</v>
      </c>
      <c r="E350" s="696" t="s">
        <v>1280</v>
      </c>
      <c r="F350" s="614" t="s">
        <v>1243</v>
      </c>
      <c r="G350" s="614" t="s">
        <v>1416</v>
      </c>
      <c r="H350" s="614" t="s">
        <v>325</v>
      </c>
      <c r="I350" s="614" t="s">
        <v>1514</v>
      </c>
      <c r="J350" s="614" t="s">
        <v>461</v>
      </c>
      <c r="K350" s="614" t="s">
        <v>1515</v>
      </c>
      <c r="L350" s="615">
        <v>0</v>
      </c>
      <c r="M350" s="615">
        <v>0</v>
      </c>
      <c r="N350" s="614">
        <v>1</v>
      </c>
      <c r="O350" s="697">
        <v>0.5</v>
      </c>
      <c r="P350" s="615"/>
      <c r="Q350" s="630"/>
      <c r="R350" s="614"/>
      <c r="S350" s="630">
        <v>0</v>
      </c>
      <c r="T350" s="697"/>
      <c r="U350" s="653">
        <v>0</v>
      </c>
    </row>
    <row r="351" spans="1:21" ht="14.4" customHeight="1" x14ac:dyDescent="0.3">
      <c r="A351" s="613">
        <v>25</v>
      </c>
      <c r="B351" s="614" t="s">
        <v>1112</v>
      </c>
      <c r="C351" s="614" t="s">
        <v>1247</v>
      </c>
      <c r="D351" s="695" t="s">
        <v>1783</v>
      </c>
      <c r="E351" s="696" t="s">
        <v>1280</v>
      </c>
      <c r="F351" s="614" t="s">
        <v>1243</v>
      </c>
      <c r="G351" s="614" t="s">
        <v>1735</v>
      </c>
      <c r="H351" s="614" t="s">
        <v>770</v>
      </c>
      <c r="I351" s="614" t="s">
        <v>1736</v>
      </c>
      <c r="J351" s="614" t="s">
        <v>1737</v>
      </c>
      <c r="K351" s="614" t="s">
        <v>1738</v>
      </c>
      <c r="L351" s="615">
        <v>63.75</v>
      </c>
      <c r="M351" s="615">
        <v>127.5</v>
      </c>
      <c r="N351" s="614">
        <v>2</v>
      </c>
      <c r="O351" s="697">
        <v>0.5</v>
      </c>
      <c r="P351" s="615">
        <v>127.5</v>
      </c>
      <c r="Q351" s="630">
        <v>1</v>
      </c>
      <c r="R351" s="614">
        <v>2</v>
      </c>
      <c r="S351" s="630">
        <v>1</v>
      </c>
      <c r="T351" s="697">
        <v>0.5</v>
      </c>
      <c r="U351" s="653">
        <v>1</v>
      </c>
    </row>
    <row r="352" spans="1:21" ht="14.4" customHeight="1" x14ac:dyDescent="0.3">
      <c r="A352" s="613">
        <v>25</v>
      </c>
      <c r="B352" s="614" t="s">
        <v>1112</v>
      </c>
      <c r="C352" s="614" t="s">
        <v>1247</v>
      </c>
      <c r="D352" s="695" t="s">
        <v>1783</v>
      </c>
      <c r="E352" s="696" t="s">
        <v>1280</v>
      </c>
      <c r="F352" s="614" t="s">
        <v>1243</v>
      </c>
      <c r="G352" s="614" t="s">
        <v>1300</v>
      </c>
      <c r="H352" s="614" t="s">
        <v>325</v>
      </c>
      <c r="I352" s="614" t="s">
        <v>1739</v>
      </c>
      <c r="J352" s="614" t="s">
        <v>1473</v>
      </c>
      <c r="K352" s="614" t="s">
        <v>1301</v>
      </c>
      <c r="L352" s="615">
        <v>22.44</v>
      </c>
      <c r="M352" s="615">
        <v>22.44</v>
      </c>
      <c r="N352" s="614">
        <v>1</v>
      </c>
      <c r="O352" s="697">
        <v>1</v>
      </c>
      <c r="P352" s="615"/>
      <c r="Q352" s="630">
        <v>0</v>
      </c>
      <c r="R352" s="614"/>
      <c r="S352" s="630">
        <v>0</v>
      </c>
      <c r="T352" s="697"/>
      <c r="U352" s="653">
        <v>0</v>
      </c>
    </row>
    <row r="353" spans="1:21" ht="14.4" customHeight="1" x14ac:dyDescent="0.3">
      <c r="A353" s="613">
        <v>25</v>
      </c>
      <c r="B353" s="614" t="s">
        <v>1112</v>
      </c>
      <c r="C353" s="614" t="s">
        <v>1247</v>
      </c>
      <c r="D353" s="695" t="s">
        <v>1783</v>
      </c>
      <c r="E353" s="696" t="s">
        <v>1280</v>
      </c>
      <c r="F353" s="614" t="s">
        <v>1243</v>
      </c>
      <c r="G353" s="614" t="s">
        <v>1740</v>
      </c>
      <c r="H353" s="614" t="s">
        <v>325</v>
      </c>
      <c r="I353" s="614" t="s">
        <v>444</v>
      </c>
      <c r="J353" s="614" t="s">
        <v>1741</v>
      </c>
      <c r="K353" s="614" t="s">
        <v>1742</v>
      </c>
      <c r="L353" s="615">
        <v>81.78</v>
      </c>
      <c r="M353" s="615">
        <v>81.78</v>
      </c>
      <c r="N353" s="614">
        <v>1</v>
      </c>
      <c r="O353" s="697">
        <v>1</v>
      </c>
      <c r="P353" s="615"/>
      <c r="Q353" s="630">
        <v>0</v>
      </c>
      <c r="R353" s="614"/>
      <c r="S353" s="630">
        <v>0</v>
      </c>
      <c r="T353" s="697"/>
      <c r="U353" s="653">
        <v>0</v>
      </c>
    </row>
    <row r="354" spans="1:21" ht="14.4" customHeight="1" x14ac:dyDescent="0.3">
      <c r="A354" s="613">
        <v>25</v>
      </c>
      <c r="B354" s="614" t="s">
        <v>1112</v>
      </c>
      <c r="C354" s="614" t="s">
        <v>1247</v>
      </c>
      <c r="D354" s="695" t="s">
        <v>1783</v>
      </c>
      <c r="E354" s="696" t="s">
        <v>1280</v>
      </c>
      <c r="F354" s="614" t="s">
        <v>1243</v>
      </c>
      <c r="G354" s="614" t="s">
        <v>1743</v>
      </c>
      <c r="H354" s="614" t="s">
        <v>325</v>
      </c>
      <c r="I354" s="614" t="s">
        <v>724</v>
      </c>
      <c r="J354" s="614" t="s">
        <v>1744</v>
      </c>
      <c r="K354" s="614" t="s">
        <v>1745</v>
      </c>
      <c r="L354" s="615">
        <v>0</v>
      </c>
      <c r="M354" s="615">
        <v>0</v>
      </c>
      <c r="N354" s="614">
        <v>6</v>
      </c>
      <c r="O354" s="697">
        <v>5.5</v>
      </c>
      <c r="P354" s="615">
        <v>0</v>
      </c>
      <c r="Q354" s="630"/>
      <c r="R354" s="614">
        <v>3</v>
      </c>
      <c r="S354" s="630">
        <v>0.5</v>
      </c>
      <c r="T354" s="697">
        <v>3</v>
      </c>
      <c r="U354" s="653">
        <v>0.54545454545454541</v>
      </c>
    </row>
    <row r="355" spans="1:21" ht="14.4" customHeight="1" x14ac:dyDescent="0.3">
      <c r="A355" s="613">
        <v>25</v>
      </c>
      <c r="B355" s="614" t="s">
        <v>1112</v>
      </c>
      <c r="C355" s="614" t="s">
        <v>1247</v>
      </c>
      <c r="D355" s="695" t="s">
        <v>1783</v>
      </c>
      <c r="E355" s="696" t="s">
        <v>1281</v>
      </c>
      <c r="F355" s="614" t="s">
        <v>1243</v>
      </c>
      <c r="G355" s="614" t="s">
        <v>1287</v>
      </c>
      <c r="H355" s="614" t="s">
        <v>325</v>
      </c>
      <c r="I355" s="614" t="s">
        <v>1329</v>
      </c>
      <c r="J355" s="614" t="s">
        <v>1330</v>
      </c>
      <c r="K355" s="614" t="s">
        <v>1331</v>
      </c>
      <c r="L355" s="615">
        <v>154.36000000000001</v>
      </c>
      <c r="M355" s="615">
        <v>154.36000000000001</v>
      </c>
      <c r="N355" s="614">
        <v>1</v>
      </c>
      <c r="O355" s="697">
        <v>1</v>
      </c>
      <c r="P355" s="615">
        <v>154.36000000000001</v>
      </c>
      <c r="Q355" s="630">
        <v>1</v>
      </c>
      <c r="R355" s="614">
        <v>1</v>
      </c>
      <c r="S355" s="630">
        <v>1</v>
      </c>
      <c r="T355" s="697">
        <v>1</v>
      </c>
      <c r="U355" s="653">
        <v>1</v>
      </c>
    </row>
    <row r="356" spans="1:21" ht="14.4" customHeight="1" x14ac:dyDescent="0.3">
      <c r="A356" s="613">
        <v>25</v>
      </c>
      <c r="B356" s="614" t="s">
        <v>1112</v>
      </c>
      <c r="C356" s="614" t="s">
        <v>1247</v>
      </c>
      <c r="D356" s="695" t="s">
        <v>1783</v>
      </c>
      <c r="E356" s="696" t="s">
        <v>1281</v>
      </c>
      <c r="F356" s="614" t="s">
        <v>1243</v>
      </c>
      <c r="G356" s="614" t="s">
        <v>1287</v>
      </c>
      <c r="H356" s="614" t="s">
        <v>325</v>
      </c>
      <c r="I356" s="614" t="s">
        <v>1332</v>
      </c>
      <c r="J356" s="614" t="s">
        <v>864</v>
      </c>
      <c r="K356" s="614" t="s">
        <v>566</v>
      </c>
      <c r="L356" s="615">
        <v>0</v>
      </c>
      <c r="M356" s="615">
        <v>0</v>
      </c>
      <c r="N356" s="614">
        <v>2</v>
      </c>
      <c r="O356" s="697">
        <v>1.5</v>
      </c>
      <c r="P356" s="615">
        <v>0</v>
      </c>
      <c r="Q356" s="630"/>
      <c r="R356" s="614">
        <v>2</v>
      </c>
      <c r="S356" s="630">
        <v>1</v>
      </c>
      <c r="T356" s="697">
        <v>1.5</v>
      </c>
      <c r="U356" s="653">
        <v>1</v>
      </c>
    </row>
    <row r="357" spans="1:21" ht="14.4" customHeight="1" x14ac:dyDescent="0.3">
      <c r="A357" s="613">
        <v>25</v>
      </c>
      <c r="B357" s="614" t="s">
        <v>1112</v>
      </c>
      <c r="C357" s="614" t="s">
        <v>1247</v>
      </c>
      <c r="D357" s="695" t="s">
        <v>1783</v>
      </c>
      <c r="E357" s="696" t="s">
        <v>1281</v>
      </c>
      <c r="F357" s="614" t="s">
        <v>1243</v>
      </c>
      <c r="G357" s="614" t="s">
        <v>1287</v>
      </c>
      <c r="H357" s="614" t="s">
        <v>770</v>
      </c>
      <c r="I357" s="614" t="s">
        <v>956</v>
      </c>
      <c r="J357" s="614" t="s">
        <v>864</v>
      </c>
      <c r="K357" s="614" t="s">
        <v>1196</v>
      </c>
      <c r="L357" s="615">
        <v>154.36000000000001</v>
      </c>
      <c r="M357" s="615">
        <v>1389.2400000000002</v>
      </c>
      <c r="N357" s="614">
        <v>9</v>
      </c>
      <c r="O357" s="697">
        <v>9</v>
      </c>
      <c r="P357" s="615">
        <v>463.08000000000004</v>
      </c>
      <c r="Q357" s="630">
        <v>0.33333333333333331</v>
      </c>
      <c r="R357" s="614">
        <v>3</v>
      </c>
      <c r="S357" s="630">
        <v>0.33333333333333331</v>
      </c>
      <c r="T357" s="697">
        <v>3</v>
      </c>
      <c r="U357" s="653">
        <v>0.33333333333333331</v>
      </c>
    </row>
    <row r="358" spans="1:21" ht="14.4" customHeight="1" x14ac:dyDescent="0.3">
      <c r="A358" s="613">
        <v>25</v>
      </c>
      <c r="B358" s="614" t="s">
        <v>1112</v>
      </c>
      <c r="C358" s="614" t="s">
        <v>1247</v>
      </c>
      <c r="D358" s="695" t="s">
        <v>1783</v>
      </c>
      <c r="E358" s="696" t="s">
        <v>1281</v>
      </c>
      <c r="F358" s="614" t="s">
        <v>1243</v>
      </c>
      <c r="G358" s="614" t="s">
        <v>1287</v>
      </c>
      <c r="H358" s="614" t="s">
        <v>770</v>
      </c>
      <c r="I358" s="614" t="s">
        <v>1536</v>
      </c>
      <c r="J358" s="614" t="s">
        <v>1537</v>
      </c>
      <c r="K358" s="614" t="s">
        <v>1538</v>
      </c>
      <c r="L358" s="615">
        <v>66.08</v>
      </c>
      <c r="M358" s="615">
        <v>66.08</v>
      </c>
      <c r="N358" s="614">
        <v>1</v>
      </c>
      <c r="O358" s="697">
        <v>1</v>
      </c>
      <c r="P358" s="615"/>
      <c r="Q358" s="630">
        <v>0</v>
      </c>
      <c r="R358" s="614"/>
      <c r="S358" s="630">
        <v>0</v>
      </c>
      <c r="T358" s="697"/>
      <c r="U358" s="653">
        <v>0</v>
      </c>
    </row>
    <row r="359" spans="1:21" ht="14.4" customHeight="1" x14ac:dyDescent="0.3">
      <c r="A359" s="613">
        <v>25</v>
      </c>
      <c r="B359" s="614" t="s">
        <v>1112</v>
      </c>
      <c r="C359" s="614" t="s">
        <v>1247</v>
      </c>
      <c r="D359" s="695" t="s">
        <v>1783</v>
      </c>
      <c r="E359" s="696" t="s">
        <v>1281</v>
      </c>
      <c r="F359" s="614" t="s">
        <v>1243</v>
      </c>
      <c r="G359" s="614" t="s">
        <v>1287</v>
      </c>
      <c r="H359" s="614" t="s">
        <v>770</v>
      </c>
      <c r="I359" s="614" t="s">
        <v>1067</v>
      </c>
      <c r="J359" s="614" t="s">
        <v>1234</v>
      </c>
      <c r="K359" s="614" t="s">
        <v>1195</v>
      </c>
      <c r="L359" s="615">
        <v>145.02000000000001</v>
      </c>
      <c r="M359" s="615">
        <v>145.02000000000001</v>
      </c>
      <c r="N359" s="614">
        <v>1</v>
      </c>
      <c r="O359" s="697">
        <v>1</v>
      </c>
      <c r="P359" s="615">
        <v>145.02000000000001</v>
      </c>
      <c r="Q359" s="630">
        <v>1</v>
      </c>
      <c r="R359" s="614">
        <v>1</v>
      </c>
      <c r="S359" s="630">
        <v>1</v>
      </c>
      <c r="T359" s="697">
        <v>1</v>
      </c>
      <c r="U359" s="653">
        <v>1</v>
      </c>
    </row>
    <row r="360" spans="1:21" ht="14.4" customHeight="1" x14ac:dyDescent="0.3">
      <c r="A360" s="613">
        <v>25</v>
      </c>
      <c r="B360" s="614" t="s">
        <v>1112</v>
      </c>
      <c r="C360" s="614" t="s">
        <v>1247</v>
      </c>
      <c r="D360" s="695" t="s">
        <v>1783</v>
      </c>
      <c r="E360" s="696" t="s">
        <v>1281</v>
      </c>
      <c r="F360" s="614" t="s">
        <v>1243</v>
      </c>
      <c r="G360" s="614" t="s">
        <v>1287</v>
      </c>
      <c r="H360" s="614" t="s">
        <v>770</v>
      </c>
      <c r="I360" s="614" t="s">
        <v>1067</v>
      </c>
      <c r="J360" s="614" t="s">
        <v>1234</v>
      </c>
      <c r="K360" s="614" t="s">
        <v>1195</v>
      </c>
      <c r="L360" s="615">
        <v>149.52000000000001</v>
      </c>
      <c r="M360" s="615">
        <v>897.12000000000012</v>
      </c>
      <c r="N360" s="614">
        <v>6</v>
      </c>
      <c r="O360" s="697">
        <v>5</v>
      </c>
      <c r="P360" s="615">
        <v>598.08000000000004</v>
      </c>
      <c r="Q360" s="630">
        <v>0.66666666666666663</v>
      </c>
      <c r="R360" s="614">
        <v>4</v>
      </c>
      <c r="S360" s="630">
        <v>0.66666666666666663</v>
      </c>
      <c r="T360" s="697">
        <v>3.5</v>
      </c>
      <c r="U360" s="653">
        <v>0.7</v>
      </c>
    </row>
    <row r="361" spans="1:21" ht="14.4" customHeight="1" x14ac:dyDescent="0.3">
      <c r="A361" s="613">
        <v>25</v>
      </c>
      <c r="B361" s="614" t="s">
        <v>1112</v>
      </c>
      <c r="C361" s="614" t="s">
        <v>1247</v>
      </c>
      <c r="D361" s="695" t="s">
        <v>1783</v>
      </c>
      <c r="E361" s="696" t="s">
        <v>1281</v>
      </c>
      <c r="F361" s="614" t="s">
        <v>1243</v>
      </c>
      <c r="G361" s="614" t="s">
        <v>1287</v>
      </c>
      <c r="H361" s="614" t="s">
        <v>325</v>
      </c>
      <c r="I361" s="614" t="s">
        <v>1288</v>
      </c>
      <c r="J361" s="614" t="s">
        <v>864</v>
      </c>
      <c r="K361" s="614" t="s">
        <v>1196</v>
      </c>
      <c r="L361" s="615">
        <v>150.04</v>
      </c>
      <c r="M361" s="615">
        <v>750.19999999999993</v>
      </c>
      <c r="N361" s="614">
        <v>5</v>
      </c>
      <c r="O361" s="697">
        <v>5</v>
      </c>
      <c r="P361" s="615">
        <v>600.16</v>
      </c>
      <c r="Q361" s="630">
        <v>0.8</v>
      </c>
      <c r="R361" s="614">
        <v>4</v>
      </c>
      <c r="S361" s="630">
        <v>0.8</v>
      </c>
      <c r="T361" s="697">
        <v>4</v>
      </c>
      <c r="U361" s="653">
        <v>0.8</v>
      </c>
    </row>
    <row r="362" spans="1:21" ht="14.4" customHeight="1" x14ac:dyDescent="0.3">
      <c r="A362" s="613">
        <v>25</v>
      </c>
      <c r="B362" s="614" t="s">
        <v>1112</v>
      </c>
      <c r="C362" s="614" t="s">
        <v>1247</v>
      </c>
      <c r="D362" s="695" t="s">
        <v>1783</v>
      </c>
      <c r="E362" s="696" t="s">
        <v>1281</v>
      </c>
      <c r="F362" s="614" t="s">
        <v>1243</v>
      </c>
      <c r="G362" s="614" t="s">
        <v>1287</v>
      </c>
      <c r="H362" s="614" t="s">
        <v>325</v>
      </c>
      <c r="I362" s="614" t="s">
        <v>1288</v>
      </c>
      <c r="J362" s="614" t="s">
        <v>864</v>
      </c>
      <c r="K362" s="614" t="s">
        <v>1196</v>
      </c>
      <c r="L362" s="615">
        <v>154.36000000000001</v>
      </c>
      <c r="M362" s="615">
        <v>2315.4000000000005</v>
      </c>
      <c r="N362" s="614">
        <v>15</v>
      </c>
      <c r="O362" s="697">
        <v>14.5</v>
      </c>
      <c r="P362" s="615">
        <v>1852.3200000000006</v>
      </c>
      <c r="Q362" s="630">
        <v>0.8</v>
      </c>
      <c r="R362" s="614">
        <v>12</v>
      </c>
      <c r="S362" s="630">
        <v>0.8</v>
      </c>
      <c r="T362" s="697">
        <v>11.5</v>
      </c>
      <c r="U362" s="653">
        <v>0.7931034482758621</v>
      </c>
    </row>
    <row r="363" spans="1:21" ht="14.4" customHeight="1" x14ac:dyDescent="0.3">
      <c r="A363" s="613">
        <v>25</v>
      </c>
      <c r="B363" s="614" t="s">
        <v>1112</v>
      </c>
      <c r="C363" s="614" t="s">
        <v>1247</v>
      </c>
      <c r="D363" s="695" t="s">
        <v>1783</v>
      </c>
      <c r="E363" s="696" t="s">
        <v>1281</v>
      </c>
      <c r="F363" s="614" t="s">
        <v>1243</v>
      </c>
      <c r="G363" s="614" t="s">
        <v>1287</v>
      </c>
      <c r="H363" s="614" t="s">
        <v>325</v>
      </c>
      <c r="I363" s="614" t="s">
        <v>1746</v>
      </c>
      <c r="J363" s="614" t="s">
        <v>1330</v>
      </c>
      <c r="K363" s="614" t="s">
        <v>1747</v>
      </c>
      <c r="L363" s="615">
        <v>0</v>
      </c>
      <c r="M363" s="615">
        <v>0</v>
      </c>
      <c r="N363" s="614">
        <v>1</v>
      </c>
      <c r="O363" s="697">
        <v>1</v>
      </c>
      <c r="P363" s="615"/>
      <c r="Q363" s="630"/>
      <c r="R363" s="614"/>
      <c r="S363" s="630">
        <v>0</v>
      </c>
      <c r="T363" s="697"/>
      <c r="U363" s="653">
        <v>0</v>
      </c>
    </row>
    <row r="364" spans="1:21" ht="14.4" customHeight="1" x14ac:dyDescent="0.3">
      <c r="A364" s="613">
        <v>25</v>
      </c>
      <c r="B364" s="614" t="s">
        <v>1112</v>
      </c>
      <c r="C364" s="614" t="s">
        <v>1247</v>
      </c>
      <c r="D364" s="695" t="s">
        <v>1783</v>
      </c>
      <c r="E364" s="696" t="s">
        <v>1281</v>
      </c>
      <c r="F364" s="614" t="s">
        <v>1243</v>
      </c>
      <c r="G364" s="614" t="s">
        <v>1287</v>
      </c>
      <c r="H364" s="614" t="s">
        <v>325</v>
      </c>
      <c r="I364" s="614" t="s">
        <v>1748</v>
      </c>
      <c r="J364" s="614" t="s">
        <v>1330</v>
      </c>
      <c r="K364" s="614" t="s">
        <v>1196</v>
      </c>
      <c r="L364" s="615">
        <v>154.36000000000001</v>
      </c>
      <c r="M364" s="615">
        <v>154.36000000000001</v>
      </c>
      <c r="N364" s="614">
        <v>1</v>
      </c>
      <c r="O364" s="697">
        <v>1</v>
      </c>
      <c r="P364" s="615"/>
      <c r="Q364" s="630">
        <v>0</v>
      </c>
      <c r="R364" s="614"/>
      <c r="S364" s="630">
        <v>0</v>
      </c>
      <c r="T364" s="697"/>
      <c r="U364" s="653">
        <v>0</v>
      </c>
    </row>
    <row r="365" spans="1:21" ht="14.4" customHeight="1" x14ac:dyDescent="0.3">
      <c r="A365" s="613">
        <v>25</v>
      </c>
      <c r="B365" s="614" t="s">
        <v>1112</v>
      </c>
      <c r="C365" s="614" t="s">
        <v>1247</v>
      </c>
      <c r="D365" s="695" t="s">
        <v>1783</v>
      </c>
      <c r="E365" s="696" t="s">
        <v>1281</v>
      </c>
      <c r="F365" s="614" t="s">
        <v>1243</v>
      </c>
      <c r="G365" s="614" t="s">
        <v>1289</v>
      </c>
      <c r="H365" s="614" t="s">
        <v>325</v>
      </c>
      <c r="I365" s="614" t="s">
        <v>1749</v>
      </c>
      <c r="J365" s="614" t="s">
        <v>920</v>
      </c>
      <c r="K365" s="614" t="s">
        <v>1209</v>
      </c>
      <c r="L365" s="615">
        <v>170.52</v>
      </c>
      <c r="M365" s="615">
        <v>511.56000000000006</v>
      </c>
      <c r="N365" s="614">
        <v>3</v>
      </c>
      <c r="O365" s="697">
        <v>1.5</v>
      </c>
      <c r="P365" s="615"/>
      <c r="Q365" s="630">
        <v>0</v>
      </c>
      <c r="R365" s="614"/>
      <c r="S365" s="630">
        <v>0</v>
      </c>
      <c r="T365" s="697"/>
      <c r="U365" s="653">
        <v>0</v>
      </c>
    </row>
    <row r="366" spans="1:21" ht="14.4" customHeight="1" x14ac:dyDescent="0.3">
      <c r="A366" s="613">
        <v>25</v>
      </c>
      <c r="B366" s="614" t="s">
        <v>1112</v>
      </c>
      <c r="C366" s="614" t="s">
        <v>1247</v>
      </c>
      <c r="D366" s="695" t="s">
        <v>1783</v>
      </c>
      <c r="E366" s="696" t="s">
        <v>1281</v>
      </c>
      <c r="F366" s="614" t="s">
        <v>1243</v>
      </c>
      <c r="G366" s="614" t="s">
        <v>1289</v>
      </c>
      <c r="H366" s="614" t="s">
        <v>325</v>
      </c>
      <c r="I366" s="614" t="s">
        <v>1750</v>
      </c>
      <c r="J366" s="614" t="s">
        <v>1751</v>
      </c>
      <c r="K366" s="614" t="s">
        <v>1752</v>
      </c>
      <c r="L366" s="615">
        <v>0</v>
      </c>
      <c r="M366" s="615">
        <v>0</v>
      </c>
      <c r="N366" s="614">
        <v>2</v>
      </c>
      <c r="O366" s="697">
        <v>1.5</v>
      </c>
      <c r="P366" s="615">
        <v>0</v>
      </c>
      <c r="Q366" s="630"/>
      <c r="R366" s="614">
        <v>1</v>
      </c>
      <c r="S366" s="630">
        <v>0.5</v>
      </c>
      <c r="T366" s="697">
        <v>0.5</v>
      </c>
      <c r="U366" s="653">
        <v>0.33333333333333331</v>
      </c>
    </row>
    <row r="367" spans="1:21" ht="14.4" customHeight="1" x14ac:dyDescent="0.3">
      <c r="A367" s="613">
        <v>25</v>
      </c>
      <c r="B367" s="614" t="s">
        <v>1112</v>
      </c>
      <c r="C367" s="614" t="s">
        <v>1247</v>
      </c>
      <c r="D367" s="695" t="s">
        <v>1783</v>
      </c>
      <c r="E367" s="696" t="s">
        <v>1281</v>
      </c>
      <c r="F367" s="614" t="s">
        <v>1243</v>
      </c>
      <c r="G367" s="614" t="s">
        <v>1289</v>
      </c>
      <c r="H367" s="614" t="s">
        <v>325</v>
      </c>
      <c r="I367" s="614" t="s">
        <v>919</v>
      </c>
      <c r="J367" s="614" t="s">
        <v>920</v>
      </c>
      <c r="K367" s="614" t="s">
        <v>1209</v>
      </c>
      <c r="L367" s="615">
        <v>170.52</v>
      </c>
      <c r="M367" s="615">
        <v>511.56000000000006</v>
      </c>
      <c r="N367" s="614">
        <v>3</v>
      </c>
      <c r="O367" s="697">
        <v>2</v>
      </c>
      <c r="P367" s="615">
        <v>511.56000000000006</v>
      </c>
      <c r="Q367" s="630">
        <v>1</v>
      </c>
      <c r="R367" s="614">
        <v>3</v>
      </c>
      <c r="S367" s="630">
        <v>1</v>
      </c>
      <c r="T367" s="697">
        <v>2</v>
      </c>
      <c r="U367" s="653">
        <v>1</v>
      </c>
    </row>
    <row r="368" spans="1:21" ht="14.4" customHeight="1" x14ac:dyDescent="0.3">
      <c r="A368" s="613">
        <v>25</v>
      </c>
      <c r="B368" s="614" t="s">
        <v>1112</v>
      </c>
      <c r="C368" s="614" t="s">
        <v>1247</v>
      </c>
      <c r="D368" s="695" t="s">
        <v>1783</v>
      </c>
      <c r="E368" s="696" t="s">
        <v>1281</v>
      </c>
      <c r="F368" s="614" t="s">
        <v>1243</v>
      </c>
      <c r="G368" s="614" t="s">
        <v>1289</v>
      </c>
      <c r="H368" s="614" t="s">
        <v>325</v>
      </c>
      <c r="I368" s="614" t="s">
        <v>1337</v>
      </c>
      <c r="J368" s="614" t="s">
        <v>920</v>
      </c>
      <c r="K368" s="614" t="s">
        <v>1338</v>
      </c>
      <c r="L368" s="615">
        <v>0</v>
      </c>
      <c r="M368" s="615">
        <v>0</v>
      </c>
      <c r="N368" s="614">
        <v>6</v>
      </c>
      <c r="O368" s="697">
        <v>5.5</v>
      </c>
      <c r="P368" s="615">
        <v>0</v>
      </c>
      <c r="Q368" s="630"/>
      <c r="R368" s="614">
        <v>3</v>
      </c>
      <c r="S368" s="630">
        <v>0.5</v>
      </c>
      <c r="T368" s="697">
        <v>2.5</v>
      </c>
      <c r="U368" s="653">
        <v>0.45454545454545453</v>
      </c>
    </row>
    <row r="369" spans="1:21" ht="14.4" customHeight="1" x14ac:dyDescent="0.3">
      <c r="A369" s="613">
        <v>25</v>
      </c>
      <c r="B369" s="614" t="s">
        <v>1112</v>
      </c>
      <c r="C369" s="614" t="s">
        <v>1247</v>
      </c>
      <c r="D369" s="695" t="s">
        <v>1783</v>
      </c>
      <c r="E369" s="696" t="s">
        <v>1281</v>
      </c>
      <c r="F369" s="614" t="s">
        <v>1243</v>
      </c>
      <c r="G369" s="614" t="s">
        <v>1289</v>
      </c>
      <c r="H369" s="614" t="s">
        <v>325</v>
      </c>
      <c r="I369" s="614" t="s">
        <v>1662</v>
      </c>
      <c r="J369" s="614" t="s">
        <v>1346</v>
      </c>
      <c r="K369" s="614"/>
      <c r="L369" s="615">
        <v>170.52</v>
      </c>
      <c r="M369" s="615">
        <v>170.52</v>
      </c>
      <c r="N369" s="614">
        <v>1</v>
      </c>
      <c r="O369" s="697">
        <v>1</v>
      </c>
      <c r="P369" s="615">
        <v>170.52</v>
      </c>
      <c r="Q369" s="630">
        <v>1</v>
      </c>
      <c r="R369" s="614">
        <v>1</v>
      </c>
      <c r="S369" s="630">
        <v>1</v>
      </c>
      <c r="T369" s="697">
        <v>1</v>
      </c>
      <c r="U369" s="653">
        <v>1</v>
      </c>
    </row>
    <row r="370" spans="1:21" ht="14.4" customHeight="1" x14ac:dyDescent="0.3">
      <c r="A370" s="613">
        <v>25</v>
      </c>
      <c r="B370" s="614" t="s">
        <v>1112</v>
      </c>
      <c r="C370" s="614" t="s">
        <v>1247</v>
      </c>
      <c r="D370" s="695" t="s">
        <v>1783</v>
      </c>
      <c r="E370" s="696" t="s">
        <v>1281</v>
      </c>
      <c r="F370" s="614" t="s">
        <v>1243</v>
      </c>
      <c r="G370" s="614" t="s">
        <v>1446</v>
      </c>
      <c r="H370" s="614" t="s">
        <v>325</v>
      </c>
      <c r="I370" s="614" t="s">
        <v>1753</v>
      </c>
      <c r="J370" s="614" t="s">
        <v>1448</v>
      </c>
      <c r="K370" s="614" t="s">
        <v>1754</v>
      </c>
      <c r="L370" s="615">
        <v>123.3</v>
      </c>
      <c r="M370" s="615">
        <v>123.3</v>
      </c>
      <c r="N370" s="614">
        <v>1</v>
      </c>
      <c r="O370" s="697">
        <v>1</v>
      </c>
      <c r="P370" s="615"/>
      <c r="Q370" s="630">
        <v>0</v>
      </c>
      <c r="R370" s="614"/>
      <c r="S370" s="630">
        <v>0</v>
      </c>
      <c r="T370" s="697"/>
      <c r="U370" s="653">
        <v>0</v>
      </c>
    </row>
    <row r="371" spans="1:21" ht="14.4" customHeight="1" x14ac:dyDescent="0.3">
      <c r="A371" s="613">
        <v>25</v>
      </c>
      <c r="B371" s="614" t="s">
        <v>1112</v>
      </c>
      <c r="C371" s="614" t="s">
        <v>1247</v>
      </c>
      <c r="D371" s="695" t="s">
        <v>1783</v>
      </c>
      <c r="E371" s="696" t="s">
        <v>1281</v>
      </c>
      <c r="F371" s="614" t="s">
        <v>1243</v>
      </c>
      <c r="G371" s="614" t="s">
        <v>1314</v>
      </c>
      <c r="H371" s="614" t="s">
        <v>325</v>
      </c>
      <c r="I371" s="614" t="s">
        <v>1339</v>
      </c>
      <c r="J371" s="614" t="s">
        <v>1316</v>
      </c>
      <c r="K371" s="614" t="s">
        <v>1340</v>
      </c>
      <c r="L371" s="615">
        <v>0</v>
      </c>
      <c r="M371" s="615">
        <v>0</v>
      </c>
      <c r="N371" s="614">
        <v>1</v>
      </c>
      <c r="O371" s="697">
        <v>0.5</v>
      </c>
      <c r="P371" s="615">
        <v>0</v>
      </c>
      <c r="Q371" s="630"/>
      <c r="R371" s="614">
        <v>1</v>
      </c>
      <c r="S371" s="630">
        <v>1</v>
      </c>
      <c r="T371" s="697">
        <v>0.5</v>
      </c>
      <c r="U371" s="653">
        <v>1</v>
      </c>
    </row>
    <row r="372" spans="1:21" ht="14.4" customHeight="1" x14ac:dyDescent="0.3">
      <c r="A372" s="613">
        <v>25</v>
      </c>
      <c r="B372" s="614" t="s">
        <v>1112</v>
      </c>
      <c r="C372" s="614" t="s">
        <v>1247</v>
      </c>
      <c r="D372" s="695" t="s">
        <v>1783</v>
      </c>
      <c r="E372" s="696" t="s">
        <v>1281</v>
      </c>
      <c r="F372" s="614" t="s">
        <v>1243</v>
      </c>
      <c r="G372" s="614" t="s">
        <v>1755</v>
      </c>
      <c r="H372" s="614" t="s">
        <v>325</v>
      </c>
      <c r="I372" s="614" t="s">
        <v>765</v>
      </c>
      <c r="J372" s="614" t="s">
        <v>766</v>
      </c>
      <c r="K372" s="614" t="s">
        <v>1756</v>
      </c>
      <c r="L372" s="615">
        <v>1635.67</v>
      </c>
      <c r="M372" s="615">
        <v>1635.67</v>
      </c>
      <c r="N372" s="614">
        <v>1</v>
      </c>
      <c r="O372" s="697">
        <v>1</v>
      </c>
      <c r="P372" s="615">
        <v>1635.67</v>
      </c>
      <c r="Q372" s="630">
        <v>1</v>
      </c>
      <c r="R372" s="614">
        <v>1</v>
      </c>
      <c r="S372" s="630">
        <v>1</v>
      </c>
      <c r="T372" s="697">
        <v>1</v>
      </c>
      <c r="U372" s="653">
        <v>1</v>
      </c>
    </row>
    <row r="373" spans="1:21" ht="14.4" customHeight="1" x14ac:dyDescent="0.3">
      <c r="A373" s="613">
        <v>25</v>
      </c>
      <c r="B373" s="614" t="s">
        <v>1112</v>
      </c>
      <c r="C373" s="614" t="s">
        <v>1247</v>
      </c>
      <c r="D373" s="695" t="s">
        <v>1783</v>
      </c>
      <c r="E373" s="696" t="s">
        <v>1281</v>
      </c>
      <c r="F373" s="614" t="s">
        <v>1243</v>
      </c>
      <c r="G373" s="614" t="s">
        <v>1291</v>
      </c>
      <c r="H373" s="614" t="s">
        <v>325</v>
      </c>
      <c r="I373" s="614" t="s">
        <v>930</v>
      </c>
      <c r="J373" s="614" t="s">
        <v>931</v>
      </c>
      <c r="K373" s="614" t="s">
        <v>932</v>
      </c>
      <c r="L373" s="615">
        <v>147.31</v>
      </c>
      <c r="M373" s="615">
        <v>441.93</v>
      </c>
      <c r="N373" s="614">
        <v>3</v>
      </c>
      <c r="O373" s="697">
        <v>2.5</v>
      </c>
      <c r="P373" s="615">
        <v>147.31</v>
      </c>
      <c r="Q373" s="630">
        <v>0.33333333333333331</v>
      </c>
      <c r="R373" s="614">
        <v>1</v>
      </c>
      <c r="S373" s="630">
        <v>0.33333333333333331</v>
      </c>
      <c r="T373" s="697">
        <v>1</v>
      </c>
      <c r="U373" s="653">
        <v>0.4</v>
      </c>
    </row>
    <row r="374" spans="1:21" ht="14.4" customHeight="1" x14ac:dyDescent="0.3">
      <c r="A374" s="613">
        <v>25</v>
      </c>
      <c r="B374" s="614" t="s">
        <v>1112</v>
      </c>
      <c r="C374" s="614" t="s">
        <v>1247</v>
      </c>
      <c r="D374" s="695" t="s">
        <v>1783</v>
      </c>
      <c r="E374" s="696" t="s">
        <v>1281</v>
      </c>
      <c r="F374" s="614" t="s">
        <v>1243</v>
      </c>
      <c r="G374" s="614" t="s">
        <v>1291</v>
      </c>
      <c r="H374" s="614" t="s">
        <v>325</v>
      </c>
      <c r="I374" s="614" t="s">
        <v>1320</v>
      </c>
      <c r="J374" s="614" t="s">
        <v>931</v>
      </c>
      <c r="K374" s="614" t="s">
        <v>932</v>
      </c>
      <c r="L374" s="615">
        <v>147.31</v>
      </c>
      <c r="M374" s="615">
        <v>1767.72</v>
      </c>
      <c r="N374" s="614">
        <v>12</v>
      </c>
      <c r="O374" s="697">
        <v>8.5</v>
      </c>
      <c r="P374" s="615">
        <v>589.24</v>
      </c>
      <c r="Q374" s="630">
        <v>0.33333333333333331</v>
      </c>
      <c r="R374" s="614">
        <v>4</v>
      </c>
      <c r="S374" s="630">
        <v>0.33333333333333331</v>
      </c>
      <c r="T374" s="697">
        <v>3</v>
      </c>
      <c r="U374" s="653">
        <v>0.35294117647058826</v>
      </c>
    </row>
    <row r="375" spans="1:21" ht="14.4" customHeight="1" x14ac:dyDescent="0.3">
      <c r="A375" s="613">
        <v>25</v>
      </c>
      <c r="B375" s="614" t="s">
        <v>1112</v>
      </c>
      <c r="C375" s="614" t="s">
        <v>1247</v>
      </c>
      <c r="D375" s="695" t="s">
        <v>1783</v>
      </c>
      <c r="E375" s="696" t="s">
        <v>1281</v>
      </c>
      <c r="F375" s="614" t="s">
        <v>1243</v>
      </c>
      <c r="G375" s="614" t="s">
        <v>1297</v>
      </c>
      <c r="H375" s="614" t="s">
        <v>325</v>
      </c>
      <c r="I375" s="614" t="s">
        <v>907</v>
      </c>
      <c r="J375" s="614" t="s">
        <v>908</v>
      </c>
      <c r="K375" s="614" t="s">
        <v>1296</v>
      </c>
      <c r="L375" s="615">
        <v>30.17</v>
      </c>
      <c r="M375" s="615">
        <v>30.17</v>
      </c>
      <c r="N375" s="614">
        <v>1</v>
      </c>
      <c r="O375" s="697">
        <v>0.5</v>
      </c>
      <c r="P375" s="615">
        <v>30.17</v>
      </c>
      <c r="Q375" s="630">
        <v>1</v>
      </c>
      <c r="R375" s="614">
        <v>1</v>
      </c>
      <c r="S375" s="630">
        <v>1</v>
      </c>
      <c r="T375" s="697">
        <v>0.5</v>
      </c>
      <c r="U375" s="653">
        <v>1</v>
      </c>
    </row>
    <row r="376" spans="1:21" ht="14.4" customHeight="1" x14ac:dyDescent="0.3">
      <c r="A376" s="613">
        <v>25</v>
      </c>
      <c r="B376" s="614" t="s">
        <v>1112</v>
      </c>
      <c r="C376" s="614" t="s">
        <v>1247</v>
      </c>
      <c r="D376" s="695" t="s">
        <v>1783</v>
      </c>
      <c r="E376" s="696" t="s">
        <v>1281</v>
      </c>
      <c r="F376" s="614" t="s">
        <v>1243</v>
      </c>
      <c r="G376" s="614" t="s">
        <v>1292</v>
      </c>
      <c r="H376" s="614" t="s">
        <v>770</v>
      </c>
      <c r="I376" s="614" t="s">
        <v>1307</v>
      </c>
      <c r="J376" s="614" t="s">
        <v>714</v>
      </c>
      <c r="K376" s="614" t="s">
        <v>1308</v>
      </c>
      <c r="L376" s="615">
        <v>24.22</v>
      </c>
      <c r="M376" s="615">
        <v>48.44</v>
      </c>
      <c r="N376" s="614">
        <v>2</v>
      </c>
      <c r="O376" s="697">
        <v>1</v>
      </c>
      <c r="P376" s="615">
        <v>24.22</v>
      </c>
      <c r="Q376" s="630">
        <v>0.5</v>
      </c>
      <c r="R376" s="614">
        <v>1</v>
      </c>
      <c r="S376" s="630">
        <v>0.5</v>
      </c>
      <c r="T376" s="697">
        <v>0.5</v>
      </c>
      <c r="U376" s="653">
        <v>0.5</v>
      </c>
    </row>
    <row r="377" spans="1:21" ht="14.4" customHeight="1" x14ac:dyDescent="0.3">
      <c r="A377" s="613">
        <v>25</v>
      </c>
      <c r="B377" s="614" t="s">
        <v>1112</v>
      </c>
      <c r="C377" s="614" t="s">
        <v>1247</v>
      </c>
      <c r="D377" s="695" t="s">
        <v>1783</v>
      </c>
      <c r="E377" s="696" t="s">
        <v>1281</v>
      </c>
      <c r="F377" s="614" t="s">
        <v>1243</v>
      </c>
      <c r="G377" s="614" t="s">
        <v>1292</v>
      </c>
      <c r="H377" s="614" t="s">
        <v>770</v>
      </c>
      <c r="I377" s="614" t="s">
        <v>776</v>
      </c>
      <c r="J377" s="614" t="s">
        <v>714</v>
      </c>
      <c r="K377" s="614" t="s">
        <v>1219</v>
      </c>
      <c r="L377" s="615">
        <v>48.42</v>
      </c>
      <c r="M377" s="615">
        <v>96.84</v>
      </c>
      <c r="N377" s="614">
        <v>2</v>
      </c>
      <c r="O377" s="697">
        <v>2</v>
      </c>
      <c r="P377" s="615">
        <v>48.42</v>
      </c>
      <c r="Q377" s="630">
        <v>0.5</v>
      </c>
      <c r="R377" s="614">
        <v>1</v>
      </c>
      <c r="S377" s="630">
        <v>0.5</v>
      </c>
      <c r="T377" s="697">
        <v>1</v>
      </c>
      <c r="U377" s="653">
        <v>0.5</v>
      </c>
    </row>
    <row r="378" spans="1:21" ht="14.4" customHeight="1" x14ac:dyDescent="0.3">
      <c r="A378" s="613">
        <v>25</v>
      </c>
      <c r="B378" s="614" t="s">
        <v>1112</v>
      </c>
      <c r="C378" s="614" t="s">
        <v>1247</v>
      </c>
      <c r="D378" s="695" t="s">
        <v>1783</v>
      </c>
      <c r="E378" s="696" t="s">
        <v>1281</v>
      </c>
      <c r="F378" s="614" t="s">
        <v>1243</v>
      </c>
      <c r="G378" s="614" t="s">
        <v>1292</v>
      </c>
      <c r="H378" s="614" t="s">
        <v>325</v>
      </c>
      <c r="I378" s="614" t="s">
        <v>713</v>
      </c>
      <c r="J378" s="614" t="s">
        <v>714</v>
      </c>
      <c r="K378" s="614" t="s">
        <v>1310</v>
      </c>
      <c r="L378" s="615">
        <v>48.42</v>
      </c>
      <c r="M378" s="615">
        <v>48.42</v>
      </c>
      <c r="N378" s="614">
        <v>1</v>
      </c>
      <c r="O378" s="697">
        <v>0.5</v>
      </c>
      <c r="P378" s="615"/>
      <c r="Q378" s="630">
        <v>0</v>
      </c>
      <c r="R378" s="614"/>
      <c r="S378" s="630">
        <v>0</v>
      </c>
      <c r="T378" s="697"/>
      <c r="U378" s="653">
        <v>0</v>
      </c>
    </row>
    <row r="379" spans="1:21" ht="14.4" customHeight="1" x14ac:dyDescent="0.3">
      <c r="A379" s="613">
        <v>25</v>
      </c>
      <c r="B379" s="614" t="s">
        <v>1112</v>
      </c>
      <c r="C379" s="614" t="s">
        <v>1247</v>
      </c>
      <c r="D379" s="695" t="s">
        <v>1783</v>
      </c>
      <c r="E379" s="696" t="s">
        <v>1281</v>
      </c>
      <c r="F379" s="614" t="s">
        <v>1243</v>
      </c>
      <c r="G379" s="614" t="s">
        <v>1292</v>
      </c>
      <c r="H379" s="614" t="s">
        <v>325</v>
      </c>
      <c r="I379" s="614" t="s">
        <v>1757</v>
      </c>
      <c r="J379" s="614" t="s">
        <v>714</v>
      </c>
      <c r="K379" s="614" t="s">
        <v>1758</v>
      </c>
      <c r="L379" s="615">
        <v>0</v>
      </c>
      <c r="M379" s="615">
        <v>0</v>
      </c>
      <c r="N379" s="614">
        <v>2</v>
      </c>
      <c r="O379" s="697">
        <v>1.5</v>
      </c>
      <c r="P379" s="615">
        <v>0</v>
      </c>
      <c r="Q379" s="630"/>
      <c r="R379" s="614">
        <v>2</v>
      </c>
      <c r="S379" s="630">
        <v>1</v>
      </c>
      <c r="T379" s="697">
        <v>1.5</v>
      </c>
      <c r="U379" s="653">
        <v>1</v>
      </c>
    </row>
    <row r="380" spans="1:21" ht="14.4" customHeight="1" x14ac:dyDescent="0.3">
      <c r="A380" s="613">
        <v>25</v>
      </c>
      <c r="B380" s="614" t="s">
        <v>1112</v>
      </c>
      <c r="C380" s="614" t="s">
        <v>1247</v>
      </c>
      <c r="D380" s="695" t="s">
        <v>1783</v>
      </c>
      <c r="E380" s="696" t="s">
        <v>1281</v>
      </c>
      <c r="F380" s="614" t="s">
        <v>1243</v>
      </c>
      <c r="G380" s="614" t="s">
        <v>1292</v>
      </c>
      <c r="H380" s="614" t="s">
        <v>325</v>
      </c>
      <c r="I380" s="614" t="s">
        <v>1341</v>
      </c>
      <c r="J380" s="614" t="s">
        <v>714</v>
      </c>
      <c r="K380" s="614" t="s">
        <v>1342</v>
      </c>
      <c r="L380" s="615">
        <v>0</v>
      </c>
      <c r="M380" s="615">
        <v>0</v>
      </c>
      <c r="N380" s="614">
        <v>1</v>
      </c>
      <c r="O380" s="697">
        <v>1</v>
      </c>
      <c r="P380" s="615"/>
      <c r="Q380" s="630"/>
      <c r="R380" s="614"/>
      <c r="S380" s="630">
        <v>0</v>
      </c>
      <c r="T380" s="697"/>
      <c r="U380" s="653">
        <v>0</v>
      </c>
    </row>
    <row r="381" spans="1:21" ht="14.4" customHeight="1" x14ac:dyDescent="0.3">
      <c r="A381" s="613">
        <v>25</v>
      </c>
      <c r="B381" s="614" t="s">
        <v>1112</v>
      </c>
      <c r="C381" s="614" t="s">
        <v>1247</v>
      </c>
      <c r="D381" s="695" t="s">
        <v>1783</v>
      </c>
      <c r="E381" s="696" t="s">
        <v>1281</v>
      </c>
      <c r="F381" s="614" t="s">
        <v>1243</v>
      </c>
      <c r="G381" s="614" t="s">
        <v>1292</v>
      </c>
      <c r="H381" s="614" t="s">
        <v>325</v>
      </c>
      <c r="I381" s="614" t="s">
        <v>1298</v>
      </c>
      <c r="J381" s="614" t="s">
        <v>714</v>
      </c>
      <c r="K381" s="614" t="s">
        <v>1299</v>
      </c>
      <c r="L381" s="615">
        <v>24.22</v>
      </c>
      <c r="M381" s="615">
        <v>96.88</v>
      </c>
      <c r="N381" s="614">
        <v>4</v>
      </c>
      <c r="O381" s="697">
        <v>3.5</v>
      </c>
      <c r="P381" s="615">
        <v>24.22</v>
      </c>
      <c r="Q381" s="630">
        <v>0.25</v>
      </c>
      <c r="R381" s="614">
        <v>1</v>
      </c>
      <c r="S381" s="630">
        <v>0.25</v>
      </c>
      <c r="T381" s="697">
        <v>0.5</v>
      </c>
      <c r="U381" s="653">
        <v>0.14285714285714285</v>
      </c>
    </row>
    <row r="382" spans="1:21" ht="14.4" customHeight="1" x14ac:dyDescent="0.3">
      <c r="A382" s="613">
        <v>25</v>
      </c>
      <c r="B382" s="614" t="s">
        <v>1112</v>
      </c>
      <c r="C382" s="614" t="s">
        <v>1247</v>
      </c>
      <c r="D382" s="695" t="s">
        <v>1783</v>
      </c>
      <c r="E382" s="696" t="s">
        <v>1281</v>
      </c>
      <c r="F382" s="614" t="s">
        <v>1243</v>
      </c>
      <c r="G382" s="614" t="s">
        <v>1292</v>
      </c>
      <c r="H382" s="614" t="s">
        <v>325</v>
      </c>
      <c r="I382" s="614" t="s">
        <v>1759</v>
      </c>
      <c r="J382" s="614" t="s">
        <v>714</v>
      </c>
      <c r="K382" s="614" t="s">
        <v>1219</v>
      </c>
      <c r="L382" s="615">
        <v>48.42</v>
      </c>
      <c r="M382" s="615">
        <v>48.42</v>
      </c>
      <c r="N382" s="614">
        <v>1</v>
      </c>
      <c r="O382" s="697">
        <v>0.5</v>
      </c>
      <c r="P382" s="615"/>
      <c r="Q382" s="630">
        <v>0</v>
      </c>
      <c r="R382" s="614"/>
      <c r="S382" s="630">
        <v>0</v>
      </c>
      <c r="T382" s="697"/>
      <c r="U382" s="653">
        <v>0</v>
      </c>
    </row>
    <row r="383" spans="1:21" ht="14.4" customHeight="1" x14ac:dyDescent="0.3">
      <c r="A383" s="613">
        <v>25</v>
      </c>
      <c r="B383" s="614" t="s">
        <v>1112</v>
      </c>
      <c r="C383" s="614" t="s">
        <v>1247</v>
      </c>
      <c r="D383" s="695" t="s">
        <v>1783</v>
      </c>
      <c r="E383" s="696" t="s">
        <v>1281</v>
      </c>
      <c r="F383" s="614" t="s">
        <v>1243</v>
      </c>
      <c r="G383" s="614" t="s">
        <v>1292</v>
      </c>
      <c r="H383" s="614" t="s">
        <v>325</v>
      </c>
      <c r="I383" s="614" t="s">
        <v>1343</v>
      </c>
      <c r="J383" s="614" t="s">
        <v>714</v>
      </c>
      <c r="K383" s="614" t="s">
        <v>1308</v>
      </c>
      <c r="L383" s="615">
        <v>24.22</v>
      </c>
      <c r="M383" s="615">
        <v>24.22</v>
      </c>
      <c r="N383" s="614">
        <v>1</v>
      </c>
      <c r="O383" s="697">
        <v>1</v>
      </c>
      <c r="P383" s="615"/>
      <c r="Q383" s="630">
        <v>0</v>
      </c>
      <c r="R383" s="614"/>
      <c r="S383" s="630">
        <v>0</v>
      </c>
      <c r="T383" s="697"/>
      <c r="U383" s="653">
        <v>0</v>
      </c>
    </row>
    <row r="384" spans="1:21" ht="14.4" customHeight="1" x14ac:dyDescent="0.3">
      <c r="A384" s="613">
        <v>25</v>
      </c>
      <c r="B384" s="614" t="s">
        <v>1112</v>
      </c>
      <c r="C384" s="614" t="s">
        <v>1247</v>
      </c>
      <c r="D384" s="695" t="s">
        <v>1783</v>
      </c>
      <c r="E384" s="696" t="s">
        <v>1281</v>
      </c>
      <c r="F384" s="614" t="s">
        <v>1243</v>
      </c>
      <c r="G384" s="614" t="s">
        <v>1292</v>
      </c>
      <c r="H384" s="614" t="s">
        <v>325</v>
      </c>
      <c r="I384" s="614" t="s">
        <v>1760</v>
      </c>
      <c r="J384" s="614" t="s">
        <v>714</v>
      </c>
      <c r="K384" s="614" t="s">
        <v>1761</v>
      </c>
      <c r="L384" s="615">
        <v>24.22</v>
      </c>
      <c r="M384" s="615">
        <v>24.22</v>
      </c>
      <c r="N384" s="614">
        <v>1</v>
      </c>
      <c r="O384" s="697">
        <v>0.5</v>
      </c>
      <c r="P384" s="615"/>
      <c r="Q384" s="630">
        <v>0</v>
      </c>
      <c r="R384" s="614"/>
      <c r="S384" s="630">
        <v>0</v>
      </c>
      <c r="T384" s="697"/>
      <c r="U384" s="653">
        <v>0</v>
      </c>
    </row>
    <row r="385" spans="1:21" ht="14.4" customHeight="1" x14ac:dyDescent="0.3">
      <c r="A385" s="613">
        <v>25</v>
      </c>
      <c r="B385" s="614" t="s">
        <v>1112</v>
      </c>
      <c r="C385" s="614" t="s">
        <v>1247</v>
      </c>
      <c r="D385" s="695" t="s">
        <v>1783</v>
      </c>
      <c r="E385" s="696" t="s">
        <v>1281</v>
      </c>
      <c r="F385" s="614" t="s">
        <v>1244</v>
      </c>
      <c r="G385" s="614" t="s">
        <v>1344</v>
      </c>
      <c r="H385" s="614" t="s">
        <v>325</v>
      </c>
      <c r="I385" s="614" t="s">
        <v>1762</v>
      </c>
      <c r="J385" s="614" t="s">
        <v>1346</v>
      </c>
      <c r="K385" s="614"/>
      <c r="L385" s="615">
        <v>0</v>
      </c>
      <c r="M385" s="615">
        <v>0</v>
      </c>
      <c r="N385" s="614">
        <v>1</v>
      </c>
      <c r="O385" s="697">
        <v>1</v>
      </c>
      <c r="P385" s="615">
        <v>0</v>
      </c>
      <c r="Q385" s="630"/>
      <c r="R385" s="614">
        <v>1</v>
      </c>
      <c r="S385" s="630">
        <v>1</v>
      </c>
      <c r="T385" s="697">
        <v>1</v>
      </c>
      <c r="U385" s="653">
        <v>1</v>
      </c>
    </row>
    <row r="386" spans="1:21" ht="14.4" customHeight="1" x14ac:dyDescent="0.3">
      <c r="A386" s="613">
        <v>25</v>
      </c>
      <c r="B386" s="614" t="s">
        <v>1112</v>
      </c>
      <c r="C386" s="614" t="s">
        <v>1247</v>
      </c>
      <c r="D386" s="695" t="s">
        <v>1783</v>
      </c>
      <c r="E386" s="696" t="s">
        <v>1282</v>
      </c>
      <c r="F386" s="614" t="s">
        <v>1243</v>
      </c>
      <c r="G386" s="614" t="s">
        <v>1287</v>
      </c>
      <c r="H386" s="614" t="s">
        <v>770</v>
      </c>
      <c r="I386" s="614" t="s">
        <v>956</v>
      </c>
      <c r="J386" s="614" t="s">
        <v>864</v>
      </c>
      <c r="K386" s="614" t="s">
        <v>1196</v>
      </c>
      <c r="L386" s="615">
        <v>150.04</v>
      </c>
      <c r="M386" s="615">
        <v>450.12</v>
      </c>
      <c r="N386" s="614">
        <v>3</v>
      </c>
      <c r="O386" s="697">
        <v>3</v>
      </c>
      <c r="P386" s="615">
        <v>300.08</v>
      </c>
      <c r="Q386" s="630">
        <v>0.66666666666666663</v>
      </c>
      <c r="R386" s="614">
        <v>2</v>
      </c>
      <c r="S386" s="630">
        <v>0.66666666666666663</v>
      </c>
      <c r="T386" s="697">
        <v>2</v>
      </c>
      <c r="U386" s="653">
        <v>0.66666666666666663</v>
      </c>
    </row>
    <row r="387" spans="1:21" ht="14.4" customHeight="1" x14ac:dyDescent="0.3">
      <c r="A387" s="613">
        <v>25</v>
      </c>
      <c r="B387" s="614" t="s">
        <v>1112</v>
      </c>
      <c r="C387" s="614" t="s">
        <v>1247</v>
      </c>
      <c r="D387" s="695" t="s">
        <v>1783</v>
      </c>
      <c r="E387" s="696" t="s">
        <v>1282</v>
      </c>
      <c r="F387" s="614" t="s">
        <v>1243</v>
      </c>
      <c r="G387" s="614" t="s">
        <v>1291</v>
      </c>
      <c r="H387" s="614" t="s">
        <v>325</v>
      </c>
      <c r="I387" s="614" t="s">
        <v>930</v>
      </c>
      <c r="J387" s="614" t="s">
        <v>931</v>
      </c>
      <c r="K387" s="614" t="s">
        <v>932</v>
      </c>
      <c r="L387" s="615">
        <v>147.31</v>
      </c>
      <c r="M387" s="615">
        <v>147.31</v>
      </c>
      <c r="N387" s="614">
        <v>1</v>
      </c>
      <c r="O387" s="697">
        <v>1</v>
      </c>
      <c r="P387" s="615"/>
      <c r="Q387" s="630">
        <v>0</v>
      </c>
      <c r="R387" s="614"/>
      <c r="S387" s="630">
        <v>0</v>
      </c>
      <c r="T387" s="697"/>
      <c r="U387" s="653">
        <v>0</v>
      </c>
    </row>
    <row r="388" spans="1:21" ht="14.4" customHeight="1" x14ac:dyDescent="0.3">
      <c r="A388" s="613">
        <v>25</v>
      </c>
      <c r="B388" s="614" t="s">
        <v>1112</v>
      </c>
      <c r="C388" s="614" t="s">
        <v>1247</v>
      </c>
      <c r="D388" s="695" t="s">
        <v>1783</v>
      </c>
      <c r="E388" s="696" t="s">
        <v>1282</v>
      </c>
      <c r="F388" s="614" t="s">
        <v>1244</v>
      </c>
      <c r="G388" s="614" t="s">
        <v>1344</v>
      </c>
      <c r="H388" s="614" t="s">
        <v>325</v>
      </c>
      <c r="I388" s="614" t="s">
        <v>380</v>
      </c>
      <c r="J388" s="614" t="s">
        <v>1346</v>
      </c>
      <c r="K388" s="614"/>
      <c r="L388" s="615">
        <v>0</v>
      </c>
      <c r="M388" s="615">
        <v>0</v>
      </c>
      <c r="N388" s="614">
        <v>1</v>
      </c>
      <c r="O388" s="697">
        <v>1</v>
      </c>
      <c r="P388" s="615"/>
      <c r="Q388" s="630"/>
      <c r="R388" s="614"/>
      <c r="S388" s="630">
        <v>0</v>
      </c>
      <c r="T388" s="697"/>
      <c r="U388" s="653">
        <v>0</v>
      </c>
    </row>
    <row r="389" spans="1:21" ht="14.4" customHeight="1" x14ac:dyDescent="0.3">
      <c r="A389" s="613">
        <v>25</v>
      </c>
      <c r="B389" s="614" t="s">
        <v>1112</v>
      </c>
      <c r="C389" s="614" t="s">
        <v>1247</v>
      </c>
      <c r="D389" s="695" t="s">
        <v>1783</v>
      </c>
      <c r="E389" s="696" t="s">
        <v>1283</v>
      </c>
      <c r="F389" s="614" t="s">
        <v>1243</v>
      </c>
      <c r="G389" s="614" t="s">
        <v>1287</v>
      </c>
      <c r="H389" s="614" t="s">
        <v>770</v>
      </c>
      <c r="I389" s="614" t="s">
        <v>956</v>
      </c>
      <c r="J389" s="614" t="s">
        <v>864</v>
      </c>
      <c r="K389" s="614" t="s">
        <v>1196</v>
      </c>
      <c r="L389" s="615">
        <v>150.04</v>
      </c>
      <c r="M389" s="615">
        <v>900.24</v>
      </c>
      <c r="N389" s="614">
        <v>6</v>
      </c>
      <c r="O389" s="697">
        <v>6</v>
      </c>
      <c r="P389" s="615">
        <v>450.12</v>
      </c>
      <c r="Q389" s="630">
        <v>0.5</v>
      </c>
      <c r="R389" s="614">
        <v>3</v>
      </c>
      <c r="S389" s="630">
        <v>0.5</v>
      </c>
      <c r="T389" s="697">
        <v>3</v>
      </c>
      <c r="U389" s="653">
        <v>0.5</v>
      </c>
    </row>
    <row r="390" spans="1:21" ht="14.4" customHeight="1" x14ac:dyDescent="0.3">
      <c r="A390" s="613">
        <v>25</v>
      </c>
      <c r="B390" s="614" t="s">
        <v>1112</v>
      </c>
      <c r="C390" s="614" t="s">
        <v>1247</v>
      </c>
      <c r="D390" s="695" t="s">
        <v>1783</v>
      </c>
      <c r="E390" s="696" t="s">
        <v>1283</v>
      </c>
      <c r="F390" s="614" t="s">
        <v>1243</v>
      </c>
      <c r="G390" s="614" t="s">
        <v>1287</v>
      </c>
      <c r="H390" s="614" t="s">
        <v>770</v>
      </c>
      <c r="I390" s="614" t="s">
        <v>956</v>
      </c>
      <c r="J390" s="614" t="s">
        <v>864</v>
      </c>
      <c r="K390" s="614" t="s">
        <v>1196</v>
      </c>
      <c r="L390" s="615">
        <v>154.36000000000001</v>
      </c>
      <c r="M390" s="615">
        <v>154.36000000000001</v>
      </c>
      <c r="N390" s="614">
        <v>1</v>
      </c>
      <c r="O390" s="697">
        <v>1</v>
      </c>
      <c r="P390" s="615"/>
      <c r="Q390" s="630">
        <v>0</v>
      </c>
      <c r="R390" s="614"/>
      <c r="S390" s="630">
        <v>0</v>
      </c>
      <c r="T390" s="697"/>
      <c r="U390" s="653">
        <v>0</v>
      </c>
    </row>
    <row r="391" spans="1:21" ht="14.4" customHeight="1" x14ac:dyDescent="0.3">
      <c r="A391" s="613">
        <v>25</v>
      </c>
      <c r="B391" s="614" t="s">
        <v>1112</v>
      </c>
      <c r="C391" s="614" t="s">
        <v>1247</v>
      </c>
      <c r="D391" s="695" t="s">
        <v>1783</v>
      </c>
      <c r="E391" s="696" t="s">
        <v>1283</v>
      </c>
      <c r="F391" s="614" t="s">
        <v>1243</v>
      </c>
      <c r="G391" s="614" t="s">
        <v>1291</v>
      </c>
      <c r="H391" s="614" t="s">
        <v>325</v>
      </c>
      <c r="I391" s="614" t="s">
        <v>930</v>
      </c>
      <c r="J391" s="614" t="s">
        <v>931</v>
      </c>
      <c r="K391" s="614" t="s">
        <v>932</v>
      </c>
      <c r="L391" s="615">
        <v>147.31</v>
      </c>
      <c r="M391" s="615">
        <v>736.55</v>
      </c>
      <c r="N391" s="614">
        <v>5</v>
      </c>
      <c r="O391" s="697">
        <v>2.5</v>
      </c>
      <c r="P391" s="615">
        <v>589.24</v>
      </c>
      <c r="Q391" s="630">
        <v>0.8</v>
      </c>
      <c r="R391" s="614">
        <v>4</v>
      </c>
      <c r="S391" s="630">
        <v>0.8</v>
      </c>
      <c r="T391" s="697">
        <v>2</v>
      </c>
      <c r="U391" s="653">
        <v>0.8</v>
      </c>
    </row>
    <row r="392" spans="1:21" ht="14.4" customHeight="1" x14ac:dyDescent="0.3">
      <c r="A392" s="613">
        <v>25</v>
      </c>
      <c r="B392" s="614" t="s">
        <v>1112</v>
      </c>
      <c r="C392" s="614" t="s">
        <v>1247</v>
      </c>
      <c r="D392" s="695" t="s">
        <v>1783</v>
      </c>
      <c r="E392" s="696" t="s">
        <v>1283</v>
      </c>
      <c r="F392" s="614" t="s">
        <v>1243</v>
      </c>
      <c r="G392" s="614" t="s">
        <v>1292</v>
      </c>
      <c r="H392" s="614" t="s">
        <v>770</v>
      </c>
      <c r="I392" s="614" t="s">
        <v>1307</v>
      </c>
      <c r="J392" s="614" t="s">
        <v>714</v>
      </c>
      <c r="K392" s="614" t="s">
        <v>1308</v>
      </c>
      <c r="L392" s="615">
        <v>24.22</v>
      </c>
      <c r="M392" s="615">
        <v>48.44</v>
      </c>
      <c r="N392" s="614">
        <v>2</v>
      </c>
      <c r="O392" s="697">
        <v>1.5</v>
      </c>
      <c r="P392" s="615">
        <v>24.22</v>
      </c>
      <c r="Q392" s="630">
        <v>0.5</v>
      </c>
      <c r="R392" s="614">
        <v>1</v>
      </c>
      <c r="S392" s="630">
        <v>0.5</v>
      </c>
      <c r="T392" s="697">
        <v>1</v>
      </c>
      <c r="U392" s="653">
        <v>0.66666666666666663</v>
      </c>
    </row>
    <row r="393" spans="1:21" ht="14.4" customHeight="1" x14ac:dyDescent="0.3">
      <c r="A393" s="613">
        <v>25</v>
      </c>
      <c r="B393" s="614" t="s">
        <v>1112</v>
      </c>
      <c r="C393" s="614" t="s">
        <v>1247</v>
      </c>
      <c r="D393" s="695" t="s">
        <v>1783</v>
      </c>
      <c r="E393" s="696" t="s">
        <v>1284</v>
      </c>
      <c r="F393" s="614" t="s">
        <v>1243</v>
      </c>
      <c r="G393" s="614" t="s">
        <v>1287</v>
      </c>
      <c r="H393" s="614" t="s">
        <v>325</v>
      </c>
      <c r="I393" s="614" t="s">
        <v>1332</v>
      </c>
      <c r="J393" s="614" t="s">
        <v>864</v>
      </c>
      <c r="K393" s="614" t="s">
        <v>566</v>
      </c>
      <c r="L393" s="615">
        <v>0</v>
      </c>
      <c r="M393" s="615">
        <v>0</v>
      </c>
      <c r="N393" s="614">
        <v>1</v>
      </c>
      <c r="O393" s="697">
        <v>1</v>
      </c>
      <c r="P393" s="615">
        <v>0</v>
      </c>
      <c r="Q393" s="630"/>
      <c r="R393" s="614">
        <v>1</v>
      </c>
      <c r="S393" s="630">
        <v>1</v>
      </c>
      <c r="T393" s="697">
        <v>1</v>
      </c>
      <c r="U393" s="653">
        <v>1</v>
      </c>
    </row>
    <row r="394" spans="1:21" ht="14.4" customHeight="1" x14ac:dyDescent="0.3">
      <c r="A394" s="613">
        <v>25</v>
      </c>
      <c r="B394" s="614" t="s">
        <v>1112</v>
      </c>
      <c r="C394" s="614" t="s">
        <v>1247</v>
      </c>
      <c r="D394" s="695" t="s">
        <v>1783</v>
      </c>
      <c r="E394" s="696" t="s">
        <v>1284</v>
      </c>
      <c r="F394" s="614" t="s">
        <v>1243</v>
      </c>
      <c r="G394" s="614" t="s">
        <v>1287</v>
      </c>
      <c r="H394" s="614" t="s">
        <v>770</v>
      </c>
      <c r="I394" s="614" t="s">
        <v>956</v>
      </c>
      <c r="J394" s="614" t="s">
        <v>864</v>
      </c>
      <c r="K394" s="614" t="s">
        <v>1196</v>
      </c>
      <c r="L394" s="615">
        <v>150.04</v>
      </c>
      <c r="M394" s="615">
        <v>1200.32</v>
      </c>
      <c r="N394" s="614">
        <v>8</v>
      </c>
      <c r="O394" s="697">
        <v>7.5</v>
      </c>
      <c r="P394" s="615">
        <v>300.08</v>
      </c>
      <c r="Q394" s="630">
        <v>0.25</v>
      </c>
      <c r="R394" s="614">
        <v>2</v>
      </c>
      <c r="S394" s="630">
        <v>0.25</v>
      </c>
      <c r="T394" s="697">
        <v>1.5</v>
      </c>
      <c r="U394" s="653">
        <v>0.2</v>
      </c>
    </row>
    <row r="395" spans="1:21" ht="14.4" customHeight="1" x14ac:dyDescent="0.3">
      <c r="A395" s="613">
        <v>25</v>
      </c>
      <c r="B395" s="614" t="s">
        <v>1112</v>
      </c>
      <c r="C395" s="614" t="s">
        <v>1247</v>
      </c>
      <c r="D395" s="695" t="s">
        <v>1783</v>
      </c>
      <c r="E395" s="696" t="s">
        <v>1284</v>
      </c>
      <c r="F395" s="614" t="s">
        <v>1243</v>
      </c>
      <c r="G395" s="614" t="s">
        <v>1289</v>
      </c>
      <c r="H395" s="614" t="s">
        <v>325</v>
      </c>
      <c r="I395" s="614" t="s">
        <v>919</v>
      </c>
      <c r="J395" s="614" t="s">
        <v>920</v>
      </c>
      <c r="K395" s="614" t="s">
        <v>1209</v>
      </c>
      <c r="L395" s="615">
        <v>170.52</v>
      </c>
      <c r="M395" s="615">
        <v>170.52</v>
      </c>
      <c r="N395" s="614">
        <v>1</v>
      </c>
      <c r="O395" s="697">
        <v>1</v>
      </c>
      <c r="P395" s="615"/>
      <c r="Q395" s="630">
        <v>0</v>
      </c>
      <c r="R395" s="614"/>
      <c r="S395" s="630">
        <v>0</v>
      </c>
      <c r="T395" s="697"/>
      <c r="U395" s="653">
        <v>0</v>
      </c>
    </row>
    <row r="396" spans="1:21" ht="14.4" customHeight="1" x14ac:dyDescent="0.3">
      <c r="A396" s="613">
        <v>25</v>
      </c>
      <c r="B396" s="614" t="s">
        <v>1112</v>
      </c>
      <c r="C396" s="614" t="s">
        <v>1247</v>
      </c>
      <c r="D396" s="695" t="s">
        <v>1783</v>
      </c>
      <c r="E396" s="696" t="s">
        <v>1284</v>
      </c>
      <c r="F396" s="614" t="s">
        <v>1243</v>
      </c>
      <c r="G396" s="614" t="s">
        <v>1292</v>
      </c>
      <c r="H396" s="614" t="s">
        <v>325</v>
      </c>
      <c r="I396" s="614" t="s">
        <v>1298</v>
      </c>
      <c r="J396" s="614" t="s">
        <v>714</v>
      </c>
      <c r="K396" s="614" t="s">
        <v>1299</v>
      </c>
      <c r="L396" s="615">
        <v>24.22</v>
      </c>
      <c r="M396" s="615">
        <v>24.22</v>
      </c>
      <c r="N396" s="614">
        <v>1</v>
      </c>
      <c r="O396" s="697">
        <v>0.5</v>
      </c>
      <c r="P396" s="615">
        <v>24.22</v>
      </c>
      <c r="Q396" s="630">
        <v>1</v>
      </c>
      <c r="R396" s="614">
        <v>1</v>
      </c>
      <c r="S396" s="630">
        <v>1</v>
      </c>
      <c r="T396" s="697">
        <v>0.5</v>
      </c>
      <c r="U396" s="653">
        <v>1</v>
      </c>
    </row>
    <row r="397" spans="1:21" ht="14.4" customHeight="1" x14ac:dyDescent="0.3">
      <c r="A397" s="613">
        <v>25</v>
      </c>
      <c r="B397" s="614" t="s">
        <v>1112</v>
      </c>
      <c r="C397" s="614" t="s">
        <v>1247</v>
      </c>
      <c r="D397" s="695" t="s">
        <v>1783</v>
      </c>
      <c r="E397" s="696" t="s">
        <v>1285</v>
      </c>
      <c r="F397" s="614" t="s">
        <v>1243</v>
      </c>
      <c r="G397" s="614" t="s">
        <v>1318</v>
      </c>
      <c r="H397" s="614" t="s">
        <v>325</v>
      </c>
      <c r="I397" s="614" t="s">
        <v>900</v>
      </c>
      <c r="J397" s="614" t="s">
        <v>901</v>
      </c>
      <c r="K397" s="614" t="s">
        <v>1319</v>
      </c>
      <c r="L397" s="615">
        <v>48.09</v>
      </c>
      <c r="M397" s="615">
        <v>96.18</v>
      </c>
      <c r="N397" s="614">
        <v>2</v>
      </c>
      <c r="O397" s="697">
        <v>1</v>
      </c>
      <c r="P397" s="615">
        <v>96.18</v>
      </c>
      <c r="Q397" s="630">
        <v>1</v>
      </c>
      <c r="R397" s="614">
        <v>2</v>
      </c>
      <c r="S397" s="630">
        <v>1</v>
      </c>
      <c r="T397" s="697">
        <v>1</v>
      </c>
      <c r="U397" s="653">
        <v>1</v>
      </c>
    </row>
    <row r="398" spans="1:21" ht="14.4" customHeight="1" x14ac:dyDescent="0.3">
      <c r="A398" s="613">
        <v>25</v>
      </c>
      <c r="B398" s="614" t="s">
        <v>1112</v>
      </c>
      <c r="C398" s="614" t="s">
        <v>1247</v>
      </c>
      <c r="D398" s="695" t="s">
        <v>1783</v>
      </c>
      <c r="E398" s="696" t="s">
        <v>1286</v>
      </c>
      <c r="F398" s="614" t="s">
        <v>1243</v>
      </c>
      <c r="G398" s="614" t="s">
        <v>1287</v>
      </c>
      <c r="H398" s="614" t="s">
        <v>770</v>
      </c>
      <c r="I398" s="614" t="s">
        <v>956</v>
      </c>
      <c r="J398" s="614" t="s">
        <v>864</v>
      </c>
      <c r="K398" s="614" t="s">
        <v>1196</v>
      </c>
      <c r="L398" s="615">
        <v>154.36000000000001</v>
      </c>
      <c r="M398" s="615">
        <v>463.08000000000004</v>
      </c>
      <c r="N398" s="614">
        <v>3</v>
      </c>
      <c r="O398" s="697">
        <v>3</v>
      </c>
      <c r="P398" s="615">
        <v>308.72000000000003</v>
      </c>
      <c r="Q398" s="630">
        <v>0.66666666666666663</v>
      </c>
      <c r="R398" s="614">
        <v>2</v>
      </c>
      <c r="S398" s="630">
        <v>0.66666666666666663</v>
      </c>
      <c r="T398" s="697">
        <v>2</v>
      </c>
      <c r="U398" s="653">
        <v>0.66666666666666663</v>
      </c>
    </row>
    <row r="399" spans="1:21" ht="14.4" customHeight="1" x14ac:dyDescent="0.3">
      <c r="A399" s="613">
        <v>25</v>
      </c>
      <c r="B399" s="614" t="s">
        <v>1112</v>
      </c>
      <c r="C399" s="614" t="s">
        <v>1247</v>
      </c>
      <c r="D399" s="695" t="s">
        <v>1783</v>
      </c>
      <c r="E399" s="696" t="s">
        <v>1286</v>
      </c>
      <c r="F399" s="614" t="s">
        <v>1243</v>
      </c>
      <c r="G399" s="614" t="s">
        <v>1287</v>
      </c>
      <c r="H399" s="614" t="s">
        <v>770</v>
      </c>
      <c r="I399" s="614" t="s">
        <v>1067</v>
      </c>
      <c r="J399" s="614" t="s">
        <v>1234</v>
      </c>
      <c r="K399" s="614" t="s">
        <v>1195</v>
      </c>
      <c r="L399" s="615">
        <v>149.52000000000001</v>
      </c>
      <c r="M399" s="615">
        <v>299.04000000000002</v>
      </c>
      <c r="N399" s="614">
        <v>2</v>
      </c>
      <c r="O399" s="697">
        <v>1</v>
      </c>
      <c r="P399" s="615">
        <v>149.52000000000001</v>
      </c>
      <c r="Q399" s="630">
        <v>0.5</v>
      </c>
      <c r="R399" s="614">
        <v>1</v>
      </c>
      <c r="S399" s="630">
        <v>0.5</v>
      </c>
      <c r="T399" s="697">
        <v>1</v>
      </c>
      <c r="U399" s="653">
        <v>1</v>
      </c>
    </row>
    <row r="400" spans="1:21" ht="14.4" customHeight="1" x14ac:dyDescent="0.3">
      <c r="A400" s="613">
        <v>25</v>
      </c>
      <c r="B400" s="614" t="s">
        <v>1112</v>
      </c>
      <c r="C400" s="614" t="s">
        <v>1247</v>
      </c>
      <c r="D400" s="695" t="s">
        <v>1783</v>
      </c>
      <c r="E400" s="696" t="s">
        <v>1286</v>
      </c>
      <c r="F400" s="614" t="s">
        <v>1243</v>
      </c>
      <c r="G400" s="614" t="s">
        <v>1287</v>
      </c>
      <c r="H400" s="614" t="s">
        <v>325</v>
      </c>
      <c r="I400" s="614" t="s">
        <v>1288</v>
      </c>
      <c r="J400" s="614" t="s">
        <v>864</v>
      </c>
      <c r="K400" s="614" t="s">
        <v>1196</v>
      </c>
      <c r="L400" s="615">
        <v>154.36000000000001</v>
      </c>
      <c r="M400" s="615">
        <v>308.72000000000003</v>
      </c>
      <c r="N400" s="614">
        <v>2</v>
      </c>
      <c r="O400" s="697">
        <v>2</v>
      </c>
      <c r="P400" s="615">
        <v>308.72000000000003</v>
      </c>
      <c r="Q400" s="630">
        <v>1</v>
      </c>
      <c r="R400" s="614">
        <v>2</v>
      </c>
      <c r="S400" s="630">
        <v>1</v>
      </c>
      <c r="T400" s="697">
        <v>2</v>
      </c>
      <c r="U400" s="653">
        <v>1</v>
      </c>
    </row>
    <row r="401" spans="1:21" ht="14.4" customHeight="1" x14ac:dyDescent="0.3">
      <c r="A401" s="613">
        <v>25</v>
      </c>
      <c r="B401" s="614" t="s">
        <v>1112</v>
      </c>
      <c r="C401" s="614" t="s">
        <v>1249</v>
      </c>
      <c r="D401" s="695" t="s">
        <v>1784</v>
      </c>
      <c r="E401" s="696" t="s">
        <v>1260</v>
      </c>
      <c r="F401" s="614" t="s">
        <v>1243</v>
      </c>
      <c r="G401" s="614" t="s">
        <v>1287</v>
      </c>
      <c r="H401" s="614" t="s">
        <v>770</v>
      </c>
      <c r="I401" s="614" t="s">
        <v>956</v>
      </c>
      <c r="J401" s="614" t="s">
        <v>864</v>
      </c>
      <c r="K401" s="614" t="s">
        <v>1196</v>
      </c>
      <c r="L401" s="615">
        <v>154.36000000000001</v>
      </c>
      <c r="M401" s="615">
        <v>308.72000000000003</v>
      </c>
      <c r="N401" s="614">
        <v>2</v>
      </c>
      <c r="O401" s="697">
        <v>1</v>
      </c>
      <c r="P401" s="615">
        <v>308.72000000000003</v>
      </c>
      <c r="Q401" s="630">
        <v>1</v>
      </c>
      <c r="R401" s="614">
        <v>2</v>
      </c>
      <c r="S401" s="630">
        <v>1</v>
      </c>
      <c r="T401" s="697">
        <v>1</v>
      </c>
      <c r="U401" s="653">
        <v>1</v>
      </c>
    </row>
    <row r="402" spans="1:21" ht="14.4" customHeight="1" x14ac:dyDescent="0.3">
      <c r="A402" s="613">
        <v>25</v>
      </c>
      <c r="B402" s="614" t="s">
        <v>1112</v>
      </c>
      <c r="C402" s="614" t="s">
        <v>1249</v>
      </c>
      <c r="D402" s="695" t="s">
        <v>1784</v>
      </c>
      <c r="E402" s="696" t="s">
        <v>1260</v>
      </c>
      <c r="F402" s="614" t="s">
        <v>1243</v>
      </c>
      <c r="G402" s="614" t="s">
        <v>1292</v>
      </c>
      <c r="H402" s="614" t="s">
        <v>770</v>
      </c>
      <c r="I402" s="614" t="s">
        <v>1307</v>
      </c>
      <c r="J402" s="614" t="s">
        <v>714</v>
      </c>
      <c r="K402" s="614" t="s">
        <v>1308</v>
      </c>
      <c r="L402" s="615">
        <v>24.22</v>
      </c>
      <c r="M402" s="615">
        <v>48.44</v>
      </c>
      <c r="N402" s="614">
        <v>2</v>
      </c>
      <c r="O402" s="697">
        <v>1</v>
      </c>
      <c r="P402" s="615">
        <v>48.44</v>
      </c>
      <c r="Q402" s="630">
        <v>1</v>
      </c>
      <c r="R402" s="614">
        <v>2</v>
      </c>
      <c r="S402" s="630">
        <v>1</v>
      </c>
      <c r="T402" s="697">
        <v>1</v>
      </c>
      <c r="U402" s="653">
        <v>1</v>
      </c>
    </row>
    <row r="403" spans="1:21" ht="14.4" customHeight="1" x14ac:dyDescent="0.3">
      <c r="A403" s="613">
        <v>25</v>
      </c>
      <c r="B403" s="614" t="s">
        <v>1112</v>
      </c>
      <c r="C403" s="614" t="s">
        <v>1249</v>
      </c>
      <c r="D403" s="695" t="s">
        <v>1784</v>
      </c>
      <c r="E403" s="696" t="s">
        <v>1262</v>
      </c>
      <c r="F403" s="614" t="s">
        <v>1243</v>
      </c>
      <c r="G403" s="614" t="s">
        <v>1287</v>
      </c>
      <c r="H403" s="614" t="s">
        <v>770</v>
      </c>
      <c r="I403" s="614" t="s">
        <v>956</v>
      </c>
      <c r="J403" s="614" t="s">
        <v>864</v>
      </c>
      <c r="K403" s="614" t="s">
        <v>1196</v>
      </c>
      <c r="L403" s="615">
        <v>150.04</v>
      </c>
      <c r="M403" s="615">
        <v>150.04</v>
      </c>
      <c r="N403" s="614">
        <v>1</v>
      </c>
      <c r="O403" s="697">
        <v>1</v>
      </c>
      <c r="P403" s="615"/>
      <c r="Q403" s="630">
        <v>0</v>
      </c>
      <c r="R403" s="614"/>
      <c r="S403" s="630">
        <v>0</v>
      </c>
      <c r="T403" s="697"/>
      <c r="U403" s="653">
        <v>0</v>
      </c>
    </row>
    <row r="404" spans="1:21" ht="14.4" customHeight="1" x14ac:dyDescent="0.3">
      <c r="A404" s="613">
        <v>25</v>
      </c>
      <c r="B404" s="614" t="s">
        <v>1112</v>
      </c>
      <c r="C404" s="614" t="s">
        <v>1249</v>
      </c>
      <c r="D404" s="695" t="s">
        <v>1784</v>
      </c>
      <c r="E404" s="696" t="s">
        <v>1262</v>
      </c>
      <c r="F404" s="614" t="s">
        <v>1243</v>
      </c>
      <c r="G404" s="614" t="s">
        <v>1287</v>
      </c>
      <c r="H404" s="614" t="s">
        <v>770</v>
      </c>
      <c r="I404" s="614" t="s">
        <v>956</v>
      </c>
      <c r="J404" s="614" t="s">
        <v>864</v>
      </c>
      <c r="K404" s="614" t="s">
        <v>1196</v>
      </c>
      <c r="L404" s="615">
        <v>154.36000000000001</v>
      </c>
      <c r="M404" s="615">
        <v>771.80000000000007</v>
      </c>
      <c r="N404" s="614">
        <v>5</v>
      </c>
      <c r="O404" s="697">
        <v>4.5</v>
      </c>
      <c r="P404" s="615">
        <v>308.72000000000003</v>
      </c>
      <c r="Q404" s="630">
        <v>0.4</v>
      </c>
      <c r="R404" s="614">
        <v>2</v>
      </c>
      <c r="S404" s="630">
        <v>0.4</v>
      </c>
      <c r="T404" s="697">
        <v>2</v>
      </c>
      <c r="U404" s="653">
        <v>0.44444444444444442</v>
      </c>
    </row>
    <row r="405" spans="1:21" ht="14.4" customHeight="1" x14ac:dyDescent="0.3">
      <c r="A405" s="613">
        <v>25</v>
      </c>
      <c r="B405" s="614" t="s">
        <v>1112</v>
      </c>
      <c r="C405" s="614" t="s">
        <v>1249</v>
      </c>
      <c r="D405" s="695" t="s">
        <v>1784</v>
      </c>
      <c r="E405" s="696" t="s">
        <v>1262</v>
      </c>
      <c r="F405" s="614" t="s">
        <v>1243</v>
      </c>
      <c r="G405" s="614" t="s">
        <v>1287</v>
      </c>
      <c r="H405" s="614" t="s">
        <v>325</v>
      </c>
      <c r="I405" s="614" t="s">
        <v>1288</v>
      </c>
      <c r="J405" s="614" t="s">
        <v>864</v>
      </c>
      <c r="K405" s="614" t="s">
        <v>1196</v>
      </c>
      <c r="L405" s="615">
        <v>154.36000000000001</v>
      </c>
      <c r="M405" s="615">
        <v>154.36000000000001</v>
      </c>
      <c r="N405" s="614">
        <v>1</v>
      </c>
      <c r="O405" s="697">
        <v>0.5</v>
      </c>
      <c r="P405" s="615"/>
      <c r="Q405" s="630">
        <v>0</v>
      </c>
      <c r="R405" s="614"/>
      <c r="S405" s="630">
        <v>0</v>
      </c>
      <c r="T405" s="697"/>
      <c r="U405" s="653">
        <v>0</v>
      </c>
    </row>
    <row r="406" spans="1:21" ht="14.4" customHeight="1" x14ac:dyDescent="0.3">
      <c r="A406" s="613">
        <v>25</v>
      </c>
      <c r="B406" s="614" t="s">
        <v>1112</v>
      </c>
      <c r="C406" s="614" t="s">
        <v>1249</v>
      </c>
      <c r="D406" s="695" t="s">
        <v>1784</v>
      </c>
      <c r="E406" s="696" t="s">
        <v>1262</v>
      </c>
      <c r="F406" s="614" t="s">
        <v>1243</v>
      </c>
      <c r="G406" s="614" t="s">
        <v>1314</v>
      </c>
      <c r="H406" s="614" t="s">
        <v>325</v>
      </c>
      <c r="I406" s="614" t="s">
        <v>1315</v>
      </c>
      <c r="J406" s="614" t="s">
        <v>1316</v>
      </c>
      <c r="K406" s="614" t="s">
        <v>1317</v>
      </c>
      <c r="L406" s="615">
        <v>0</v>
      </c>
      <c r="M406" s="615">
        <v>0</v>
      </c>
      <c r="N406" s="614">
        <v>1</v>
      </c>
      <c r="O406" s="697">
        <v>1</v>
      </c>
      <c r="P406" s="615">
        <v>0</v>
      </c>
      <c r="Q406" s="630"/>
      <c r="R406" s="614">
        <v>1</v>
      </c>
      <c r="S406" s="630">
        <v>1</v>
      </c>
      <c r="T406" s="697">
        <v>1</v>
      </c>
      <c r="U406" s="653">
        <v>1</v>
      </c>
    </row>
    <row r="407" spans="1:21" ht="14.4" customHeight="1" x14ac:dyDescent="0.3">
      <c r="A407" s="613">
        <v>25</v>
      </c>
      <c r="B407" s="614" t="s">
        <v>1112</v>
      </c>
      <c r="C407" s="614" t="s">
        <v>1249</v>
      </c>
      <c r="D407" s="695" t="s">
        <v>1784</v>
      </c>
      <c r="E407" s="696" t="s">
        <v>1262</v>
      </c>
      <c r="F407" s="614" t="s">
        <v>1243</v>
      </c>
      <c r="G407" s="614" t="s">
        <v>1314</v>
      </c>
      <c r="H407" s="614" t="s">
        <v>325</v>
      </c>
      <c r="I407" s="614" t="s">
        <v>1370</v>
      </c>
      <c r="J407" s="614" t="s">
        <v>1316</v>
      </c>
      <c r="K407" s="614" t="s">
        <v>1371</v>
      </c>
      <c r="L407" s="615">
        <v>120.89</v>
      </c>
      <c r="M407" s="615">
        <v>120.89</v>
      </c>
      <c r="N407" s="614">
        <v>1</v>
      </c>
      <c r="O407" s="697">
        <v>1</v>
      </c>
      <c r="P407" s="615"/>
      <c r="Q407" s="630">
        <v>0</v>
      </c>
      <c r="R407" s="614"/>
      <c r="S407" s="630">
        <v>0</v>
      </c>
      <c r="T407" s="697"/>
      <c r="U407" s="653">
        <v>0</v>
      </c>
    </row>
    <row r="408" spans="1:21" ht="14.4" customHeight="1" x14ac:dyDescent="0.3">
      <c r="A408" s="613">
        <v>25</v>
      </c>
      <c r="B408" s="614" t="s">
        <v>1112</v>
      </c>
      <c r="C408" s="614" t="s">
        <v>1249</v>
      </c>
      <c r="D408" s="695" t="s">
        <v>1784</v>
      </c>
      <c r="E408" s="696" t="s">
        <v>1262</v>
      </c>
      <c r="F408" s="614" t="s">
        <v>1243</v>
      </c>
      <c r="G408" s="614" t="s">
        <v>1291</v>
      </c>
      <c r="H408" s="614" t="s">
        <v>325</v>
      </c>
      <c r="I408" s="614" t="s">
        <v>930</v>
      </c>
      <c r="J408" s="614" t="s">
        <v>931</v>
      </c>
      <c r="K408" s="614" t="s">
        <v>932</v>
      </c>
      <c r="L408" s="615">
        <v>147.31</v>
      </c>
      <c r="M408" s="615">
        <v>294.62</v>
      </c>
      <c r="N408" s="614">
        <v>2</v>
      </c>
      <c r="O408" s="697">
        <v>1</v>
      </c>
      <c r="P408" s="615">
        <v>294.62</v>
      </c>
      <c r="Q408" s="630">
        <v>1</v>
      </c>
      <c r="R408" s="614">
        <v>2</v>
      </c>
      <c r="S408" s="630">
        <v>1</v>
      </c>
      <c r="T408" s="697">
        <v>1</v>
      </c>
      <c r="U408" s="653">
        <v>1</v>
      </c>
    </row>
    <row r="409" spans="1:21" ht="14.4" customHeight="1" x14ac:dyDescent="0.3">
      <c r="A409" s="613">
        <v>25</v>
      </c>
      <c r="B409" s="614" t="s">
        <v>1112</v>
      </c>
      <c r="C409" s="614" t="s">
        <v>1249</v>
      </c>
      <c r="D409" s="695" t="s">
        <v>1784</v>
      </c>
      <c r="E409" s="696" t="s">
        <v>1262</v>
      </c>
      <c r="F409" s="614" t="s">
        <v>1243</v>
      </c>
      <c r="G409" s="614" t="s">
        <v>1292</v>
      </c>
      <c r="H409" s="614" t="s">
        <v>770</v>
      </c>
      <c r="I409" s="614" t="s">
        <v>1307</v>
      </c>
      <c r="J409" s="614" t="s">
        <v>714</v>
      </c>
      <c r="K409" s="614" t="s">
        <v>1308</v>
      </c>
      <c r="L409" s="615">
        <v>24.22</v>
      </c>
      <c r="M409" s="615">
        <v>24.22</v>
      </c>
      <c r="N409" s="614">
        <v>1</v>
      </c>
      <c r="O409" s="697">
        <v>0.5</v>
      </c>
      <c r="P409" s="615"/>
      <c r="Q409" s="630">
        <v>0</v>
      </c>
      <c r="R409" s="614"/>
      <c r="S409" s="630">
        <v>0</v>
      </c>
      <c r="T409" s="697"/>
      <c r="U409" s="653">
        <v>0</v>
      </c>
    </row>
    <row r="410" spans="1:21" ht="14.4" customHeight="1" x14ac:dyDescent="0.3">
      <c r="A410" s="613">
        <v>25</v>
      </c>
      <c r="B410" s="614" t="s">
        <v>1112</v>
      </c>
      <c r="C410" s="614" t="s">
        <v>1249</v>
      </c>
      <c r="D410" s="695" t="s">
        <v>1784</v>
      </c>
      <c r="E410" s="696" t="s">
        <v>1262</v>
      </c>
      <c r="F410" s="614" t="s">
        <v>1243</v>
      </c>
      <c r="G410" s="614" t="s">
        <v>1292</v>
      </c>
      <c r="H410" s="614" t="s">
        <v>770</v>
      </c>
      <c r="I410" s="614" t="s">
        <v>776</v>
      </c>
      <c r="J410" s="614" t="s">
        <v>714</v>
      </c>
      <c r="K410" s="614" t="s">
        <v>1219</v>
      </c>
      <c r="L410" s="615">
        <v>48.42</v>
      </c>
      <c r="M410" s="615">
        <v>48.42</v>
      </c>
      <c r="N410" s="614">
        <v>1</v>
      </c>
      <c r="O410" s="697">
        <v>1</v>
      </c>
      <c r="P410" s="615">
        <v>48.42</v>
      </c>
      <c r="Q410" s="630">
        <v>1</v>
      </c>
      <c r="R410" s="614">
        <v>1</v>
      </c>
      <c r="S410" s="630">
        <v>1</v>
      </c>
      <c r="T410" s="697">
        <v>1</v>
      </c>
      <c r="U410" s="653">
        <v>1</v>
      </c>
    </row>
    <row r="411" spans="1:21" ht="14.4" customHeight="1" x14ac:dyDescent="0.3">
      <c r="A411" s="613">
        <v>25</v>
      </c>
      <c r="B411" s="614" t="s">
        <v>1112</v>
      </c>
      <c r="C411" s="614" t="s">
        <v>1249</v>
      </c>
      <c r="D411" s="695" t="s">
        <v>1784</v>
      </c>
      <c r="E411" s="696" t="s">
        <v>1262</v>
      </c>
      <c r="F411" s="614" t="s">
        <v>1243</v>
      </c>
      <c r="G411" s="614" t="s">
        <v>1292</v>
      </c>
      <c r="H411" s="614" t="s">
        <v>325</v>
      </c>
      <c r="I411" s="614" t="s">
        <v>1763</v>
      </c>
      <c r="J411" s="614" t="s">
        <v>714</v>
      </c>
      <c r="K411" s="614" t="s">
        <v>1764</v>
      </c>
      <c r="L411" s="615">
        <v>0</v>
      </c>
      <c r="M411" s="615">
        <v>0</v>
      </c>
      <c r="N411" s="614">
        <v>1</v>
      </c>
      <c r="O411" s="697">
        <v>0.5</v>
      </c>
      <c r="P411" s="615"/>
      <c r="Q411" s="630"/>
      <c r="R411" s="614"/>
      <c r="S411" s="630">
        <v>0</v>
      </c>
      <c r="T411" s="697"/>
      <c r="U411" s="653">
        <v>0</v>
      </c>
    </row>
    <row r="412" spans="1:21" ht="14.4" customHeight="1" x14ac:dyDescent="0.3">
      <c r="A412" s="613">
        <v>25</v>
      </c>
      <c r="B412" s="614" t="s">
        <v>1112</v>
      </c>
      <c r="C412" s="614" t="s">
        <v>1249</v>
      </c>
      <c r="D412" s="695" t="s">
        <v>1784</v>
      </c>
      <c r="E412" s="696" t="s">
        <v>1263</v>
      </c>
      <c r="F412" s="614" t="s">
        <v>1243</v>
      </c>
      <c r="G412" s="614" t="s">
        <v>1287</v>
      </c>
      <c r="H412" s="614" t="s">
        <v>325</v>
      </c>
      <c r="I412" s="614" t="s">
        <v>1329</v>
      </c>
      <c r="J412" s="614" t="s">
        <v>1330</v>
      </c>
      <c r="K412" s="614" t="s">
        <v>1331</v>
      </c>
      <c r="L412" s="615">
        <v>154.36000000000001</v>
      </c>
      <c r="M412" s="615">
        <v>154.36000000000001</v>
      </c>
      <c r="N412" s="614">
        <v>1</v>
      </c>
      <c r="O412" s="697">
        <v>1</v>
      </c>
      <c r="P412" s="615"/>
      <c r="Q412" s="630">
        <v>0</v>
      </c>
      <c r="R412" s="614"/>
      <c r="S412" s="630">
        <v>0</v>
      </c>
      <c r="T412" s="697"/>
      <c r="U412" s="653">
        <v>0</v>
      </c>
    </row>
    <row r="413" spans="1:21" ht="14.4" customHeight="1" x14ac:dyDescent="0.3">
      <c r="A413" s="613">
        <v>25</v>
      </c>
      <c r="B413" s="614" t="s">
        <v>1112</v>
      </c>
      <c r="C413" s="614" t="s">
        <v>1249</v>
      </c>
      <c r="D413" s="695" t="s">
        <v>1784</v>
      </c>
      <c r="E413" s="696" t="s">
        <v>1263</v>
      </c>
      <c r="F413" s="614" t="s">
        <v>1243</v>
      </c>
      <c r="G413" s="614" t="s">
        <v>1287</v>
      </c>
      <c r="H413" s="614" t="s">
        <v>770</v>
      </c>
      <c r="I413" s="614" t="s">
        <v>956</v>
      </c>
      <c r="J413" s="614" t="s">
        <v>864</v>
      </c>
      <c r="K413" s="614" t="s">
        <v>1196</v>
      </c>
      <c r="L413" s="615">
        <v>154.36000000000001</v>
      </c>
      <c r="M413" s="615">
        <v>463.08000000000004</v>
      </c>
      <c r="N413" s="614">
        <v>3</v>
      </c>
      <c r="O413" s="697">
        <v>3</v>
      </c>
      <c r="P413" s="615">
        <v>308.72000000000003</v>
      </c>
      <c r="Q413" s="630">
        <v>0.66666666666666663</v>
      </c>
      <c r="R413" s="614">
        <v>2</v>
      </c>
      <c r="S413" s="630">
        <v>0.66666666666666663</v>
      </c>
      <c r="T413" s="697">
        <v>2</v>
      </c>
      <c r="U413" s="653">
        <v>0.66666666666666663</v>
      </c>
    </row>
    <row r="414" spans="1:21" ht="14.4" customHeight="1" x14ac:dyDescent="0.3">
      <c r="A414" s="613">
        <v>25</v>
      </c>
      <c r="B414" s="614" t="s">
        <v>1112</v>
      </c>
      <c r="C414" s="614" t="s">
        <v>1249</v>
      </c>
      <c r="D414" s="695" t="s">
        <v>1784</v>
      </c>
      <c r="E414" s="696" t="s">
        <v>1263</v>
      </c>
      <c r="F414" s="614" t="s">
        <v>1243</v>
      </c>
      <c r="G414" s="614" t="s">
        <v>1292</v>
      </c>
      <c r="H414" s="614" t="s">
        <v>770</v>
      </c>
      <c r="I414" s="614" t="s">
        <v>776</v>
      </c>
      <c r="J414" s="614" t="s">
        <v>714</v>
      </c>
      <c r="K414" s="614" t="s">
        <v>1219</v>
      </c>
      <c r="L414" s="615">
        <v>48.42</v>
      </c>
      <c r="M414" s="615">
        <v>48.42</v>
      </c>
      <c r="N414" s="614">
        <v>1</v>
      </c>
      <c r="O414" s="697">
        <v>1</v>
      </c>
      <c r="P414" s="615">
        <v>48.42</v>
      </c>
      <c r="Q414" s="630">
        <v>1</v>
      </c>
      <c r="R414" s="614">
        <v>1</v>
      </c>
      <c r="S414" s="630">
        <v>1</v>
      </c>
      <c r="T414" s="697">
        <v>1</v>
      </c>
      <c r="U414" s="653">
        <v>1</v>
      </c>
    </row>
    <row r="415" spans="1:21" ht="14.4" customHeight="1" x14ac:dyDescent="0.3">
      <c r="A415" s="613">
        <v>25</v>
      </c>
      <c r="B415" s="614" t="s">
        <v>1112</v>
      </c>
      <c r="C415" s="614" t="s">
        <v>1249</v>
      </c>
      <c r="D415" s="695" t="s">
        <v>1784</v>
      </c>
      <c r="E415" s="696" t="s">
        <v>1263</v>
      </c>
      <c r="F415" s="614" t="s">
        <v>1243</v>
      </c>
      <c r="G415" s="614" t="s">
        <v>1292</v>
      </c>
      <c r="H415" s="614" t="s">
        <v>325</v>
      </c>
      <c r="I415" s="614" t="s">
        <v>713</v>
      </c>
      <c r="J415" s="614" t="s">
        <v>714</v>
      </c>
      <c r="K415" s="614" t="s">
        <v>1310</v>
      </c>
      <c r="L415" s="615">
        <v>48.42</v>
      </c>
      <c r="M415" s="615">
        <v>48.42</v>
      </c>
      <c r="N415" s="614">
        <v>1</v>
      </c>
      <c r="O415" s="697">
        <v>1</v>
      </c>
      <c r="P415" s="615">
        <v>48.42</v>
      </c>
      <c r="Q415" s="630">
        <v>1</v>
      </c>
      <c r="R415" s="614">
        <v>1</v>
      </c>
      <c r="S415" s="630">
        <v>1</v>
      </c>
      <c r="T415" s="697">
        <v>1</v>
      </c>
      <c r="U415" s="653">
        <v>1</v>
      </c>
    </row>
    <row r="416" spans="1:21" ht="14.4" customHeight="1" x14ac:dyDescent="0.3">
      <c r="A416" s="613">
        <v>25</v>
      </c>
      <c r="B416" s="614" t="s">
        <v>1112</v>
      </c>
      <c r="C416" s="614" t="s">
        <v>1249</v>
      </c>
      <c r="D416" s="695" t="s">
        <v>1784</v>
      </c>
      <c r="E416" s="696" t="s">
        <v>1266</v>
      </c>
      <c r="F416" s="614" t="s">
        <v>1243</v>
      </c>
      <c r="G416" s="614" t="s">
        <v>1287</v>
      </c>
      <c r="H416" s="614" t="s">
        <v>770</v>
      </c>
      <c r="I416" s="614" t="s">
        <v>956</v>
      </c>
      <c r="J416" s="614" t="s">
        <v>864</v>
      </c>
      <c r="K416" s="614" t="s">
        <v>1196</v>
      </c>
      <c r="L416" s="615">
        <v>154.36000000000001</v>
      </c>
      <c r="M416" s="615">
        <v>308.72000000000003</v>
      </c>
      <c r="N416" s="614">
        <v>2</v>
      </c>
      <c r="O416" s="697">
        <v>2</v>
      </c>
      <c r="P416" s="615">
        <v>308.72000000000003</v>
      </c>
      <c r="Q416" s="630">
        <v>1</v>
      </c>
      <c r="R416" s="614">
        <v>2</v>
      </c>
      <c r="S416" s="630">
        <v>1</v>
      </c>
      <c r="T416" s="697">
        <v>2</v>
      </c>
      <c r="U416" s="653">
        <v>1</v>
      </c>
    </row>
    <row r="417" spans="1:21" ht="14.4" customHeight="1" x14ac:dyDescent="0.3">
      <c r="A417" s="613">
        <v>25</v>
      </c>
      <c r="B417" s="614" t="s">
        <v>1112</v>
      </c>
      <c r="C417" s="614" t="s">
        <v>1249</v>
      </c>
      <c r="D417" s="695" t="s">
        <v>1784</v>
      </c>
      <c r="E417" s="696" t="s">
        <v>1266</v>
      </c>
      <c r="F417" s="614" t="s">
        <v>1243</v>
      </c>
      <c r="G417" s="614" t="s">
        <v>1287</v>
      </c>
      <c r="H417" s="614" t="s">
        <v>770</v>
      </c>
      <c r="I417" s="614" t="s">
        <v>1519</v>
      </c>
      <c r="J417" s="614" t="s">
        <v>1520</v>
      </c>
      <c r="K417" s="614" t="s">
        <v>1521</v>
      </c>
      <c r="L417" s="615">
        <v>75.73</v>
      </c>
      <c r="M417" s="615">
        <v>151.46</v>
      </c>
      <c r="N417" s="614">
        <v>2</v>
      </c>
      <c r="O417" s="697">
        <v>1</v>
      </c>
      <c r="P417" s="615">
        <v>151.46</v>
      </c>
      <c r="Q417" s="630">
        <v>1</v>
      </c>
      <c r="R417" s="614">
        <v>2</v>
      </c>
      <c r="S417" s="630">
        <v>1</v>
      </c>
      <c r="T417" s="697">
        <v>1</v>
      </c>
      <c r="U417" s="653">
        <v>1</v>
      </c>
    </row>
    <row r="418" spans="1:21" ht="14.4" customHeight="1" x14ac:dyDescent="0.3">
      <c r="A418" s="613">
        <v>25</v>
      </c>
      <c r="B418" s="614" t="s">
        <v>1112</v>
      </c>
      <c r="C418" s="614" t="s">
        <v>1249</v>
      </c>
      <c r="D418" s="695" t="s">
        <v>1784</v>
      </c>
      <c r="E418" s="696" t="s">
        <v>1266</v>
      </c>
      <c r="F418" s="614" t="s">
        <v>1243</v>
      </c>
      <c r="G418" s="614" t="s">
        <v>1287</v>
      </c>
      <c r="H418" s="614" t="s">
        <v>325</v>
      </c>
      <c r="I418" s="614" t="s">
        <v>1288</v>
      </c>
      <c r="J418" s="614" t="s">
        <v>864</v>
      </c>
      <c r="K418" s="614" t="s">
        <v>1196</v>
      </c>
      <c r="L418" s="615">
        <v>154.36000000000001</v>
      </c>
      <c r="M418" s="615">
        <v>154.36000000000001</v>
      </c>
      <c r="N418" s="614">
        <v>1</v>
      </c>
      <c r="O418" s="697">
        <v>1</v>
      </c>
      <c r="P418" s="615">
        <v>154.36000000000001</v>
      </c>
      <c r="Q418" s="630">
        <v>1</v>
      </c>
      <c r="R418" s="614">
        <v>1</v>
      </c>
      <c r="S418" s="630">
        <v>1</v>
      </c>
      <c r="T418" s="697">
        <v>1</v>
      </c>
      <c r="U418" s="653">
        <v>1</v>
      </c>
    </row>
    <row r="419" spans="1:21" ht="14.4" customHeight="1" x14ac:dyDescent="0.3">
      <c r="A419" s="613">
        <v>25</v>
      </c>
      <c r="B419" s="614" t="s">
        <v>1112</v>
      </c>
      <c r="C419" s="614" t="s">
        <v>1249</v>
      </c>
      <c r="D419" s="695" t="s">
        <v>1784</v>
      </c>
      <c r="E419" s="696" t="s">
        <v>1267</v>
      </c>
      <c r="F419" s="614" t="s">
        <v>1243</v>
      </c>
      <c r="G419" s="614" t="s">
        <v>1287</v>
      </c>
      <c r="H419" s="614" t="s">
        <v>770</v>
      </c>
      <c r="I419" s="614" t="s">
        <v>956</v>
      </c>
      <c r="J419" s="614" t="s">
        <v>864</v>
      </c>
      <c r="K419" s="614" t="s">
        <v>1196</v>
      </c>
      <c r="L419" s="615">
        <v>150.04</v>
      </c>
      <c r="M419" s="615">
        <v>150.04</v>
      </c>
      <c r="N419" s="614">
        <v>1</v>
      </c>
      <c r="O419" s="697">
        <v>1</v>
      </c>
      <c r="P419" s="615">
        <v>150.04</v>
      </c>
      <c r="Q419" s="630">
        <v>1</v>
      </c>
      <c r="R419" s="614">
        <v>1</v>
      </c>
      <c r="S419" s="630">
        <v>1</v>
      </c>
      <c r="T419" s="697">
        <v>1</v>
      </c>
      <c r="U419" s="653">
        <v>1</v>
      </c>
    </row>
    <row r="420" spans="1:21" ht="14.4" customHeight="1" x14ac:dyDescent="0.3">
      <c r="A420" s="613">
        <v>25</v>
      </c>
      <c r="B420" s="614" t="s">
        <v>1112</v>
      </c>
      <c r="C420" s="614" t="s">
        <v>1249</v>
      </c>
      <c r="D420" s="695" t="s">
        <v>1784</v>
      </c>
      <c r="E420" s="696" t="s">
        <v>1267</v>
      </c>
      <c r="F420" s="614" t="s">
        <v>1243</v>
      </c>
      <c r="G420" s="614" t="s">
        <v>1287</v>
      </c>
      <c r="H420" s="614" t="s">
        <v>770</v>
      </c>
      <c r="I420" s="614" t="s">
        <v>956</v>
      </c>
      <c r="J420" s="614" t="s">
        <v>864</v>
      </c>
      <c r="K420" s="614" t="s">
        <v>1196</v>
      </c>
      <c r="L420" s="615">
        <v>154.36000000000001</v>
      </c>
      <c r="M420" s="615">
        <v>308.72000000000003</v>
      </c>
      <c r="N420" s="614">
        <v>2</v>
      </c>
      <c r="O420" s="697">
        <v>2</v>
      </c>
      <c r="P420" s="615">
        <v>154.36000000000001</v>
      </c>
      <c r="Q420" s="630">
        <v>0.5</v>
      </c>
      <c r="R420" s="614">
        <v>1</v>
      </c>
      <c r="S420" s="630">
        <v>0.5</v>
      </c>
      <c r="T420" s="697">
        <v>1</v>
      </c>
      <c r="U420" s="653">
        <v>0.5</v>
      </c>
    </row>
    <row r="421" spans="1:21" ht="14.4" customHeight="1" x14ac:dyDescent="0.3">
      <c r="A421" s="613">
        <v>25</v>
      </c>
      <c r="B421" s="614" t="s">
        <v>1112</v>
      </c>
      <c r="C421" s="614" t="s">
        <v>1249</v>
      </c>
      <c r="D421" s="695" t="s">
        <v>1784</v>
      </c>
      <c r="E421" s="696" t="s">
        <v>1267</v>
      </c>
      <c r="F421" s="614" t="s">
        <v>1243</v>
      </c>
      <c r="G421" s="614" t="s">
        <v>1291</v>
      </c>
      <c r="H421" s="614" t="s">
        <v>325</v>
      </c>
      <c r="I421" s="614" t="s">
        <v>930</v>
      </c>
      <c r="J421" s="614" t="s">
        <v>931</v>
      </c>
      <c r="K421" s="614" t="s">
        <v>932</v>
      </c>
      <c r="L421" s="615">
        <v>147.31</v>
      </c>
      <c r="M421" s="615">
        <v>294.62</v>
      </c>
      <c r="N421" s="614">
        <v>2</v>
      </c>
      <c r="O421" s="697">
        <v>1</v>
      </c>
      <c r="P421" s="615">
        <v>294.62</v>
      </c>
      <c r="Q421" s="630">
        <v>1</v>
      </c>
      <c r="R421" s="614">
        <v>2</v>
      </c>
      <c r="S421" s="630">
        <v>1</v>
      </c>
      <c r="T421" s="697">
        <v>1</v>
      </c>
      <c r="U421" s="653">
        <v>1</v>
      </c>
    </row>
    <row r="422" spans="1:21" ht="14.4" customHeight="1" x14ac:dyDescent="0.3">
      <c r="A422" s="613">
        <v>25</v>
      </c>
      <c r="B422" s="614" t="s">
        <v>1112</v>
      </c>
      <c r="C422" s="614" t="s">
        <v>1249</v>
      </c>
      <c r="D422" s="695" t="s">
        <v>1784</v>
      </c>
      <c r="E422" s="696" t="s">
        <v>1267</v>
      </c>
      <c r="F422" s="614" t="s">
        <v>1243</v>
      </c>
      <c r="G422" s="614" t="s">
        <v>1292</v>
      </c>
      <c r="H422" s="614" t="s">
        <v>770</v>
      </c>
      <c r="I422" s="614" t="s">
        <v>1307</v>
      </c>
      <c r="J422" s="614" t="s">
        <v>714</v>
      </c>
      <c r="K422" s="614" t="s">
        <v>1308</v>
      </c>
      <c r="L422" s="615">
        <v>24.22</v>
      </c>
      <c r="M422" s="615">
        <v>24.22</v>
      </c>
      <c r="N422" s="614">
        <v>1</v>
      </c>
      <c r="O422" s="697">
        <v>1</v>
      </c>
      <c r="P422" s="615">
        <v>24.22</v>
      </c>
      <c r="Q422" s="630">
        <v>1</v>
      </c>
      <c r="R422" s="614">
        <v>1</v>
      </c>
      <c r="S422" s="630">
        <v>1</v>
      </c>
      <c r="T422" s="697">
        <v>1</v>
      </c>
      <c r="U422" s="653">
        <v>1</v>
      </c>
    </row>
    <row r="423" spans="1:21" ht="14.4" customHeight="1" x14ac:dyDescent="0.3">
      <c r="A423" s="613">
        <v>25</v>
      </c>
      <c r="B423" s="614" t="s">
        <v>1112</v>
      </c>
      <c r="C423" s="614" t="s">
        <v>1249</v>
      </c>
      <c r="D423" s="695" t="s">
        <v>1784</v>
      </c>
      <c r="E423" s="696" t="s">
        <v>1269</v>
      </c>
      <c r="F423" s="614" t="s">
        <v>1243</v>
      </c>
      <c r="G423" s="614" t="s">
        <v>1287</v>
      </c>
      <c r="H423" s="614" t="s">
        <v>770</v>
      </c>
      <c r="I423" s="614" t="s">
        <v>956</v>
      </c>
      <c r="J423" s="614" t="s">
        <v>864</v>
      </c>
      <c r="K423" s="614" t="s">
        <v>1196</v>
      </c>
      <c r="L423" s="615">
        <v>154.36000000000001</v>
      </c>
      <c r="M423" s="615">
        <v>308.72000000000003</v>
      </c>
      <c r="N423" s="614">
        <v>2</v>
      </c>
      <c r="O423" s="697">
        <v>1</v>
      </c>
      <c r="P423" s="615">
        <v>154.36000000000001</v>
      </c>
      <c r="Q423" s="630">
        <v>0.5</v>
      </c>
      <c r="R423" s="614">
        <v>1</v>
      </c>
      <c r="S423" s="630">
        <v>0.5</v>
      </c>
      <c r="T423" s="697">
        <v>0.5</v>
      </c>
      <c r="U423" s="653">
        <v>0.5</v>
      </c>
    </row>
    <row r="424" spans="1:21" ht="14.4" customHeight="1" x14ac:dyDescent="0.3">
      <c r="A424" s="613">
        <v>25</v>
      </c>
      <c r="B424" s="614" t="s">
        <v>1112</v>
      </c>
      <c r="C424" s="614" t="s">
        <v>1249</v>
      </c>
      <c r="D424" s="695" t="s">
        <v>1784</v>
      </c>
      <c r="E424" s="696" t="s">
        <v>1269</v>
      </c>
      <c r="F424" s="614" t="s">
        <v>1243</v>
      </c>
      <c r="G424" s="614" t="s">
        <v>1292</v>
      </c>
      <c r="H424" s="614" t="s">
        <v>770</v>
      </c>
      <c r="I424" s="614" t="s">
        <v>1307</v>
      </c>
      <c r="J424" s="614" t="s">
        <v>714</v>
      </c>
      <c r="K424" s="614" t="s">
        <v>1308</v>
      </c>
      <c r="L424" s="615">
        <v>24.22</v>
      </c>
      <c r="M424" s="615">
        <v>24.22</v>
      </c>
      <c r="N424" s="614">
        <v>1</v>
      </c>
      <c r="O424" s="697">
        <v>0.5</v>
      </c>
      <c r="P424" s="615"/>
      <c r="Q424" s="630">
        <v>0</v>
      </c>
      <c r="R424" s="614"/>
      <c r="S424" s="630">
        <v>0</v>
      </c>
      <c r="T424" s="697"/>
      <c r="U424" s="653">
        <v>0</v>
      </c>
    </row>
    <row r="425" spans="1:21" ht="14.4" customHeight="1" x14ac:dyDescent="0.3">
      <c r="A425" s="613">
        <v>25</v>
      </c>
      <c r="B425" s="614" t="s">
        <v>1112</v>
      </c>
      <c r="C425" s="614" t="s">
        <v>1249</v>
      </c>
      <c r="D425" s="695" t="s">
        <v>1784</v>
      </c>
      <c r="E425" s="696" t="s">
        <v>1269</v>
      </c>
      <c r="F425" s="614" t="s">
        <v>1243</v>
      </c>
      <c r="G425" s="614" t="s">
        <v>1292</v>
      </c>
      <c r="H425" s="614" t="s">
        <v>325</v>
      </c>
      <c r="I425" s="614" t="s">
        <v>1298</v>
      </c>
      <c r="J425" s="614" t="s">
        <v>714</v>
      </c>
      <c r="K425" s="614" t="s">
        <v>1299</v>
      </c>
      <c r="L425" s="615">
        <v>24.22</v>
      </c>
      <c r="M425" s="615">
        <v>24.22</v>
      </c>
      <c r="N425" s="614">
        <v>1</v>
      </c>
      <c r="O425" s="697">
        <v>0.5</v>
      </c>
      <c r="P425" s="615">
        <v>24.22</v>
      </c>
      <c r="Q425" s="630">
        <v>1</v>
      </c>
      <c r="R425" s="614">
        <v>1</v>
      </c>
      <c r="S425" s="630">
        <v>1</v>
      </c>
      <c r="T425" s="697">
        <v>0.5</v>
      </c>
      <c r="U425" s="653">
        <v>1</v>
      </c>
    </row>
    <row r="426" spans="1:21" ht="14.4" customHeight="1" x14ac:dyDescent="0.3">
      <c r="A426" s="613">
        <v>25</v>
      </c>
      <c r="B426" s="614" t="s">
        <v>1112</v>
      </c>
      <c r="C426" s="614" t="s">
        <v>1249</v>
      </c>
      <c r="D426" s="695" t="s">
        <v>1784</v>
      </c>
      <c r="E426" s="696" t="s">
        <v>1273</v>
      </c>
      <c r="F426" s="614" t="s">
        <v>1243</v>
      </c>
      <c r="G426" s="614" t="s">
        <v>1287</v>
      </c>
      <c r="H426" s="614" t="s">
        <v>325</v>
      </c>
      <c r="I426" s="614" t="s">
        <v>1288</v>
      </c>
      <c r="J426" s="614" t="s">
        <v>864</v>
      </c>
      <c r="K426" s="614" t="s">
        <v>1196</v>
      </c>
      <c r="L426" s="615">
        <v>154.36000000000001</v>
      </c>
      <c r="M426" s="615">
        <v>154.36000000000001</v>
      </c>
      <c r="N426" s="614">
        <v>1</v>
      </c>
      <c r="O426" s="697">
        <v>0.5</v>
      </c>
      <c r="P426" s="615">
        <v>154.36000000000001</v>
      </c>
      <c r="Q426" s="630">
        <v>1</v>
      </c>
      <c r="R426" s="614">
        <v>1</v>
      </c>
      <c r="S426" s="630">
        <v>1</v>
      </c>
      <c r="T426" s="697">
        <v>0.5</v>
      </c>
      <c r="U426" s="653">
        <v>1</v>
      </c>
    </row>
    <row r="427" spans="1:21" ht="14.4" customHeight="1" x14ac:dyDescent="0.3">
      <c r="A427" s="613">
        <v>25</v>
      </c>
      <c r="B427" s="614" t="s">
        <v>1112</v>
      </c>
      <c r="C427" s="614" t="s">
        <v>1249</v>
      </c>
      <c r="D427" s="695" t="s">
        <v>1784</v>
      </c>
      <c r="E427" s="696" t="s">
        <v>1273</v>
      </c>
      <c r="F427" s="614" t="s">
        <v>1243</v>
      </c>
      <c r="G427" s="614" t="s">
        <v>1292</v>
      </c>
      <c r="H427" s="614" t="s">
        <v>325</v>
      </c>
      <c r="I427" s="614" t="s">
        <v>713</v>
      </c>
      <c r="J427" s="614" t="s">
        <v>714</v>
      </c>
      <c r="K427" s="614" t="s">
        <v>1310</v>
      </c>
      <c r="L427" s="615">
        <v>48.42</v>
      </c>
      <c r="M427" s="615">
        <v>48.42</v>
      </c>
      <c r="N427" s="614">
        <v>1</v>
      </c>
      <c r="O427" s="697">
        <v>0.5</v>
      </c>
      <c r="P427" s="615">
        <v>48.42</v>
      </c>
      <c r="Q427" s="630">
        <v>1</v>
      </c>
      <c r="R427" s="614">
        <v>1</v>
      </c>
      <c r="S427" s="630">
        <v>1</v>
      </c>
      <c r="T427" s="697">
        <v>0.5</v>
      </c>
      <c r="U427" s="653">
        <v>1</v>
      </c>
    </row>
    <row r="428" spans="1:21" ht="14.4" customHeight="1" x14ac:dyDescent="0.3">
      <c r="A428" s="613">
        <v>25</v>
      </c>
      <c r="B428" s="614" t="s">
        <v>1112</v>
      </c>
      <c r="C428" s="614" t="s">
        <v>1249</v>
      </c>
      <c r="D428" s="695" t="s">
        <v>1784</v>
      </c>
      <c r="E428" s="696" t="s">
        <v>1275</v>
      </c>
      <c r="F428" s="614" t="s">
        <v>1243</v>
      </c>
      <c r="G428" s="614" t="s">
        <v>1291</v>
      </c>
      <c r="H428" s="614" t="s">
        <v>325</v>
      </c>
      <c r="I428" s="614" t="s">
        <v>930</v>
      </c>
      <c r="J428" s="614" t="s">
        <v>931</v>
      </c>
      <c r="K428" s="614" t="s">
        <v>932</v>
      </c>
      <c r="L428" s="615">
        <v>147.31</v>
      </c>
      <c r="M428" s="615">
        <v>294.62</v>
      </c>
      <c r="N428" s="614">
        <v>2</v>
      </c>
      <c r="O428" s="697">
        <v>1</v>
      </c>
      <c r="P428" s="615"/>
      <c r="Q428" s="630">
        <v>0</v>
      </c>
      <c r="R428" s="614"/>
      <c r="S428" s="630">
        <v>0</v>
      </c>
      <c r="T428" s="697"/>
      <c r="U428" s="653">
        <v>0</v>
      </c>
    </row>
    <row r="429" spans="1:21" ht="14.4" customHeight="1" x14ac:dyDescent="0.3">
      <c r="A429" s="613">
        <v>25</v>
      </c>
      <c r="B429" s="614" t="s">
        <v>1112</v>
      </c>
      <c r="C429" s="614" t="s">
        <v>1249</v>
      </c>
      <c r="D429" s="695" t="s">
        <v>1784</v>
      </c>
      <c r="E429" s="696" t="s">
        <v>1277</v>
      </c>
      <c r="F429" s="614" t="s">
        <v>1243</v>
      </c>
      <c r="G429" s="614" t="s">
        <v>1287</v>
      </c>
      <c r="H429" s="614" t="s">
        <v>770</v>
      </c>
      <c r="I429" s="614" t="s">
        <v>956</v>
      </c>
      <c r="J429" s="614" t="s">
        <v>864</v>
      </c>
      <c r="K429" s="614" t="s">
        <v>1196</v>
      </c>
      <c r="L429" s="615">
        <v>154.36000000000001</v>
      </c>
      <c r="M429" s="615">
        <v>154.36000000000001</v>
      </c>
      <c r="N429" s="614">
        <v>1</v>
      </c>
      <c r="O429" s="697">
        <v>1</v>
      </c>
      <c r="P429" s="615"/>
      <c r="Q429" s="630">
        <v>0</v>
      </c>
      <c r="R429" s="614"/>
      <c r="S429" s="630">
        <v>0</v>
      </c>
      <c r="T429" s="697"/>
      <c r="U429" s="653">
        <v>0</v>
      </c>
    </row>
    <row r="430" spans="1:21" ht="14.4" customHeight="1" x14ac:dyDescent="0.3">
      <c r="A430" s="613">
        <v>25</v>
      </c>
      <c r="B430" s="614" t="s">
        <v>1112</v>
      </c>
      <c r="C430" s="614" t="s">
        <v>1249</v>
      </c>
      <c r="D430" s="695" t="s">
        <v>1784</v>
      </c>
      <c r="E430" s="696" t="s">
        <v>1280</v>
      </c>
      <c r="F430" s="614" t="s">
        <v>1243</v>
      </c>
      <c r="G430" s="614" t="s">
        <v>1287</v>
      </c>
      <c r="H430" s="614" t="s">
        <v>770</v>
      </c>
      <c r="I430" s="614" t="s">
        <v>956</v>
      </c>
      <c r="J430" s="614" t="s">
        <v>864</v>
      </c>
      <c r="K430" s="614" t="s">
        <v>1196</v>
      </c>
      <c r="L430" s="615">
        <v>154.36000000000001</v>
      </c>
      <c r="M430" s="615">
        <v>617.44000000000005</v>
      </c>
      <c r="N430" s="614">
        <v>4</v>
      </c>
      <c r="O430" s="697">
        <v>3.5</v>
      </c>
      <c r="P430" s="615">
        <v>154.36000000000001</v>
      </c>
      <c r="Q430" s="630">
        <v>0.25</v>
      </c>
      <c r="R430" s="614">
        <v>1</v>
      </c>
      <c r="S430" s="630">
        <v>0.25</v>
      </c>
      <c r="T430" s="697">
        <v>1</v>
      </c>
      <c r="U430" s="653">
        <v>0.2857142857142857</v>
      </c>
    </row>
    <row r="431" spans="1:21" ht="14.4" customHeight="1" x14ac:dyDescent="0.3">
      <c r="A431" s="613">
        <v>25</v>
      </c>
      <c r="B431" s="614" t="s">
        <v>1112</v>
      </c>
      <c r="C431" s="614" t="s">
        <v>1249</v>
      </c>
      <c r="D431" s="695" t="s">
        <v>1784</v>
      </c>
      <c r="E431" s="696" t="s">
        <v>1280</v>
      </c>
      <c r="F431" s="614" t="s">
        <v>1243</v>
      </c>
      <c r="G431" s="614" t="s">
        <v>1287</v>
      </c>
      <c r="H431" s="614" t="s">
        <v>770</v>
      </c>
      <c r="I431" s="614" t="s">
        <v>1067</v>
      </c>
      <c r="J431" s="614" t="s">
        <v>1234</v>
      </c>
      <c r="K431" s="614" t="s">
        <v>1195</v>
      </c>
      <c r="L431" s="615">
        <v>149.52000000000001</v>
      </c>
      <c r="M431" s="615">
        <v>149.52000000000001</v>
      </c>
      <c r="N431" s="614">
        <v>1</v>
      </c>
      <c r="O431" s="697">
        <v>1</v>
      </c>
      <c r="P431" s="615">
        <v>149.52000000000001</v>
      </c>
      <c r="Q431" s="630">
        <v>1</v>
      </c>
      <c r="R431" s="614">
        <v>1</v>
      </c>
      <c r="S431" s="630">
        <v>1</v>
      </c>
      <c r="T431" s="697">
        <v>1</v>
      </c>
      <c r="U431" s="653">
        <v>1</v>
      </c>
    </row>
    <row r="432" spans="1:21" ht="14.4" customHeight="1" x14ac:dyDescent="0.3">
      <c r="A432" s="613">
        <v>25</v>
      </c>
      <c r="B432" s="614" t="s">
        <v>1112</v>
      </c>
      <c r="C432" s="614" t="s">
        <v>1249</v>
      </c>
      <c r="D432" s="695" t="s">
        <v>1784</v>
      </c>
      <c r="E432" s="696" t="s">
        <v>1280</v>
      </c>
      <c r="F432" s="614" t="s">
        <v>1243</v>
      </c>
      <c r="G432" s="614" t="s">
        <v>1292</v>
      </c>
      <c r="H432" s="614" t="s">
        <v>325</v>
      </c>
      <c r="I432" s="614" t="s">
        <v>713</v>
      </c>
      <c r="J432" s="614" t="s">
        <v>714</v>
      </c>
      <c r="K432" s="614" t="s">
        <v>1310</v>
      </c>
      <c r="L432" s="615">
        <v>48.42</v>
      </c>
      <c r="M432" s="615">
        <v>48.42</v>
      </c>
      <c r="N432" s="614">
        <v>1</v>
      </c>
      <c r="O432" s="697">
        <v>0.5</v>
      </c>
      <c r="P432" s="615"/>
      <c r="Q432" s="630">
        <v>0</v>
      </c>
      <c r="R432" s="614"/>
      <c r="S432" s="630">
        <v>0</v>
      </c>
      <c r="T432" s="697"/>
      <c r="U432" s="653">
        <v>0</v>
      </c>
    </row>
    <row r="433" spans="1:21" ht="14.4" customHeight="1" x14ac:dyDescent="0.3">
      <c r="A433" s="613">
        <v>25</v>
      </c>
      <c r="B433" s="614" t="s">
        <v>1112</v>
      </c>
      <c r="C433" s="614" t="s">
        <v>1249</v>
      </c>
      <c r="D433" s="695" t="s">
        <v>1784</v>
      </c>
      <c r="E433" s="696" t="s">
        <v>1281</v>
      </c>
      <c r="F433" s="614" t="s">
        <v>1243</v>
      </c>
      <c r="G433" s="614" t="s">
        <v>1287</v>
      </c>
      <c r="H433" s="614" t="s">
        <v>770</v>
      </c>
      <c r="I433" s="614" t="s">
        <v>1067</v>
      </c>
      <c r="J433" s="614" t="s">
        <v>1234</v>
      </c>
      <c r="K433" s="614" t="s">
        <v>1195</v>
      </c>
      <c r="L433" s="615">
        <v>149.52000000000001</v>
      </c>
      <c r="M433" s="615">
        <v>149.52000000000001</v>
      </c>
      <c r="N433" s="614">
        <v>1</v>
      </c>
      <c r="O433" s="697">
        <v>1</v>
      </c>
      <c r="P433" s="615"/>
      <c r="Q433" s="630">
        <v>0</v>
      </c>
      <c r="R433" s="614"/>
      <c r="S433" s="630">
        <v>0</v>
      </c>
      <c r="T433" s="697"/>
      <c r="U433" s="653">
        <v>0</v>
      </c>
    </row>
    <row r="434" spans="1:21" ht="14.4" customHeight="1" x14ac:dyDescent="0.3">
      <c r="A434" s="613">
        <v>25</v>
      </c>
      <c r="B434" s="614" t="s">
        <v>1112</v>
      </c>
      <c r="C434" s="614" t="s">
        <v>1249</v>
      </c>
      <c r="D434" s="695" t="s">
        <v>1784</v>
      </c>
      <c r="E434" s="696" t="s">
        <v>1281</v>
      </c>
      <c r="F434" s="614" t="s">
        <v>1243</v>
      </c>
      <c r="G434" s="614" t="s">
        <v>1287</v>
      </c>
      <c r="H434" s="614" t="s">
        <v>325</v>
      </c>
      <c r="I434" s="614" t="s">
        <v>1288</v>
      </c>
      <c r="J434" s="614" t="s">
        <v>864</v>
      </c>
      <c r="K434" s="614" t="s">
        <v>1196</v>
      </c>
      <c r="L434" s="615">
        <v>154.36000000000001</v>
      </c>
      <c r="M434" s="615">
        <v>308.72000000000003</v>
      </c>
      <c r="N434" s="614">
        <v>2</v>
      </c>
      <c r="O434" s="697">
        <v>2</v>
      </c>
      <c r="P434" s="615"/>
      <c r="Q434" s="630">
        <v>0</v>
      </c>
      <c r="R434" s="614"/>
      <c r="S434" s="630">
        <v>0</v>
      </c>
      <c r="T434" s="697"/>
      <c r="U434" s="653">
        <v>0</v>
      </c>
    </row>
    <row r="435" spans="1:21" ht="14.4" customHeight="1" x14ac:dyDescent="0.3">
      <c r="A435" s="613">
        <v>25</v>
      </c>
      <c r="B435" s="614" t="s">
        <v>1112</v>
      </c>
      <c r="C435" s="614" t="s">
        <v>1251</v>
      </c>
      <c r="D435" s="695" t="s">
        <v>1785</v>
      </c>
      <c r="E435" s="696" t="s">
        <v>1257</v>
      </c>
      <c r="F435" s="614" t="s">
        <v>1243</v>
      </c>
      <c r="G435" s="614" t="s">
        <v>1287</v>
      </c>
      <c r="H435" s="614" t="s">
        <v>770</v>
      </c>
      <c r="I435" s="614" t="s">
        <v>956</v>
      </c>
      <c r="J435" s="614" t="s">
        <v>864</v>
      </c>
      <c r="K435" s="614" t="s">
        <v>1196</v>
      </c>
      <c r="L435" s="615">
        <v>150.04</v>
      </c>
      <c r="M435" s="615">
        <v>150.04</v>
      </c>
      <c r="N435" s="614">
        <v>1</v>
      </c>
      <c r="O435" s="697">
        <v>1</v>
      </c>
      <c r="P435" s="615"/>
      <c r="Q435" s="630">
        <v>0</v>
      </c>
      <c r="R435" s="614"/>
      <c r="S435" s="630">
        <v>0</v>
      </c>
      <c r="T435" s="697"/>
      <c r="U435" s="653">
        <v>0</v>
      </c>
    </row>
    <row r="436" spans="1:21" ht="14.4" customHeight="1" x14ac:dyDescent="0.3">
      <c r="A436" s="613">
        <v>25</v>
      </c>
      <c r="B436" s="614" t="s">
        <v>1112</v>
      </c>
      <c r="C436" s="614" t="s">
        <v>1251</v>
      </c>
      <c r="D436" s="695" t="s">
        <v>1785</v>
      </c>
      <c r="E436" s="696" t="s">
        <v>1257</v>
      </c>
      <c r="F436" s="614" t="s">
        <v>1243</v>
      </c>
      <c r="G436" s="614" t="s">
        <v>1287</v>
      </c>
      <c r="H436" s="614" t="s">
        <v>770</v>
      </c>
      <c r="I436" s="614" t="s">
        <v>956</v>
      </c>
      <c r="J436" s="614" t="s">
        <v>864</v>
      </c>
      <c r="K436" s="614" t="s">
        <v>1196</v>
      </c>
      <c r="L436" s="615">
        <v>154.36000000000001</v>
      </c>
      <c r="M436" s="615">
        <v>4785.1600000000017</v>
      </c>
      <c r="N436" s="614">
        <v>31</v>
      </c>
      <c r="O436" s="697">
        <v>31</v>
      </c>
      <c r="P436" s="615">
        <v>308.72000000000003</v>
      </c>
      <c r="Q436" s="630">
        <v>6.4516129032258049E-2</v>
      </c>
      <c r="R436" s="614">
        <v>2</v>
      </c>
      <c r="S436" s="630">
        <v>6.4516129032258063E-2</v>
      </c>
      <c r="T436" s="697">
        <v>2</v>
      </c>
      <c r="U436" s="653">
        <v>6.4516129032258063E-2</v>
      </c>
    </row>
    <row r="437" spans="1:21" ht="14.4" customHeight="1" x14ac:dyDescent="0.3">
      <c r="A437" s="613">
        <v>25</v>
      </c>
      <c r="B437" s="614" t="s">
        <v>1112</v>
      </c>
      <c r="C437" s="614" t="s">
        <v>1251</v>
      </c>
      <c r="D437" s="695" t="s">
        <v>1785</v>
      </c>
      <c r="E437" s="696" t="s">
        <v>1257</v>
      </c>
      <c r="F437" s="614" t="s">
        <v>1243</v>
      </c>
      <c r="G437" s="614" t="s">
        <v>1287</v>
      </c>
      <c r="H437" s="614" t="s">
        <v>770</v>
      </c>
      <c r="I437" s="614" t="s">
        <v>1519</v>
      </c>
      <c r="J437" s="614" t="s">
        <v>1520</v>
      </c>
      <c r="K437" s="614" t="s">
        <v>1521</v>
      </c>
      <c r="L437" s="615">
        <v>75.73</v>
      </c>
      <c r="M437" s="615">
        <v>227.19</v>
      </c>
      <c r="N437" s="614">
        <v>3</v>
      </c>
      <c r="O437" s="697">
        <v>3</v>
      </c>
      <c r="P437" s="615"/>
      <c r="Q437" s="630">
        <v>0</v>
      </c>
      <c r="R437" s="614"/>
      <c r="S437" s="630">
        <v>0</v>
      </c>
      <c r="T437" s="697"/>
      <c r="U437" s="653">
        <v>0</v>
      </c>
    </row>
    <row r="438" spans="1:21" ht="14.4" customHeight="1" x14ac:dyDescent="0.3">
      <c r="A438" s="613">
        <v>25</v>
      </c>
      <c r="B438" s="614" t="s">
        <v>1112</v>
      </c>
      <c r="C438" s="614" t="s">
        <v>1251</v>
      </c>
      <c r="D438" s="695" t="s">
        <v>1785</v>
      </c>
      <c r="E438" s="696" t="s">
        <v>1257</v>
      </c>
      <c r="F438" s="614" t="s">
        <v>1243</v>
      </c>
      <c r="G438" s="614" t="s">
        <v>1291</v>
      </c>
      <c r="H438" s="614" t="s">
        <v>325</v>
      </c>
      <c r="I438" s="614" t="s">
        <v>930</v>
      </c>
      <c r="J438" s="614" t="s">
        <v>931</v>
      </c>
      <c r="K438" s="614" t="s">
        <v>932</v>
      </c>
      <c r="L438" s="615">
        <v>147.31</v>
      </c>
      <c r="M438" s="615">
        <v>441.93</v>
      </c>
      <c r="N438" s="614">
        <v>3</v>
      </c>
      <c r="O438" s="697">
        <v>3</v>
      </c>
      <c r="P438" s="615"/>
      <c r="Q438" s="630">
        <v>0</v>
      </c>
      <c r="R438" s="614"/>
      <c r="S438" s="630">
        <v>0</v>
      </c>
      <c r="T438" s="697"/>
      <c r="U438" s="653">
        <v>0</v>
      </c>
    </row>
    <row r="439" spans="1:21" ht="14.4" customHeight="1" x14ac:dyDescent="0.3">
      <c r="A439" s="613">
        <v>25</v>
      </c>
      <c r="B439" s="614" t="s">
        <v>1112</v>
      </c>
      <c r="C439" s="614" t="s">
        <v>1251</v>
      </c>
      <c r="D439" s="695" t="s">
        <v>1785</v>
      </c>
      <c r="E439" s="696" t="s">
        <v>1257</v>
      </c>
      <c r="F439" s="614" t="s">
        <v>1243</v>
      </c>
      <c r="G439" s="614" t="s">
        <v>1291</v>
      </c>
      <c r="H439" s="614" t="s">
        <v>325</v>
      </c>
      <c r="I439" s="614" t="s">
        <v>1320</v>
      </c>
      <c r="J439" s="614" t="s">
        <v>931</v>
      </c>
      <c r="K439" s="614" t="s">
        <v>932</v>
      </c>
      <c r="L439" s="615">
        <v>147.31</v>
      </c>
      <c r="M439" s="615">
        <v>294.62</v>
      </c>
      <c r="N439" s="614">
        <v>2</v>
      </c>
      <c r="O439" s="697">
        <v>2</v>
      </c>
      <c r="P439" s="615"/>
      <c r="Q439" s="630">
        <v>0</v>
      </c>
      <c r="R439" s="614"/>
      <c r="S439" s="630">
        <v>0</v>
      </c>
      <c r="T439" s="697"/>
      <c r="U439" s="653">
        <v>0</v>
      </c>
    </row>
    <row r="440" spans="1:21" ht="14.4" customHeight="1" x14ac:dyDescent="0.3">
      <c r="A440" s="613">
        <v>25</v>
      </c>
      <c r="B440" s="614" t="s">
        <v>1112</v>
      </c>
      <c r="C440" s="614" t="s">
        <v>1251</v>
      </c>
      <c r="D440" s="695" t="s">
        <v>1785</v>
      </c>
      <c r="E440" s="696" t="s">
        <v>1258</v>
      </c>
      <c r="F440" s="614" t="s">
        <v>1243</v>
      </c>
      <c r="G440" s="614" t="s">
        <v>1287</v>
      </c>
      <c r="H440" s="614" t="s">
        <v>770</v>
      </c>
      <c r="I440" s="614" t="s">
        <v>956</v>
      </c>
      <c r="J440" s="614" t="s">
        <v>864</v>
      </c>
      <c r="K440" s="614" t="s">
        <v>1196</v>
      </c>
      <c r="L440" s="615">
        <v>150.04</v>
      </c>
      <c r="M440" s="615">
        <v>750.19999999999993</v>
      </c>
      <c r="N440" s="614">
        <v>5</v>
      </c>
      <c r="O440" s="697">
        <v>5</v>
      </c>
      <c r="P440" s="615"/>
      <c r="Q440" s="630">
        <v>0</v>
      </c>
      <c r="R440" s="614"/>
      <c r="S440" s="630">
        <v>0</v>
      </c>
      <c r="T440" s="697"/>
      <c r="U440" s="653">
        <v>0</v>
      </c>
    </row>
    <row r="441" spans="1:21" ht="14.4" customHeight="1" x14ac:dyDescent="0.3">
      <c r="A441" s="613">
        <v>25</v>
      </c>
      <c r="B441" s="614" t="s">
        <v>1112</v>
      </c>
      <c r="C441" s="614" t="s">
        <v>1251</v>
      </c>
      <c r="D441" s="695" t="s">
        <v>1785</v>
      </c>
      <c r="E441" s="696" t="s">
        <v>1258</v>
      </c>
      <c r="F441" s="614" t="s">
        <v>1243</v>
      </c>
      <c r="G441" s="614" t="s">
        <v>1287</v>
      </c>
      <c r="H441" s="614" t="s">
        <v>770</v>
      </c>
      <c r="I441" s="614" t="s">
        <v>956</v>
      </c>
      <c r="J441" s="614" t="s">
        <v>864</v>
      </c>
      <c r="K441" s="614" t="s">
        <v>1196</v>
      </c>
      <c r="L441" s="615">
        <v>154.36000000000001</v>
      </c>
      <c r="M441" s="615">
        <v>2161.0400000000009</v>
      </c>
      <c r="N441" s="614">
        <v>14</v>
      </c>
      <c r="O441" s="697">
        <v>12.5</v>
      </c>
      <c r="P441" s="615">
        <v>154.36000000000001</v>
      </c>
      <c r="Q441" s="630">
        <v>7.1428571428571411E-2</v>
      </c>
      <c r="R441" s="614">
        <v>1</v>
      </c>
      <c r="S441" s="630">
        <v>7.1428571428571425E-2</v>
      </c>
      <c r="T441" s="697">
        <v>0.5</v>
      </c>
      <c r="U441" s="653">
        <v>0.04</v>
      </c>
    </row>
    <row r="442" spans="1:21" ht="14.4" customHeight="1" x14ac:dyDescent="0.3">
      <c r="A442" s="613">
        <v>25</v>
      </c>
      <c r="B442" s="614" t="s">
        <v>1112</v>
      </c>
      <c r="C442" s="614" t="s">
        <v>1251</v>
      </c>
      <c r="D442" s="695" t="s">
        <v>1785</v>
      </c>
      <c r="E442" s="696" t="s">
        <v>1258</v>
      </c>
      <c r="F442" s="614" t="s">
        <v>1243</v>
      </c>
      <c r="G442" s="614" t="s">
        <v>1292</v>
      </c>
      <c r="H442" s="614" t="s">
        <v>325</v>
      </c>
      <c r="I442" s="614" t="s">
        <v>1298</v>
      </c>
      <c r="J442" s="614" t="s">
        <v>714</v>
      </c>
      <c r="K442" s="614" t="s">
        <v>1299</v>
      </c>
      <c r="L442" s="615">
        <v>24.22</v>
      </c>
      <c r="M442" s="615">
        <v>72.66</v>
      </c>
      <c r="N442" s="614">
        <v>3</v>
      </c>
      <c r="O442" s="697">
        <v>1.5</v>
      </c>
      <c r="P442" s="615">
        <v>24.22</v>
      </c>
      <c r="Q442" s="630">
        <v>0.33333333333333331</v>
      </c>
      <c r="R442" s="614">
        <v>1</v>
      </c>
      <c r="S442" s="630">
        <v>0.33333333333333331</v>
      </c>
      <c r="T442" s="697">
        <v>0.5</v>
      </c>
      <c r="U442" s="653">
        <v>0.33333333333333331</v>
      </c>
    </row>
    <row r="443" spans="1:21" ht="14.4" customHeight="1" x14ac:dyDescent="0.3">
      <c r="A443" s="613">
        <v>25</v>
      </c>
      <c r="B443" s="614" t="s">
        <v>1112</v>
      </c>
      <c r="C443" s="614" t="s">
        <v>1251</v>
      </c>
      <c r="D443" s="695" t="s">
        <v>1785</v>
      </c>
      <c r="E443" s="696" t="s">
        <v>1258</v>
      </c>
      <c r="F443" s="614" t="s">
        <v>1243</v>
      </c>
      <c r="G443" s="614" t="s">
        <v>1743</v>
      </c>
      <c r="H443" s="614" t="s">
        <v>325</v>
      </c>
      <c r="I443" s="614" t="s">
        <v>724</v>
      </c>
      <c r="J443" s="614" t="s">
        <v>1744</v>
      </c>
      <c r="K443" s="614" t="s">
        <v>1745</v>
      </c>
      <c r="L443" s="615">
        <v>0</v>
      </c>
      <c r="M443" s="615">
        <v>0</v>
      </c>
      <c r="N443" s="614">
        <v>1</v>
      </c>
      <c r="O443" s="697">
        <v>1</v>
      </c>
      <c r="P443" s="615"/>
      <c r="Q443" s="630"/>
      <c r="R443" s="614"/>
      <c r="S443" s="630">
        <v>0</v>
      </c>
      <c r="T443" s="697"/>
      <c r="U443" s="653">
        <v>0</v>
      </c>
    </row>
    <row r="444" spans="1:21" ht="14.4" customHeight="1" x14ac:dyDescent="0.3">
      <c r="A444" s="613">
        <v>25</v>
      </c>
      <c r="B444" s="614" t="s">
        <v>1112</v>
      </c>
      <c r="C444" s="614" t="s">
        <v>1251</v>
      </c>
      <c r="D444" s="695" t="s">
        <v>1785</v>
      </c>
      <c r="E444" s="696" t="s">
        <v>1259</v>
      </c>
      <c r="F444" s="614" t="s">
        <v>1243</v>
      </c>
      <c r="G444" s="614" t="s">
        <v>1287</v>
      </c>
      <c r="H444" s="614" t="s">
        <v>770</v>
      </c>
      <c r="I444" s="614" t="s">
        <v>956</v>
      </c>
      <c r="J444" s="614" t="s">
        <v>864</v>
      </c>
      <c r="K444" s="614" t="s">
        <v>1196</v>
      </c>
      <c r="L444" s="615">
        <v>150.04</v>
      </c>
      <c r="M444" s="615">
        <v>750.19999999999993</v>
      </c>
      <c r="N444" s="614">
        <v>5</v>
      </c>
      <c r="O444" s="697"/>
      <c r="P444" s="615"/>
      <c r="Q444" s="630">
        <v>0</v>
      </c>
      <c r="R444" s="614"/>
      <c r="S444" s="630">
        <v>0</v>
      </c>
      <c r="T444" s="697"/>
      <c r="U444" s="653"/>
    </row>
    <row r="445" spans="1:21" ht="14.4" customHeight="1" x14ac:dyDescent="0.3">
      <c r="A445" s="613">
        <v>25</v>
      </c>
      <c r="B445" s="614" t="s">
        <v>1112</v>
      </c>
      <c r="C445" s="614" t="s">
        <v>1251</v>
      </c>
      <c r="D445" s="695" t="s">
        <v>1785</v>
      </c>
      <c r="E445" s="696" t="s">
        <v>1259</v>
      </c>
      <c r="F445" s="614" t="s">
        <v>1243</v>
      </c>
      <c r="G445" s="614" t="s">
        <v>1287</v>
      </c>
      <c r="H445" s="614" t="s">
        <v>770</v>
      </c>
      <c r="I445" s="614" t="s">
        <v>956</v>
      </c>
      <c r="J445" s="614" t="s">
        <v>864</v>
      </c>
      <c r="K445" s="614" t="s">
        <v>1196</v>
      </c>
      <c r="L445" s="615">
        <v>154.36000000000001</v>
      </c>
      <c r="M445" s="615">
        <v>926.16000000000008</v>
      </c>
      <c r="N445" s="614">
        <v>6</v>
      </c>
      <c r="O445" s="697"/>
      <c r="P445" s="615">
        <v>154.36000000000001</v>
      </c>
      <c r="Q445" s="630">
        <v>0.16666666666666666</v>
      </c>
      <c r="R445" s="614">
        <v>1</v>
      </c>
      <c r="S445" s="630">
        <v>0.16666666666666666</v>
      </c>
      <c r="T445" s="697"/>
      <c r="U445" s="653"/>
    </row>
    <row r="446" spans="1:21" ht="14.4" customHeight="1" x14ac:dyDescent="0.3">
      <c r="A446" s="613">
        <v>25</v>
      </c>
      <c r="B446" s="614" t="s">
        <v>1112</v>
      </c>
      <c r="C446" s="614" t="s">
        <v>1251</v>
      </c>
      <c r="D446" s="695" t="s">
        <v>1785</v>
      </c>
      <c r="E446" s="696" t="s">
        <v>1259</v>
      </c>
      <c r="F446" s="614" t="s">
        <v>1243</v>
      </c>
      <c r="G446" s="614" t="s">
        <v>1291</v>
      </c>
      <c r="H446" s="614" t="s">
        <v>325</v>
      </c>
      <c r="I446" s="614" t="s">
        <v>930</v>
      </c>
      <c r="J446" s="614" t="s">
        <v>931</v>
      </c>
      <c r="K446" s="614" t="s">
        <v>932</v>
      </c>
      <c r="L446" s="615">
        <v>147.31</v>
      </c>
      <c r="M446" s="615">
        <v>147.31</v>
      </c>
      <c r="N446" s="614">
        <v>1</v>
      </c>
      <c r="O446" s="697"/>
      <c r="P446" s="615"/>
      <c r="Q446" s="630">
        <v>0</v>
      </c>
      <c r="R446" s="614"/>
      <c r="S446" s="630">
        <v>0</v>
      </c>
      <c r="T446" s="697"/>
      <c r="U446" s="653"/>
    </row>
    <row r="447" spans="1:21" ht="14.4" customHeight="1" x14ac:dyDescent="0.3">
      <c r="A447" s="613">
        <v>25</v>
      </c>
      <c r="B447" s="614" t="s">
        <v>1112</v>
      </c>
      <c r="C447" s="614" t="s">
        <v>1251</v>
      </c>
      <c r="D447" s="695" t="s">
        <v>1785</v>
      </c>
      <c r="E447" s="696" t="s">
        <v>1260</v>
      </c>
      <c r="F447" s="614" t="s">
        <v>1243</v>
      </c>
      <c r="G447" s="614" t="s">
        <v>1765</v>
      </c>
      <c r="H447" s="614" t="s">
        <v>325</v>
      </c>
      <c r="I447" s="614" t="s">
        <v>1766</v>
      </c>
      <c r="J447" s="614" t="s">
        <v>1767</v>
      </c>
      <c r="K447" s="614" t="s">
        <v>1768</v>
      </c>
      <c r="L447" s="615">
        <v>51.87</v>
      </c>
      <c r="M447" s="615">
        <v>51.87</v>
      </c>
      <c r="N447" s="614">
        <v>1</v>
      </c>
      <c r="O447" s="697">
        <v>1</v>
      </c>
      <c r="P447" s="615"/>
      <c r="Q447" s="630">
        <v>0</v>
      </c>
      <c r="R447" s="614"/>
      <c r="S447" s="630">
        <v>0</v>
      </c>
      <c r="T447" s="697"/>
      <c r="U447" s="653">
        <v>0</v>
      </c>
    </row>
    <row r="448" spans="1:21" ht="14.4" customHeight="1" x14ac:dyDescent="0.3">
      <c r="A448" s="613">
        <v>25</v>
      </c>
      <c r="B448" s="614" t="s">
        <v>1112</v>
      </c>
      <c r="C448" s="614" t="s">
        <v>1251</v>
      </c>
      <c r="D448" s="695" t="s">
        <v>1785</v>
      </c>
      <c r="E448" s="696" t="s">
        <v>1260</v>
      </c>
      <c r="F448" s="614" t="s">
        <v>1243</v>
      </c>
      <c r="G448" s="614" t="s">
        <v>1287</v>
      </c>
      <c r="H448" s="614" t="s">
        <v>325</v>
      </c>
      <c r="I448" s="614" t="s">
        <v>1329</v>
      </c>
      <c r="J448" s="614" t="s">
        <v>1330</v>
      </c>
      <c r="K448" s="614" t="s">
        <v>1331</v>
      </c>
      <c r="L448" s="615">
        <v>154.36000000000001</v>
      </c>
      <c r="M448" s="615">
        <v>154.36000000000001</v>
      </c>
      <c r="N448" s="614">
        <v>1</v>
      </c>
      <c r="O448" s="697">
        <v>1</v>
      </c>
      <c r="P448" s="615"/>
      <c r="Q448" s="630">
        <v>0</v>
      </c>
      <c r="R448" s="614"/>
      <c r="S448" s="630">
        <v>0</v>
      </c>
      <c r="T448" s="697"/>
      <c r="U448" s="653">
        <v>0</v>
      </c>
    </row>
    <row r="449" spans="1:21" ht="14.4" customHeight="1" x14ac:dyDescent="0.3">
      <c r="A449" s="613">
        <v>25</v>
      </c>
      <c r="B449" s="614" t="s">
        <v>1112</v>
      </c>
      <c r="C449" s="614" t="s">
        <v>1251</v>
      </c>
      <c r="D449" s="695" t="s">
        <v>1785</v>
      </c>
      <c r="E449" s="696" t="s">
        <v>1260</v>
      </c>
      <c r="F449" s="614" t="s">
        <v>1243</v>
      </c>
      <c r="G449" s="614" t="s">
        <v>1287</v>
      </c>
      <c r="H449" s="614" t="s">
        <v>770</v>
      </c>
      <c r="I449" s="614" t="s">
        <v>956</v>
      </c>
      <c r="J449" s="614" t="s">
        <v>864</v>
      </c>
      <c r="K449" s="614" t="s">
        <v>1196</v>
      </c>
      <c r="L449" s="615">
        <v>150.04</v>
      </c>
      <c r="M449" s="615">
        <v>1200.32</v>
      </c>
      <c r="N449" s="614">
        <v>8</v>
      </c>
      <c r="O449" s="697">
        <v>8</v>
      </c>
      <c r="P449" s="615"/>
      <c r="Q449" s="630">
        <v>0</v>
      </c>
      <c r="R449" s="614"/>
      <c r="S449" s="630">
        <v>0</v>
      </c>
      <c r="T449" s="697"/>
      <c r="U449" s="653">
        <v>0</v>
      </c>
    </row>
    <row r="450" spans="1:21" ht="14.4" customHeight="1" x14ac:dyDescent="0.3">
      <c r="A450" s="613">
        <v>25</v>
      </c>
      <c r="B450" s="614" t="s">
        <v>1112</v>
      </c>
      <c r="C450" s="614" t="s">
        <v>1251</v>
      </c>
      <c r="D450" s="695" t="s">
        <v>1785</v>
      </c>
      <c r="E450" s="696" t="s">
        <v>1260</v>
      </c>
      <c r="F450" s="614" t="s">
        <v>1243</v>
      </c>
      <c r="G450" s="614" t="s">
        <v>1287</v>
      </c>
      <c r="H450" s="614" t="s">
        <v>770</v>
      </c>
      <c r="I450" s="614" t="s">
        <v>956</v>
      </c>
      <c r="J450" s="614" t="s">
        <v>864</v>
      </c>
      <c r="K450" s="614" t="s">
        <v>1196</v>
      </c>
      <c r="L450" s="615">
        <v>154.36000000000001</v>
      </c>
      <c r="M450" s="615">
        <v>3241.5600000000013</v>
      </c>
      <c r="N450" s="614">
        <v>21</v>
      </c>
      <c r="O450" s="697">
        <v>18.5</v>
      </c>
      <c r="P450" s="615">
        <v>771.80000000000007</v>
      </c>
      <c r="Q450" s="630">
        <v>0.23809523809523803</v>
      </c>
      <c r="R450" s="614">
        <v>5</v>
      </c>
      <c r="S450" s="630">
        <v>0.23809523809523808</v>
      </c>
      <c r="T450" s="697">
        <v>5</v>
      </c>
      <c r="U450" s="653">
        <v>0.27027027027027029</v>
      </c>
    </row>
    <row r="451" spans="1:21" ht="14.4" customHeight="1" x14ac:dyDescent="0.3">
      <c r="A451" s="613">
        <v>25</v>
      </c>
      <c r="B451" s="614" t="s">
        <v>1112</v>
      </c>
      <c r="C451" s="614" t="s">
        <v>1251</v>
      </c>
      <c r="D451" s="695" t="s">
        <v>1785</v>
      </c>
      <c r="E451" s="696" t="s">
        <v>1260</v>
      </c>
      <c r="F451" s="614" t="s">
        <v>1243</v>
      </c>
      <c r="G451" s="614" t="s">
        <v>1287</v>
      </c>
      <c r="H451" s="614" t="s">
        <v>770</v>
      </c>
      <c r="I451" s="614" t="s">
        <v>1519</v>
      </c>
      <c r="J451" s="614" t="s">
        <v>1520</v>
      </c>
      <c r="K451" s="614" t="s">
        <v>1521</v>
      </c>
      <c r="L451" s="615">
        <v>95.36</v>
      </c>
      <c r="M451" s="615">
        <v>190.72</v>
      </c>
      <c r="N451" s="614">
        <v>2</v>
      </c>
      <c r="O451" s="697">
        <v>2</v>
      </c>
      <c r="P451" s="615"/>
      <c r="Q451" s="630">
        <v>0</v>
      </c>
      <c r="R451" s="614"/>
      <c r="S451" s="630">
        <v>0</v>
      </c>
      <c r="T451" s="697"/>
      <c r="U451" s="653">
        <v>0</v>
      </c>
    </row>
    <row r="452" spans="1:21" ht="14.4" customHeight="1" x14ac:dyDescent="0.3">
      <c r="A452" s="613">
        <v>25</v>
      </c>
      <c r="B452" s="614" t="s">
        <v>1112</v>
      </c>
      <c r="C452" s="614" t="s">
        <v>1251</v>
      </c>
      <c r="D452" s="695" t="s">
        <v>1785</v>
      </c>
      <c r="E452" s="696" t="s">
        <v>1260</v>
      </c>
      <c r="F452" s="614" t="s">
        <v>1243</v>
      </c>
      <c r="G452" s="614" t="s">
        <v>1287</v>
      </c>
      <c r="H452" s="614" t="s">
        <v>770</v>
      </c>
      <c r="I452" s="614" t="s">
        <v>1519</v>
      </c>
      <c r="J452" s="614" t="s">
        <v>1520</v>
      </c>
      <c r="K452" s="614" t="s">
        <v>1521</v>
      </c>
      <c r="L452" s="615">
        <v>75.73</v>
      </c>
      <c r="M452" s="615">
        <v>75.73</v>
      </c>
      <c r="N452" s="614">
        <v>1</v>
      </c>
      <c r="O452" s="697">
        <v>1</v>
      </c>
      <c r="P452" s="615"/>
      <c r="Q452" s="630">
        <v>0</v>
      </c>
      <c r="R452" s="614"/>
      <c r="S452" s="630">
        <v>0</v>
      </c>
      <c r="T452" s="697"/>
      <c r="U452" s="653">
        <v>0</v>
      </c>
    </row>
    <row r="453" spans="1:21" ht="14.4" customHeight="1" x14ac:dyDescent="0.3">
      <c r="A453" s="613">
        <v>25</v>
      </c>
      <c r="B453" s="614" t="s">
        <v>1112</v>
      </c>
      <c r="C453" s="614" t="s">
        <v>1251</v>
      </c>
      <c r="D453" s="695" t="s">
        <v>1785</v>
      </c>
      <c r="E453" s="696" t="s">
        <v>1260</v>
      </c>
      <c r="F453" s="614" t="s">
        <v>1243</v>
      </c>
      <c r="G453" s="614" t="s">
        <v>1446</v>
      </c>
      <c r="H453" s="614" t="s">
        <v>325</v>
      </c>
      <c r="I453" s="614" t="s">
        <v>1769</v>
      </c>
      <c r="J453" s="614" t="s">
        <v>1448</v>
      </c>
      <c r="K453" s="614" t="s">
        <v>1770</v>
      </c>
      <c r="L453" s="615">
        <v>0</v>
      </c>
      <c r="M453" s="615">
        <v>0</v>
      </c>
      <c r="N453" s="614">
        <v>1</v>
      </c>
      <c r="O453" s="697">
        <v>1</v>
      </c>
      <c r="P453" s="615"/>
      <c r="Q453" s="630"/>
      <c r="R453" s="614"/>
      <c r="S453" s="630">
        <v>0</v>
      </c>
      <c r="T453" s="697"/>
      <c r="U453" s="653">
        <v>0</v>
      </c>
    </row>
    <row r="454" spans="1:21" ht="14.4" customHeight="1" x14ac:dyDescent="0.3">
      <c r="A454" s="613">
        <v>25</v>
      </c>
      <c r="B454" s="614" t="s">
        <v>1112</v>
      </c>
      <c r="C454" s="614" t="s">
        <v>1251</v>
      </c>
      <c r="D454" s="695" t="s">
        <v>1785</v>
      </c>
      <c r="E454" s="696" t="s">
        <v>1260</v>
      </c>
      <c r="F454" s="614" t="s">
        <v>1243</v>
      </c>
      <c r="G454" s="614" t="s">
        <v>1291</v>
      </c>
      <c r="H454" s="614" t="s">
        <v>325</v>
      </c>
      <c r="I454" s="614" t="s">
        <v>930</v>
      </c>
      <c r="J454" s="614" t="s">
        <v>931</v>
      </c>
      <c r="K454" s="614" t="s">
        <v>932</v>
      </c>
      <c r="L454" s="615">
        <v>147.31</v>
      </c>
      <c r="M454" s="615">
        <v>1178.4799999999998</v>
      </c>
      <c r="N454" s="614">
        <v>8</v>
      </c>
      <c r="O454" s="697">
        <v>7.5</v>
      </c>
      <c r="P454" s="615">
        <v>147.31</v>
      </c>
      <c r="Q454" s="630">
        <v>0.12500000000000003</v>
      </c>
      <c r="R454" s="614">
        <v>1</v>
      </c>
      <c r="S454" s="630">
        <v>0.125</v>
      </c>
      <c r="T454" s="697">
        <v>1</v>
      </c>
      <c r="U454" s="653">
        <v>0.13333333333333333</v>
      </c>
    </row>
    <row r="455" spans="1:21" ht="14.4" customHeight="1" x14ac:dyDescent="0.3">
      <c r="A455" s="613">
        <v>25</v>
      </c>
      <c r="B455" s="614" t="s">
        <v>1112</v>
      </c>
      <c r="C455" s="614" t="s">
        <v>1251</v>
      </c>
      <c r="D455" s="695" t="s">
        <v>1785</v>
      </c>
      <c r="E455" s="696" t="s">
        <v>1260</v>
      </c>
      <c r="F455" s="614" t="s">
        <v>1243</v>
      </c>
      <c r="G455" s="614" t="s">
        <v>1292</v>
      </c>
      <c r="H455" s="614" t="s">
        <v>770</v>
      </c>
      <c r="I455" s="614" t="s">
        <v>1307</v>
      </c>
      <c r="J455" s="614" t="s">
        <v>714</v>
      </c>
      <c r="K455" s="614" t="s">
        <v>1308</v>
      </c>
      <c r="L455" s="615">
        <v>24.22</v>
      </c>
      <c r="M455" s="615">
        <v>96.88</v>
      </c>
      <c r="N455" s="614">
        <v>4</v>
      </c>
      <c r="O455" s="697">
        <v>2.5</v>
      </c>
      <c r="P455" s="615"/>
      <c r="Q455" s="630">
        <v>0</v>
      </c>
      <c r="R455" s="614"/>
      <c r="S455" s="630">
        <v>0</v>
      </c>
      <c r="T455" s="697"/>
      <c r="U455" s="653">
        <v>0</v>
      </c>
    </row>
    <row r="456" spans="1:21" ht="14.4" customHeight="1" x14ac:dyDescent="0.3">
      <c r="A456" s="613">
        <v>25</v>
      </c>
      <c r="B456" s="614" t="s">
        <v>1112</v>
      </c>
      <c r="C456" s="614" t="s">
        <v>1251</v>
      </c>
      <c r="D456" s="695" t="s">
        <v>1785</v>
      </c>
      <c r="E456" s="696" t="s">
        <v>1260</v>
      </c>
      <c r="F456" s="614" t="s">
        <v>1243</v>
      </c>
      <c r="G456" s="614" t="s">
        <v>1292</v>
      </c>
      <c r="H456" s="614" t="s">
        <v>325</v>
      </c>
      <c r="I456" s="614" t="s">
        <v>1298</v>
      </c>
      <c r="J456" s="614" t="s">
        <v>714</v>
      </c>
      <c r="K456" s="614" t="s">
        <v>1299</v>
      </c>
      <c r="L456" s="615">
        <v>24.22</v>
      </c>
      <c r="M456" s="615">
        <v>24.22</v>
      </c>
      <c r="N456" s="614">
        <v>1</v>
      </c>
      <c r="O456" s="697">
        <v>0.5</v>
      </c>
      <c r="P456" s="615"/>
      <c r="Q456" s="630">
        <v>0</v>
      </c>
      <c r="R456" s="614"/>
      <c r="S456" s="630">
        <v>0</v>
      </c>
      <c r="T456" s="697"/>
      <c r="U456" s="653">
        <v>0</v>
      </c>
    </row>
    <row r="457" spans="1:21" ht="14.4" customHeight="1" x14ac:dyDescent="0.3">
      <c r="A457" s="613">
        <v>25</v>
      </c>
      <c r="B457" s="614" t="s">
        <v>1112</v>
      </c>
      <c r="C457" s="614" t="s">
        <v>1251</v>
      </c>
      <c r="D457" s="695" t="s">
        <v>1785</v>
      </c>
      <c r="E457" s="696" t="s">
        <v>1260</v>
      </c>
      <c r="F457" s="614" t="s">
        <v>1243</v>
      </c>
      <c r="G457" s="614" t="s">
        <v>1423</v>
      </c>
      <c r="H457" s="614" t="s">
        <v>770</v>
      </c>
      <c r="I457" s="614" t="s">
        <v>1424</v>
      </c>
      <c r="J457" s="614" t="s">
        <v>1425</v>
      </c>
      <c r="K457" s="614" t="s">
        <v>1426</v>
      </c>
      <c r="L457" s="615">
        <v>246.39</v>
      </c>
      <c r="M457" s="615">
        <v>492.78</v>
      </c>
      <c r="N457" s="614">
        <v>2</v>
      </c>
      <c r="O457" s="697">
        <v>1</v>
      </c>
      <c r="P457" s="615"/>
      <c r="Q457" s="630">
        <v>0</v>
      </c>
      <c r="R457" s="614"/>
      <c r="S457" s="630">
        <v>0</v>
      </c>
      <c r="T457" s="697"/>
      <c r="U457" s="653">
        <v>0</v>
      </c>
    </row>
    <row r="458" spans="1:21" ht="14.4" customHeight="1" x14ac:dyDescent="0.3">
      <c r="A458" s="613">
        <v>25</v>
      </c>
      <c r="B458" s="614" t="s">
        <v>1112</v>
      </c>
      <c r="C458" s="614" t="s">
        <v>1251</v>
      </c>
      <c r="D458" s="695" t="s">
        <v>1785</v>
      </c>
      <c r="E458" s="696" t="s">
        <v>1261</v>
      </c>
      <c r="F458" s="614" t="s">
        <v>1243</v>
      </c>
      <c r="G458" s="614" t="s">
        <v>1287</v>
      </c>
      <c r="H458" s="614" t="s">
        <v>770</v>
      </c>
      <c r="I458" s="614" t="s">
        <v>956</v>
      </c>
      <c r="J458" s="614" t="s">
        <v>864</v>
      </c>
      <c r="K458" s="614" t="s">
        <v>1196</v>
      </c>
      <c r="L458" s="615">
        <v>154.36000000000001</v>
      </c>
      <c r="M458" s="615">
        <v>771.80000000000007</v>
      </c>
      <c r="N458" s="614">
        <v>5</v>
      </c>
      <c r="O458" s="697">
        <v>5</v>
      </c>
      <c r="P458" s="615"/>
      <c r="Q458" s="630">
        <v>0</v>
      </c>
      <c r="R458" s="614"/>
      <c r="S458" s="630">
        <v>0</v>
      </c>
      <c r="T458" s="697"/>
      <c r="U458" s="653">
        <v>0</v>
      </c>
    </row>
    <row r="459" spans="1:21" ht="14.4" customHeight="1" x14ac:dyDescent="0.3">
      <c r="A459" s="613">
        <v>25</v>
      </c>
      <c r="B459" s="614" t="s">
        <v>1112</v>
      </c>
      <c r="C459" s="614" t="s">
        <v>1251</v>
      </c>
      <c r="D459" s="695" t="s">
        <v>1785</v>
      </c>
      <c r="E459" s="696" t="s">
        <v>1261</v>
      </c>
      <c r="F459" s="614" t="s">
        <v>1243</v>
      </c>
      <c r="G459" s="614" t="s">
        <v>1287</v>
      </c>
      <c r="H459" s="614" t="s">
        <v>325</v>
      </c>
      <c r="I459" s="614" t="s">
        <v>1288</v>
      </c>
      <c r="J459" s="614" t="s">
        <v>864</v>
      </c>
      <c r="K459" s="614" t="s">
        <v>1196</v>
      </c>
      <c r="L459" s="615">
        <v>154.36000000000001</v>
      </c>
      <c r="M459" s="615">
        <v>154.36000000000001</v>
      </c>
      <c r="N459" s="614">
        <v>1</v>
      </c>
      <c r="O459" s="697">
        <v>1</v>
      </c>
      <c r="P459" s="615"/>
      <c r="Q459" s="630">
        <v>0</v>
      </c>
      <c r="R459" s="614"/>
      <c r="S459" s="630">
        <v>0</v>
      </c>
      <c r="T459" s="697"/>
      <c r="U459" s="653">
        <v>0</v>
      </c>
    </row>
    <row r="460" spans="1:21" ht="14.4" customHeight="1" x14ac:dyDescent="0.3">
      <c r="A460" s="613">
        <v>25</v>
      </c>
      <c r="B460" s="614" t="s">
        <v>1112</v>
      </c>
      <c r="C460" s="614" t="s">
        <v>1251</v>
      </c>
      <c r="D460" s="695" t="s">
        <v>1785</v>
      </c>
      <c r="E460" s="696" t="s">
        <v>1261</v>
      </c>
      <c r="F460" s="614" t="s">
        <v>1243</v>
      </c>
      <c r="G460" s="614" t="s">
        <v>1292</v>
      </c>
      <c r="H460" s="614" t="s">
        <v>770</v>
      </c>
      <c r="I460" s="614" t="s">
        <v>776</v>
      </c>
      <c r="J460" s="614" t="s">
        <v>714</v>
      </c>
      <c r="K460" s="614" t="s">
        <v>1219</v>
      </c>
      <c r="L460" s="615">
        <v>48.42</v>
      </c>
      <c r="M460" s="615">
        <v>48.42</v>
      </c>
      <c r="N460" s="614">
        <v>1</v>
      </c>
      <c r="O460" s="697">
        <v>1</v>
      </c>
      <c r="P460" s="615"/>
      <c r="Q460" s="630">
        <v>0</v>
      </c>
      <c r="R460" s="614"/>
      <c r="S460" s="630">
        <v>0</v>
      </c>
      <c r="T460" s="697"/>
      <c r="U460" s="653">
        <v>0</v>
      </c>
    </row>
    <row r="461" spans="1:21" ht="14.4" customHeight="1" x14ac:dyDescent="0.3">
      <c r="A461" s="613">
        <v>25</v>
      </c>
      <c r="B461" s="614" t="s">
        <v>1112</v>
      </c>
      <c r="C461" s="614" t="s">
        <v>1251</v>
      </c>
      <c r="D461" s="695" t="s">
        <v>1785</v>
      </c>
      <c r="E461" s="696" t="s">
        <v>1262</v>
      </c>
      <c r="F461" s="614" t="s">
        <v>1243</v>
      </c>
      <c r="G461" s="614" t="s">
        <v>1287</v>
      </c>
      <c r="H461" s="614" t="s">
        <v>770</v>
      </c>
      <c r="I461" s="614" t="s">
        <v>956</v>
      </c>
      <c r="J461" s="614" t="s">
        <v>864</v>
      </c>
      <c r="K461" s="614" t="s">
        <v>1196</v>
      </c>
      <c r="L461" s="615">
        <v>150.04</v>
      </c>
      <c r="M461" s="615">
        <v>150.04</v>
      </c>
      <c r="N461" s="614">
        <v>1</v>
      </c>
      <c r="O461" s="697">
        <v>1</v>
      </c>
      <c r="P461" s="615"/>
      <c r="Q461" s="630">
        <v>0</v>
      </c>
      <c r="R461" s="614"/>
      <c r="S461" s="630">
        <v>0</v>
      </c>
      <c r="T461" s="697"/>
      <c r="U461" s="653">
        <v>0</v>
      </c>
    </row>
    <row r="462" spans="1:21" ht="14.4" customHeight="1" x14ac:dyDescent="0.3">
      <c r="A462" s="613">
        <v>25</v>
      </c>
      <c r="B462" s="614" t="s">
        <v>1112</v>
      </c>
      <c r="C462" s="614" t="s">
        <v>1251</v>
      </c>
      <c r="D462" s="695" t="s">
        <v>1785</v>
      </c>
      <c r="E462" s="696" t="s">
        <v>1265</v>
      </c>
      <c r="F462" s="614" t="s">
        <v>1243</v>
      </c>
      <c r="G462" s="614" t="s">
        <v>1287</v>
      </c>
      <c r="H462" s="614" t="s">
        <v>770</v>
      </c>
      <c r="I462" s="614" t="s">
        <v>956</v>
      </c>
      <c r="J462" s="614" t="s">
        <v>864</v>
      </c>
      <c r="K462" s="614" t="s">
        <v>1196</v>
      </c>
      <c r="L462" s="615">
        <v>150.04</v>
      </c>
      <c r="M462" s="615">
        <v>150.04</v>
      </c>
      <c r="N462" s="614">
        <v>1</v>
      </c>
      <c r="O462" s="697">
        <v>1</v>
      </c>
      <c r="P462" s="615"/>
      <c r="Q462" s="630">
        <v>0</v>
      </c>
      <c r="R462" s="614"/>
      <c r="S462" s="630">
        <v>0</v>
      </c>
      <c r="T462" s="697"/>
      <c r="U462" s="653">
        <v>0</v>
      </c>
    </row>
    <row r="463" spans="1:21" ht="14.4" customHeight="1" x14ac:dyDescent="0.3">
      <c r="A463" s="613">
        <v>25</v>
      </c>
      <c r="B463" s="614" t="s">
        <v>1112</v>
      </c>
      <c r="C463" s="614" t="s">
        <v>1251</v>
      </c>
      <c r="D463" s="695" t="s">
        <v>1785</v>
      </c>
      <c r="E463" s="696" t="s">
        <v>1265</v>
      </c>
      <c r="F463" s="614" t="s">
        <v>1243</v>
      </c>
      <c r="G463" s="614" t="s">
        <v>1287</v>
      </c>
      <c r="H463" s="614" t="s">
        <v>770</v>
      </c>
      <c r="I463" s="614" t="s">
        <v>956</v>
      </c>
      <c r="J463" s="614" t="s">
        <v>864</v>
      </c>
      <c r="K463" s="614" t="s">
        <v>1196</v>
      </c>
      <c r="L463" s="615">
        <v>154.36000000000001</v>
      </c>
      <c r="M463" s="615">
        <v>308.72000000000003</v>
      </c>
      <c r="N463" s="614">
        <v>2</v>
      </c>
      <c r="O463" s="697">
        <v>2</v>
      </c>
      <c r="P463" s="615"/>
      <c r="Q463" s="630">
        <v>0</v>
      </c>
      <c r="R463" s="614"/>
      <c r="S463" s="630">
        <v>0</v>
      </c>
      <c r="T463" s="697"/>
      <c r="U463" s="653">
        <v>0</v>
      </c>
    </row>
    <row r="464" spans="1:21" ht="14.4" customHeight="1" x14ac:dyDescent="0.3">
      <c r="A464" s="613">
        <v>25</v>
      </c>
      <c r="B464" s="614" t="s">
        <v>1112</v>
      </c>
      <c r="C464" s="614" t="s">
        <v>1251</v>
      </c>
      <c r="D464" s="695" t="s">
        <v>1785</v>
      </c>
      <c r="E464" s="696" t="s">
        <v>1265</v>
      </c>
      <c r="F464" s="614" t="s">
        <v>1243</v>
      </c>
      <c r="G464" s="614" t="s">
        <v>1291</v>
      </c>
      <c r="H464" s="614" t="s">
        <v>325</v>
      </c>
      <c r="I464" s="614" t="s">
        <v>930</v>
      </c>
      <c r="J464" s="614" t="s">
        <v>931</v>
      </c>
      <c r="K464" s="614" t="s">
        <v>932</v>
      </c>
      <c r="L464" s="615">
        <v>147.31</v>
      </c>
      <c r="M464" s="615">
        <v>294.62</v>
      </c>
      <c r="N464" s="614">
        <v>2</v>
      </c>
      <c r="O464" s="697">
        <v>2</v>
      </c>
      <c r="P464" s="615"/>
      <c r="Q464" s="630">
        <v>0</v>
      </c>
      <c r="R464" s="614"/>
      <c r="S464" s="630">
        <v>0</v>
      </c>
      <c r="T464" s="697"/>
      <c r="U464" s="653">
        <v>0</v>
      </c>
    </row>
    <row r="465" spans="1:21" ht="14.4" customHeight="1" x14ac:dyDescent="0.3">
      <c r="A465" s="613">
        <v>25</v>
      </c>
      <c r="B465" s="614" t="s">
        <v>1112</v>
      </c>
      <c r="C465" s="614" t="s">
        <v>1251</v>
      </c>
      <c r="D465" s="695" t="s">
        <v>1785</v>
      </c>
      <c r="E465" s="696" t="s">
        <v>1266</v>
      </c>
      <c r="F465" s="614" t="s">
        <v>1243</v>
      </c>
      <c r="G465" s="614" t="s">
        <v>1287</v>
      </c>
      <c r="H465" s="614" t="s">
        <v>325</v>
      </c>
      <c r="I465" s="614" t="s">
        <v>1329</v>
      </c>
      <c r="J465" s="614" t="s">
        <v>1330</v>
      </c>
      <c r="K465" s="614" t="s">
        <v>1331</v>
      </c>
      <c r="L465" s="615">
        <v>154.36000000000001</v>
      </c>
      <c r="M465" s="615">
        <v>463.08000000000004</v>
      </c>
      <c r="N465" s="614">
        <v>3</v>
      </c>
      <c r="O465" s="697">
        <v>2.5</v>
      </c>
      <c r="P465" s="615"/>
      <c r="Q465" s="630">
        <v>0</v>
      </c>
      <c r="R465" s="614"/>
      <c r="S465" s="630">
        <v>0</v>
      </c>
      <c r="T465" s="697"/>
      <c r="U465" s="653">
        <v>0</v>
      </c>
    </row>
    <row r="466" spans="1:21" ht="14.4" customHeight="1" x14ac:dyDescent="0.3">
      <c r="A466" s="613">
        <v>25</v>
      </c>
      <c r="B466" s="614" t="s">
        <v>1112</v>
      </c>
      <c r="C466" s="614" t="s">
        <v>1251</v>
      </c>
      <c r="D466" s="695" t="s">
        <v>1785</v>
      </c>
      <c r="E466" s="696" t="s">
        <v>1266</v>
      </c>
      <c r="F466" s="614" t="s">
        <v>1243</v>
      </c>
      <c r="G466" s="614" t="s">
        <v>1287</v>
      </c>
      <c r="H466" s="614" t="s">
        <v>770</v>
      </c>
      <c r="I466" s="614" t="s">
        <v>956</v>
      </c>
      <c r="J466" s="614" t="s">
        <v>864</v>
      </c>
      <c r="K466" s="614" t="s">
        <v>1196</v>
      </c>
      <c r="L466" s="615">
        <v>150.04</v>
      </c>
      <c r="M466" s="615">
        <v>450.12</v>
      </c>
      <c r="N466" s="614">
        <v>3</v>
      </c>
      <c r="O466" s="697">
        <v>3</v>
      </c>
      <c r="P466" s="615"/>
      <c r="Q466" s="630">
        <v>0</v>
      </c>
      <c r="R466" s="614"/>
      <c r="S466" s="630">
        <v>0</v>
      </c>
      <c r="T466" s="697"/>
      <c r="U466" s="653">
        <v>0</v>
      </c>
    </row>
    <row r="467" spans="1:21" ht="14.4" customHeight="1" x14ac:dyDescent="0.3">
      <c r="A467" s="613">
        <v>25</v>
      </c>
      <c r="B467" s="614" t="s">
        <v>1112</v>
      </c>
      <c r="C467" s="614" t="s">
        <v>1251</v>
      </c>
      <c r="D467" s="695" t="s">
        <v>1785</v>
      </c>
      <c r="E467" s="696" t="s">
        <v>1266</v>
      </c>
      <c r="F467" s="614" t="s">
        <v>1243</v>
      </c>
      <c r="G467" s="614" t="s">
        <v>1287</v>
      </c>
      <c r="H467" s="614" t="s">
        <v>770</v>
      </c>
      <c r="I467" s="614" t="s">
        <v>956</v>
      </c>
      <c r="J467" s="614" t="s">
        <v>864</v>
      </c>
      <c r="K467" s="614" t="s">
        <v>1196</v>
      </c>
      <c r="L467" s="615">
        <v>154.36000000000001</v>
      </c>
      <c r="M467" s="615">
        <v>4630.800000000002</v>
      </c>
      <c r="N467" s="614">
        <v>30</v>
      </c>
      <c r="O467" s="697">
        <v>27</v>
      </c>
      <c r="P467" s="615">
        <v>463.08000000000004</v>
      </c>
      <c r="Q467" s="630">
        <v>9.9999999999999964E-2</v>
      </c>
      <c r="R467" s="614">
        <v>3</v>
      </c>
      <c r="S467" s="630">
        <v>0.1</v>
      </c>
      <c r="T467" s="697">
        <v>3</v>
      </c>
      <c r="U467" s="653">
        <v>0.1111111111111111</v>
      </c>
    </row>
    <row r="468" spans="1:21" ht="14.4" customHeight="1" x14ac:dyDescent="0.3">
      <c r="A468" s="613">
        <v>25</v>
      </c>
      <c r="B468" s="614" t="s">
        <v>1112</v>
      </c>
      <c r="C468" s="614" t="s">
        <v>1251</v>
      </c>
      <c r="D468" s="695" t="s">
        <v>1785</v>
      </c>
      <c r="E468" s="696" t="s">
        <v>1266</v>
      </c>
      <c r="F468" s="614" t="s">
        <v>1243</v>
      </c>
      <c r="G468" s="614" t="s">
        <v>1287</v>
      </c>
      <c r="H468" s="614" t="s">
        <v>325</v>
      </c>
      <c r="I468" s="614" t="s">
        <v>1288</v>
      </c>
      <c r="J468" s="614" t="s">
        <v>864</v>
      </c>
      <c r="K468" s="614" t="s">
        <v>1196</v>
      </c>
      <c r="L468" s="615">
        <v>154.36000000000001</v>
      </c>
      <c r="M468" s="615">
        <v>308.72000000000003</v>
      </c>
      <c r="N468" s="614">
        <v>2</v>
      </c>
      <c r="O468" s="697">
        <v>1.5</v>
      </c>
      <c r="P468" s="615"/>
      <c r="Q468" s="630">
        <v>0</v>
      </c>
      <c r="R468" s="614"/>
      <c r="S468" s="630">
        <v>0</v>
      </c>
      <c r="T468" s="697"/>
      <c r="U468" s="653">
        <v>0</v>
      </c>
    </row>
    <row r="469" spans="1:21" ht="14.4" customHeight="1" x14ac:dyDescent="0.3">
      <c r="A469" s="613">
        <v>25</v>
      </c>
      <c r="B469" s="614" t="s">
        <v>1112</v>
      </c>
      <c r="C469" s="614" t="s">
        <v>1251</v>
      </c>
      <c r="D469" s="695" t="s">
        <v>1785</v>
      </c>
      <c r="E469" s="696" t="s">
        <v>1266</v>
      </c>
      <c r="F469" s="614" t="s">
        <v>1243</v>
      </c>
      <c r="G469" s="614" t="s">
        <v>1446</v>
      </c>
      <c r="H469" s="614" t="s">
        <v>325</v>
      </c>
      <c r="I469" s="614" t="s">
        <v>1447</v>
      </c>
      <c r="J469" s="614" t="s">
        <v>1448</v>
      </c>
      <c r="K469" s="614" t="s">
        <v>1449</v>
      </c>
      <c r="L469" s="615">
        <v>71.930000000000007</v>
      </c>
      <c r="M469" s="615">
        <v>71.930000000000007</v>
      </c>
      <c r="N469" s="614">
        <v>1</v>
      </c>
      <c r="O469" s="697">
        <v>1</v>
      </c>
      <c r="P469" s="615"/>
      <c r="Q469" s="630">
        <v>0</v>
      </c>
      <c r="R469" s="614"/>
      <c r="S469" s="630">
        <v>0</v>
      </c>
      <c r="T469" s="697"/>
      <c r="U469" s="653">
        <v>0</v>
      </c>
    </row>
    <row r="470" spans="1:21" ht="14.4" customHeight="1" x14ac:dyDescent="0.3">
      <c r="A470" s="613">
        <v>25</v>
      </c>
      <c r="B470" s="614" t="s">
        <v>1112</v>
      </c>
      <c r="C470" s="614" t="s">
        <v>1251</v>
      </c>
      <c r="D470" s="695" t="s">
        <v>1785</v>
      </c>
      <c r="E470" s="696" t="s">
        <v>1266</v>
      </c>
      <c r="F470" s="614" t="s">
        <v>1243</v>
      </c>
      <c r="G470" s="614" t="s">
        <v>1291</v>
      </c>
      <c r="H470" s="614" t="s">
        <v>325</v>
      </c>
      <c r="I470" s="614" t="s">
        <v>930</v>
      </c>
      <c r="J470" s="614" t="s">
        <v>931</v>
      </c>
      <c r="K470" s="614" t="s">
        <v>932</v>
      </c>
      <c r="L470" s="615">
        <v>147.31</v>
      </c>
      <c r="M470" s="615">
        <v>147.31</v>
      </c>
      <c r="N470" s="614">
        <v>1</v>
      </c>
      <c r="O470" s="697">
        <v>1</v>
      </c>
      <c r="P470" s="615"/>
      <c r="Q470" s="630">
        <v>0</v>
      </c>
      <c r="R470" s="614"/>
      <c r="S470" s="630">
        <v>0</v>
      </c>
      <c r="T470" s="697"/>
      <c r="U470" s="653">
        <v>0</v>
      </c>
    </row>
    <row r="471" spans="1:21" ht="14.4" customHeight="1" x14ac:dyDescent="0.3">
      <c r="A471" s="613">
        <v>25</v>
      </c>
      <c r="B471" s="614" t="s">
        <v>1112</v>
      </c>
      <c r="C471" s="614" t="s">
        <v>1251</v>
      </c>
      <c r="D471" s="695" t="s">
        <v>1785</v>
      </c>
      <c r="E471" s="696" t="s">
        <v>1266</v>
      </c>
      <c r="F471" s="614" t="s">
        <v>1243</v>
      </c>
      <c r="G471" s="614" t="s">
        <v>1291</v>
      </c>
      <c r="H471" s="614" t="s">
        <v>325</v>
      </c>
      <c r="I471" s="614" t="s">
        <v>1079</v>
      </c>
      <c r="J471" s="614" t="s">
        <v>1080</v>
      </c>
      <c r="K471" s="614" t="s">
        <v>1311</v>
      </c>
      <c r="L471" s="615">
        <v>73.66</v>
      </c>
      <c r="M471" s="615">
        <v>73.66</v>
      </c>
      <c r="N471" s="614">
        <v>1</v>
      </c>
      <c r="O471" s="697">
        <v>1</v>
      </c>
      <c r="P471" s="615"/>
      <c r="Q471" s="630">
        <v>0</v>
      </c>
      <c r="R471" s="614"/>
      <c r="S471" s="630">
        <v>0</v>
      </c>
      <c r="T471" s="697"/>
      <c r="U471" s="653">
        <v>0</v>
      </c>
    </row>
    <row r="472" spans="1:21" ht="14.4" customHeight="1" x14ac:dyDescent="0.3">
      <c r="A472" s="613">
        <v>25</v>
      </c>
      <c r="B472" s="614" t="s">
        <v>1112</v>
      </c>
      <c r="C472" s="614" t="s">
        <v>1251</v>
      </c>
      <c r="D472" s="695" t="s">
        <v>1785</v>
      </c>
      <c r="E472" s="696" t="s">
        <v>1266</v>
      </c>
      <c r="F472" s="614" t="s">
        <v>1243</v>
      </c>
      <c r="G472" s="614" t="s">
        <v>1292</v>
      </c>
      <c r="H472" s="614" t="s">
        <v>770</v>
      </c>
      <c r="I472" s="614" t="s">
        <v>1307</v>
      </c>
      <c r="J472" s="614" t="s">
        <v>714</v>
      </c>
      <c r="K472" s="614" t="s">
        <v>1308</v>
      </c>
      <c r="L472" s="615">
        <v>24.22</v>
      </c>
      <c r="M472" s="615">
        <v>193.76</v>
      </c>
      <c r="N472" s="614">
        <v>8</v>
      </c>
      <c r="O472" s="697">
        <v>5</v>
      </c>
      <c r="P472" s="615"/>
      <c r="Q472" s="630">
        <v>0</v>
      </c>
      <c r="R472" s="614"/>
      <c r="S472" s="630">
        <v>0</v>
      </c>
      <c r="T472" s="697"/>
      <c r="U472" s="653">
        <v>0</v>
      </c>
    </row>
    <row r="473" spans="1:21" ht="14.4" customHeight="1" x14ac:dyDescent="0.3">
      <c r="A473" s="613">
        <v>25</v>
      </c>
      <c r="B473" s="614" t="s">
        <v>1112</v>
      </c>
      <c r="C473" s="614" t="s">
        <v>1251</v>
      </c>
      <c r="D473" s="695" t="s">
        <v>1785</v>
      </c>
      <c r="E473" s="696" t="s">
        <v>1267</v>
      </c>
      <c r="F473" s="614" t="s">
        <v>1243</v>
      </c>
      <c r="G473" s="614" t="s">
        <v>1287</v>
      </c>
      <c r="H473" s="614" t="s">
        <v>770</v>
      </c>
      <c r="I473" s="614" t="s">
        <v>956</v>
      </c>
      <c r="J473" s="614" t="s">
        <v>864</v>
      </c>
      <c r="K473" s="614" t="s">
        <v>1196</v>
      </c>
      <c r="L473" s="615">
        <v>150.04</v>
      </c>
      <c r="M473" s="615">
        <v>150.04</v>
      </c>
      <c r="N473" s="614">
        <v>1</v>
      </c>
      <c r="O473" s="697">
        <v>1</v>
      </c>
      <c r="P473" s="615"/>
      <c r="Q473" s="630">
        <v>0</v>
      </c>
      <c r="R473" s="614"/>
      <c r="S473" s="630">
        <v>0</v>
      </c>
      <c r="T473" s="697"/>
      <c r="U473" s="653">
        <v>0</v>
      </c>
    </row>
    <row r="474" spans="1:21" ht="14.4" customHeight="1" x14ac:dyDescent="0.3">
      <c r="A474" s="613">
        <v>25</v>
      </c>
      <c r="B474" s="614" t="s">
        <v>1112</v>
      </c>
      <c r="C474" s="614" t="s">
        <v>1251</v>
      </c>
      <c r="D474" s="695" t="s">
        <v>1785</v>
      </c>
      <c r="E474" s="696" t="s">
        <v>1267</v>
      </c>
      <c r="F474" s="614" t="s">
        <v>1243</v>
      </c>
      <c r="G474" s="614" t="s">
        <v>1287</v>
      </c>
      <c r="H474" s="614" t="s">
        <v>770</v>
      </c>
      <c r="I474" s="614" t="s">
        <v>956</v>
      </c>
      <c r="J474" s="614" t="s">
        <v>864</v>
      </c>
      <c r="K474" s="614" t="s">
        <v>1196</v>
      </c>
      <c r="L474" s="615">
        <v>154.36000000000001</v>
      </c>
      <c r="M474" s="615">
        <v>2315.400000000001</v>
      </c>
      <c r="N474" s="614">
        <v>15</v>
      </c>
      <c r="O474" s="697">
        <v>15</v>
      </c>
      <c r="P474" s="615">
        <v>154.36000000000001</v>
      </c>
      <c r="Q474" s="630">
        <v>6.6666666666666638E-2</v>
      </c>
      <c r="R474" s="614">
        <v>1</v>
      </c>
      <c r="S474" s="630">
        <v>6.6666666666666666E-2</v>
      </c>
      <c r="T474" s="697">
        <v>1</v>
      </c>
      <c r="U474" s="653">
        <v>6.6666666666666666E-2</v>
      </c>
    </row>
    <row r="475" spans="1:21" ht="14.4" customHeight="1" x14ac:dyDescent="0.3">
      <c r="A475" s="613">
        <v>25</v>
      </c>
      <c r="B475" s="614" t="s">
        <v>1112</v>
      </c>
      <c r="C475" s="614" t="s">
        <v>1251</v>
      </c>
      <c r="D475" s="695" t="s">
        <v>1785</v>
      </c>
      <c r="E475" s="696" t="s">
        <v>1267</v>
      </c>
      <c r="F475" s="614" t="s">
        <v>1243</v>
      </c>
      <c r="G475" s="614" t="s">
        <v>1291</v>
      </c>
      <c r="H475" s="614" t="s">
        <v>325</v>
      </c>
      <c r="I475" s="614" t="s">
        <v>930</v>
      </c>
      <c r="J475" s="614" t="s">
        <v>931</v>
      </c>
      <c r="K475" s="614" t="s">
        <v>932</v>
      </c>
      <c r="L475" s="615">
        <v>147.31</v>
      </c>
      <c r="M475" s="615">
        <v>147.31</v>
      </c>
      <c r="N475" s="614">
        <v>1</v>
      </c>
      <c r="O475" s="697">
        <v>1</v>
      </c>
      <c r="P475" s="615"/>
      <c r="Q475" s="630">
        <v>0</v>
      </c>
      <c r="R475" s="614"/>
      <c r="S475" s="630">
        <v>0</v>
      </c>
      <c r="T475" s="697"/>
      <c r="U475" s="653">
        <v>0</v>
      </c>
    </row>
    <row r="476" spans="1:21" ht="14.4" customHeight="1" x14ac:dyDescent="0.3">
      <c r="A476" s="613">
        <v>25</v>
      </c>
      <c r="B476" s="614" t="s">
        <v>1112</v>
      </c>
      <c r="C476" s="614" t="s">
        <v>1251</v>
      </c>
      <c r="D476" s="695" t="s">
        <v>1785</v>
      </c>
      <c r="E476" s="696" t="s">
        <v>1268</v>
      </c>
      <c r="F476" s="614" t="s">
        <v>1243</v>
      </c>
      <c r="G476" s="614" t="s">
        <v>1287</v>
      </c>
      <c r="H476" s="614" t="s">
        <v>770</v>
      </c>
      <c r="I476" s="614" t="s">
        <v>956</v>
      </c>
      <c r="J476" s="614" t="s">
        <v>864</v>
      </c>
      <c r="K476" s="614" t="s">
        <v>1196</v>
      </c>
      <c r="L476" s="615">
        <v>150.04</v>
      </c>
      <c r="M476" s="615">
        <v>150.04</v>
      </c>
      <c r="N476" s="614">
        <v>1</v>
      </c>
      <c r="O476" s="697">
        <v>1</v>
      </c>
      <c r="P476" s="615"/>
      <c r="Q476" s="630">
        <v>0</v>
      </c>
      <c r="R476" s="614"/>
      <c r="S476" s="630">
        <v>0</v>
      </c>
      <c r="T476" s="697"/>
      <c r="U476" s="653">
        <v>0</v>
      </c>
    </row>
    <row r="477" spans="1:21" ht="14.4" customHeight="1" x14ac:dyDescent="0.3">
      <c r="A477" s="613">
        <v>25</v>
      </c>
      <c r="B477" s="614" t="s">
        <v>1112</v>
      </c>
      <c r="C477" s="614" t="s">
        <v>1251</v>
      </c>
      <c r="D477" s="695" t="s">
        <v>1785</v>
      </c>
      <c r="E477" s="696" t="s">
        <v>1268</v>
      </c>
      <c r="F477" s="614" t="s">
        <v>1243</v>
      </c>
      <c r="G477" s="614" t="s">
        <v>1287</v>
      </c>
      <c r="H477" s="614" t="s">
        <v>770</v>
      </c>
      <c r="I477" s="614" t="s">
        <v>956</v>
      </c>
      <c r="J477" s="614" t="s">
        <v>864</v>
      </c>
      <c r="K477" s="614" t="s">
        <v>1196</v>
      </c>
      <c r="L477" s="615">
        <v>154.36000000000001</v>
      </c>
      <c r="M477" s="615">
        <v>308.72000000000003</v>
      </c>
      <c r="N477" s="614">
        <v>2</v>
      </c>
      <c r="O477" s="697">
        <v>2</v>
      </c>
      <c r="P477" s="615"/>
      <c r="Q477" s="630">
        <v>0</v>
      </c>
      <c r="R477" s="614"/>
      <c r="S477" s="630">
        <v>0</v>
      </c>
      <c r="T477" s="697"/>
      <c r="U477" s="653">
        <v>0</v>
      </c>
    </row>
    <row r="478" spans="1:21" ht="14.4" customHeight="1" x14ac:dyDescent="0.3">
      <c r="A478" s="613">
        <v>25</v>
      </c>
      <c r="B478" s="614" t="s">
        <v>1112</v>
      </c>
      <c r="C478" s="614" t="s">
        <v>1251</v>
      </c>
      <c r="D478" s="695" t="s">
        <v>1785</v>
      </c>
      <c r="E478" s="696" t="s">
        <v>1268</v>
      </c>
      <c r="F478" s="614" t="s">
        <v>1243</v>
      </c>
      <c r="G478" s="614" t="s">
        <v>1287</v>
      </c>
      <c r="H478" s="614" t="s">
        <v>770</v>
      </c>
      <c r="I478" s="614" t="s">
        <v>1478</v>
      </c>
      <c r="J478" s="614" t="s">
        <v>1479</v>
      </c>
      <c r="K478" s="614" t="s">
        <v>1195</v>
      </c>
      <c r="L478" s="615">
        <v>111.22</v>
      </c>
      <c r="M478" s="615">
        <v>111.22</v>
      </c>
      <c r="N478" s="614">
        <v>1</v>
      </c>
      <c r="O478" s="697">
        <v>1</v>
      </c>
      <c r="P478" s="615"/>
      <c r="Q478" s="630">
        <v>0</v>
      </c>
      <c r="R478" s="614"/>
      <c r="S478" s="630">
        <v>0</v>
      </c>
      <c r="T478" s="697"/>
      <c r="U478" s="653">
        <v>0</v>
      </c>
    </row>
    <row r="479" spans="1:21" ht="14.4" customHeight="1" x14ac:dyDescent="0.3">
      <c r="A479" s="613">
        <v>25</v>
      </c>
      <c r="B479" s="614" t="s">
        <v>1112</v>
      </c>
      <c r="C479" s="614" t="s">
        <v>1251</v>
      </c>
      <c r="D479" s="695" t="s">
        <v>1785</v>
      </c>
      <c r="E479" s="696" t="s">
        <v>1268</v>
      </c>
      <c r="F479" s="614" t="s">
        <v>1243</v>
      </c>
      <c r="G479" s="614" t="s">
        <v>1603</v>
      </c>
      <c r="H479" s="614" t="s">
        <v>325</v>
      </c>
      <c r="I479" s="614" t="s">
        <v>1771</v>
      </c>
      <c r="J479" s="614" t="s">
        <v>1772</v>
      </c>
      <c r="K479" s="614" t="s">
        <v>1773</v>
      </c>
      <c r="L479" s="615">
        <v>62.65</v>
      </c>
      <c r="M479" s="615">
        <v>62.65</v>
      </c>
      <c r="N479" s="614">
        <v>1</v>
      </c>
      <c r="O479" s="697">
        <v>0.5</v>
      </c>
      <c r="P479" s="615"/>
      <c r="Q479" s="630">
        <v>0</v>
      </c>
      <c r="R479" s="614"/>
      <c r="S479" s="630">
        <v>0</v>
      </c>
      <c r="T479" s="697"/>
      <c r="U479" s="653">
        <v>0</v>
      </c>
    </row>
    <row r="480" spans="1:21" ht="14.4" customHeight="1" x14ac:dyDescent="0.3">
      <c r="A480" s="613">
        <v>25</v>
      </c>
      <c r="B480" s="614" t="s">
        <v>1112</v>
      </c>
      <c r="C480" s="614" t="s">
        <v>1251</v>
      </c>
      <c r="D480" s="695" t="s">
        <v>1785</v>
      </c>
      <c r="E480" s="696" t="s">
        <v>1271</v>
      </c>
      <c r="F480" s="614" t="s">
        <v>1243</v>
      </c>
      <c r="G480" s="614" t="s">
        <v>1287</v>
      </c>
      <c r="H480" s="614" t="s">
        <v>325</v>
      </c>
      <c r="I480" s="614" t="s">
        <v>1329</v>
      </c>
      <c r="J480" s="614" t="s">
        <v>1330</v>
      </c>
      <c r="K480" s="614" t="s">
        <v>1331</v>
      </c>
      <c r="L480" s="615">
        <v>150.04</v>
      </c>
      <c r="M480" s="615">
        <v>600.16</v>
      </c>
      <c r="N480" s="614">
        <v>4</v>
      </c>
      <c r="O480" s="697">
        <v>4</v>
      </c>
      <c r="P480" s="615"/>
      <c r="Q480" s="630">
        <v>0</v>
      </c>
      <c r="R480" s="614"/>
      <c r="S480" s="630">
        <v>0</v>
      </c>
      <c r="T480" s="697"/>
      <c r="U480" s="653">
        <v>0</v>
      </c>
    </row>
    <row r="481" spans="1:21" ht="14.4" customHeight="1" x14ac:dyDescent="0.3">
      <c r="A481" s="613">
        <v>25</v>
      </c>
      <c r="B481" s="614" t="s">
        <v>1112</v>
      </c>
      <c r="C481" s="614" t="s">
        <v>1251</v>
      </c>
      <c r="D481" s="695" t="s">
        <v>1785</v>
      </c>
      <c r="E481" s="696" t="s">
        <v>1271</v>
      </c>
      <c r="F481" s="614" t="s">
        <v>1243</v>
      </c>
      <c r="G481" s="614" t="s">
        <v>1287</v>
      </c>
      <c r="H481" s="614" t="s">
        <v>325</v>
      </c>
      <c r="I481" s="614" t="s">
        <v>1329</v>
      </c>
      <c r="J481" s="614" t="s">
        <v>1330</v>
      </c>
      <c r="K481" s="614" t="s">
        <v>1331</v>
      </c>
      <c r="L481" s="615">
        <v>154.36000000000001</v>
      </c>
      <c r="M481" s="615">
        <v>463.08000000000004</v>
      </c>
      <c r="N481" s="614">
        <v>3</v>
      </c>
      <c r="O481" s="697">
        <v>3</v>
      </c>
      <c r="P481" s="615"/>
      <c r="Q481" s="630">
        <v>0</v>
      </c>
      <c r="R481" s="614"/>
      <c r="S481" s="630">
        <v>0</v>
      </c>
      <c r="T481" s="697"/>
      <c r="U481" s="653">
        <v>0</v>
      </c>
    </row>
    <row r="482" spans="1:21" ht="14.4" customHeight="1" x14ac:dyDescent="0.3">
      <c r="A482" s="613">
        <v>25</v>
      </c>
      <c r="B482" s="614" t="s">
        <v>1112</v>
      </c>
      <c r="C482" s="614" t="s">
        <v>1251</v>
      </c>
      <c r="D482" s="695" t="s">
        <v>1785</v>
      </c>
      <c r="E482" s="696" t="s">
        <v>1276</v>
      </c>
      <c r="F482" s="614" t="s">
        <v>1243</v>
      </c>
      <c r="G482" s="614" t="s">
        <v>1287</v>
      </c>
      <c r="H482" s="614" t="s">
        <v>770</v>
      </c>
      <c r="I482" s="614" t="s">
        <v>956</v>
      </c>
      <c r="J482" s="614" t="s">
        <v>864</v>
      </c>
      <c r="K482" s="614" t="s">
        <v>1196</v>
      </c>
      <c r="L482" s="615">
        <v>154.36000000000001</v>
      </c>
      <c r="M482" s="615">
        <v>926.16000000000008</v>
      </c>
      <c r="N482" s="614">
        <v>6</v>
      </c>
      <c r="O482" s="697">
        <v>6</v>
      </c>
      <c r="P482" s="615"/>
      <c r="Q482" s="630">
        <v>0</v>
      </c>
      <c r="R482" s="614"/>
      <c r="S482" s="630">
        <v>0</v>
      </c>
      <c r="T482" s="697"/>
      <c r="U482" s="653">
        <v>0</v>
      </c>
    </row>
    <row r="483" spans="1:21" ht="14.4" customHeight="1" x14ac:dyDescent="0.3">
      <c r="A483" s="613">
        <v>25</v>
      </c>
      <c r="B483" s="614" t="s">
        <v>1112</v>
      </c>
      <c r="C483" s="614" t="s">
        <v>1251</v>
      </c>
      <c r="D483" s="695" t="s">
        <v>1785</v>
      </c>
      <c r="E483" s="696" t="s">
        <v>1278</v>
      </c>
      <c r="F483" s="614" t="s">
        <v>1243</v>
      </c>
      <c r="G483" s="614" t="s">
        <v>1287</v>
      </c>
      <c r="H483" s="614" t="s">
        <v>325</v>
      </c>
      <c r="I483" s="614" t="s">
        <v>1332</v>
      </c>
      <c r="J483" s="614" t="s">
        <v>864</v>
      </c>
      <c r="K483" s="614" t="s">
        <v>566</v>
      </c>
      <c r="L483" s="615">
        <v>0</v>
      </c>
      <c r="M483" s="615">
        <v>0</v>
      </c>
      <c r="N483" s="614">
        <v>1</v>
      </c>
      <c r="O483" s="697">
        <v>1</v>
      </c>
      <c r="P483" s="615"/>
      <c r="Q483" s="630"/>
      <c r="R483" s="614"/>
      <c r="S483" s="630">
        <v>0</v>
      </c>
      <c r="T483" s="697"/>
      <c r="U483" s="653">
        <v>0</v>
      </c>
    </row>
    <row r="484" spans="1:21" ht="14.4" customHeight="1" x14ac:dyDescent="0.3">
      <c r="A484" s="613">
        <v>25</v>
      </c>
      <c r="B484" s="614" t="s">
        <v>1112</v>
      </c>
      <c r="C484" s="614" t="s">
        <v>1251</v>
      </c>
      <c r="D484" s="695" t="s">
        <v>1785</v>
      </c>
      <c r="E484" s="696" t="s">
        <v>1278</v>
      </c>
      <c r="F484" s="614" t="s">
        <v>1243</v>
      </c>
      <c r="G484" s="614" t="s">
        <v>1287</v>
      </c>
      <c r="H484" s="614" t="s">
        <v>770</v>
      </c>
      <c r="I484" s="614" t="s">
        <v>956</v>
      </c>
      <c r="J484" s="614" t="s">
        <v>864</v>
      </c>
      <c r="K484" s="614" t="s">
        <v>1196</v>
      </c>
      <c r="L484" s="615">
        <v>150.04</v>
      </c>
      <c r="M484" s="615">
        <v>900.2399999999999</v>
      </c>
      <c r="N484" s="614">
        <v>6</v>
      </c>
      <c r="O484" s="697">
        <v>6</v>
      </c>
      <c r="P484" s="615"/>
      <c r="Q484" s="630">
        <v>0</v>
      </c>
      <c r="R484" s="614"/>
      <c r="S484" s="630">
        <v>0</v>
      </c>
      <c r="T484" s="697"/>
      <c r="U484" s="653">
        <v>0</v>
      </c>
    </row>
    <row r="485" spans="1:21" ht="14.4" customHeight="1" x14ac:dyDescent="0.3">
      <c r="A485" s="613">
        <v>25</v>
      </c>
      <c r="B485" s="614" t="s">
        <v>1112</v>
      </c>
      <c r="C485" s="614" t="s">
        <v>1251</v>
      </c>
      <c r="D485" s="695" t="s">
        <v>1785</v>
      </c>
      <c r="E485" s="696" t="s">
        <v>1278</v>
      </c>
      <c r="F485" s="614" t="s">
        <v>1243</v>
      </c>
      <c r="G485" s="614" t="s">
        <v>1287</v>
      </c>
      <c r="H485" s="614" t="s">
        <v>770</v>
      </c>
      <c r="I485" s="614" t="s">
        <v>956</v>
      </c>
      <c r="J485" s="614" t="s">
        <v>864</v>
      </c>
      <c r="K485" s="614" t="s">
        <v>1196</v>
      </c>
      <c r="L485" s="615">
        <v>154.36000000000001</v>
      </c>
      <c r="M485" s="615">
        <v>1080.52</v>
      </c>
      <c r="N485" s="614">
        <v>7</v>
      </c>
      <c r="O485" s="697">
        <v>6</v>
      </c>
      <c r="P485" s="615"/>
      <c r="Q485" s="630">
        <v>0</v>
      </c>
      <c r="R485" s="614"/>
      <c r="S485" s="630">
        <v>0</v>
      </c>
      <c r="T485" s="697"/>
      <c r="U485" s="653">
        <v>0</v>
      </c>
    </row>
    <row r="486" spans="1:21" ht="14.4" customHeight="1" x14ac:dyDescent="0.3">
      <c r="A486" s="613">
        <v>25</v>
      </c>
      <c r="B486" s="614" t="s">
        <v>1112</v>
      </c>
      <c r="C486" s="614" t="s">
        <v>1251</v>
      </c>
      <c r="D486" s="695" t="s">
        <v>1785</v>
      </c>
      <c r="E486" s="696" t="s">
        <v>1278</v>
      </c>
      <c r="F486" s="614" t="s">
        <v>1243</v>
      </c>
      <c r="G486" s="614" t="s">
        <v>1774</v>
      </c>
      <c r="H486" s="614" t="s">
        <v>325</v>
      </c>
      <c r="I486" s="614" t="s">
        <v>1775</v>
      </c>
      <c r="J486" s="614" t="s">
        <v>1776</v>
      </c>
      <c r="K486" s="614" t="s">
        <v>1777</v>
      </c>
      <c r="L486" s="615">
        <v>59.16</v>
      </c>
      <c r="M486" s="615">
        <v>59.16</v>
      </c>
      <c r="N486" s="614">
        <v>1</v>
      </c>
      <c r="O486" s="697">
        <v>1</v>
      </c>
      <c r="P486" s="615"/>
      <c r="Q486" s="630">
        <v>0</v>
      </c>
      <c r="R486" s="614"/>
      <c r="S486" s="630">
        <v>0</v>
      </c>
      <c r="T486" s="697"/>
      <c r="U486" s="653">
        <v>0</v>
      </c>
    </row>
    <row r="487" spans="1:21" ht="14.4" customHeight="1" x14ac:dyDescent="0.3">
      <c r="A487" s="613">
        <v>25</v>
      </c>
      <c r="B487" s="614" t="s">
        <v>1112</v>
      </c>
      <c r="C487" s="614" t="s">
        <v>1251</v>
      </c>
      <c r="D487" s="695" t="s">
        <v>1785</v>
      </c>
      <c r="E487" s="696" t="s">
        <v>1278</v>
      </c>
      <c r="F487" s="614" t="s">
        <v>1243</v>
      </c>
      <c r="G487" s="614" t="s">
        <v>1291</v>
      </c>
      <c r="H487" s="614" t="s">
        <v>325</v>
      </c>
      <c r="I487" s="614" t="s">
        <v>930</v>
      </c>
      <c r="J487" s="614" t="s">
        <v>931</v>
      </c>
      <c r="K487" s="614" t="s">
        <v>932</v>
      </c>
      <c r="L487" s="615">
        <v>147.31</v>
      </c>
      <c r="M487" s="615">
        <v>147.31</v>
      </c>
      <c r="N487" s="614">
        <v>1</v>
      </c>
      <c r="O487" s="697">
        <v>1</v>
      </c>
      <c r="P487" s="615"/>
      <c r="Q487" s="630">
        <v>0</v>
      </c>
      <c r="R487" s="614"/>
      <c r="S487" s="630">
        <v>0</v>
      </c>
      <c r="T487" s="697"/>
      <c r="U487" s="653">
        <v>0</v>
      </c>
    </row>
    <row r="488" spans="1:21" ht="14.4" customHeight="1" x14ac:dyDescent="0.3">
      <c r="A488" s="613">
        <v>25</v>
      </c>
      <c r="B488" s="614" t="s">
        <v>1112</v>
      </c>
      <c r="C488" s="614" t="s">
        <v>1251</v>
      </c>
      <c r="D488" s="695" t="s">
        <v>1785</v>
      </c>
      <c r="E488" s="696" t="s">
        <v>1278</v>
      </c>
      <c r="F488" s="614" t="s">
        <v>1243</v>
      </c>
      <c r="G488" s="614" t="s">
        <v>1292</v>
      </c>
      <c r="H488" s="614" t="s">
        <v>325</v>
      </c>
      <c r="I488" s="614" t="s">
        <v>1298</v>
      </c>
      <c r="J488" s="614" t="s">
        <v>714</v>
      </c>
      <c r="K488" s="614" t="s">
        <v>1299</v>
      </c>
      <c r="L488" s="615">
        <v>24.22</v>
      </c>
      <c r="M488" s="615">
        <v>121.1</v>
      </c>
      <c r="N488" s="614">
        <v>5</v>
      </c>
      <c r="O488" s="697">
        <v>4</v>
      </c>
      <c r="P488" s="615"/>
      <c r="Q488" s="630">
        <v>0</v>
      </c>
      <c r="R488" s="614"/>
      <c r="S488" s="630">
        <v>0</v>
      </c>
      <c r="T488" s="697"/>
      <c r="U488" s="653">
        <v>0</v>
      </c>
    </row>
    <row r="489" spans="1:21" ht="14.4" customHeight="1" x14ac:dyDescent="0.3">
      <c r="A489" s="613">
        <v>25</v>
      </c>
      <c r="B489" s="614" t="s">
        <v>1112</v>
      </c>
      <c r="C489" s="614" t="s">
        <v>1251</v>
      </c>
      <c r="D489" s="695" t="s">
        <v>1785</v>
      </c>
      <c r="E489" s="696" t="s">
        <v>1279</v>
      </c>
      <c r="F489" s="614" t="s">
        <v>1243</v>
      </c>
      <c r="G489" s="614" t="s">
        <v>1287</v>
      </c>
      <c r="H489" s="614" t="s">
        <v>770</v>
      </c>
      <c r="I489" s="614" t="s">
        <v>956</v>
      </c>
      <c r="J489" s="614" t="s">
        <v>864</v>
      </c>
      <c r="K489" s="614" t="s">
        <v>1196</v>
      </c>
      <c r="L489" s="615">
        <v>150.04</v>
      </c>
      <c r="M489" s="615">
        <v>450.12</v>
      </c>
      <c r="N489" s="614">
        <v>3</v>
      </c>
      <c r="O489" s="697">
        <v>3</v>
      </c>
      <c r="P489" s="615"/>
      <c r="Q489" s="630">
        <v>0</v>
      </c>
      <c r="R489" s="614"/>
      <c r="S489" s="630">
        <v>0</v>
      </c>
      <c r="T489" s="697"/>
      <c r="U489" s="653">
        <v>0</v>
      </c>
    </row>
    <row r="490" spans="1:21" ht="14.4" customHeight="1" x14ac:dyDescent="0.3">
      <c r="A490" s="613">
        <v>25</v>
      </c>
      <c r="B490" s="614" t="s">
        <v>1112</v>
      </c>
      <c r="C490" s="614" t="s">
        <v>1251</v>
      </c>
      <c r="D490" s="695" t="s">
        <v>1785</v>
      </c>
      <c r="E490" s="696" t="s">
        <v>1279</v>
      </c>
      <c r="F490" s="614" t="s">
        <v>1243</v>
      </c>
      <c r="G490" s="614" t="s">
        <v>1287</v>
      </c>
      <c r="H490" s="614" t="s">
        <v>770</v>
      </c>
      <c r="I490" s="614" t="s">
        <v>956</v>
      </c>
      <c r="J490" s="614" t="s">
        <v>864</v>
      </c>
      <c r="K490" s="614" t="s">
        <v>1196</v>
      </c>
      <c r="L490" s="615">
        <v>154.36000000000001</v>
      </c>
      <c r="M490" s="615">
        <v>617.44000000000005</v>
      </c>
      <c r="N490" s="614">
        <v>4</v>
      </c>
      <c r="O490" s="697">
        <v>4</v>
      </c>
      <c r="P490" s="615"/>
      <c r="Q490" s="630">
        <v>0</v>
      </c>
      <c r="R490" s="614"/>
      <c r="S490" s="630">
        <v>0</v>
      </c>
      <c r="T490" s="697"/>
      <c r="U490" s="653">
        <v>0</v>
      </c>
    </row>
    <row r="491" spans="1:21" ht="14.4" customHeight="1" x14ac:dyDescent="0.3">
      <c r="A491" s="613">
        <v>25</v>
      </c>
      <c r="B491" s="614" t="s">
        <v>1112</v>
      </c>
      <c r="C491" s="614" t="s">
        <v>1251</v>
      </c>
      <c r="D491" s="695" t="s">
        <v>1785</v>
      </c>
      <c r="E491" s="696" t="s">
        <v>1279</v>
      </c>
      <c r="F491" s="614" t="s">
        <v>1243</v>
      </c>
      <c r="G491" s="614" t="s">
        <v>1287</v>
      </c>
      <c r="H491" s="614" t="s">
        <v>770</v>
      </c>
      <c r="I491" s="614" t="s">
        <v>1067</v>
      </c>
      <c r="J491" s="614" t="s">
        <v>1234</v>
      </c>
      <c r="K491" s="614" t="s">
        <v>1195</v>
      </c>
      <c r="L491" s="615">
        <v>149.52000000000001</v>
      </c>
      <c r="M491" s="615">
        <v>299.04000000000002</v>
      </c>
      <c r="N491" s="614">
        <v>2</v>
      </c>
      <c r="O491" s="697">
        <v>2</v>
      </c>
      <c r="P491" s="615"/>
      <c r="Q491" s="630">
        <v>0</v>
      </c>
      <c r="R491" s="614"/>
      <c r="S491" s="630">
        <v>0</v>
      </c>
      <c r="T491" s="697"/>
      <c r="U491" s="653">
        <v>0</v>
      </c>
    </row>
    <row r="492" spans="1:21" ht="14.4" customHeight="1" x14ac:dyDescent="0.3">
      <c r="A492" s="613">
        <v>25</v>
      </c>
      <c r="B492" s="614" t="s">
        <v>1112</v>
      </c>
      <c r="C492" s="614" t="s">
        <v>1251</v>
      </c>
      <c r="D492" s="695" t="s">
        <v>1785</v>
      </c>
      <c r="E492" s="696" t="s">
        <v>1280</v>
      </c>
      <c r="F492" s="614" t="s">
        <v>1243</v>
      </c>
      <c r="G492" s="614" t="s">
        <v>1287</v>
      </c>
      <c r="H492" s="614" t="s">
        <v>770</v>
      </c>
      <c r="I492" s="614" t="s">
        <v>956</v>
      </c>
      <c r="J492" s="614" t="s">
        <v>864</v>
      </c>
      <c r="K492" s="614" t="s">
        <v>1196</v>
      </c>
      <c r="L492" s="615">
        <v>150.04</v>
      </c>
      <c r="M492" s="615">
        <v>1350.36</v>
      </c>
      <c r="N492" s="614">
        <v>9</v>
      </c>
      <c r="O492" s="697">
        <v>8.5</v>
      </c>
      <c r="P492" s="615"/>
      <c r="Q492" s="630">
        <v>0</v>
      </c>
      <c r="R492" s="614"/>
      <c r="S492" s="630">
        <v>0</v>
      </c>
      <c r="T492" s="697"/>
      <c r="U492" s="653">
        <v>0</v>
      </c>
    </row>
    <row r="493" spans="1:21" ht="14.4" customHeight="1" x14ac:dyDescent="0.3">
      <c r="A493" s="613">
        <v>25</v>
      </c>
      <c r="B493" s="614" t="s">
        <v>1112</v>
      </c>
      <c r="C493" s="614" t="s">
        <v>1251</v>
      </c>
      <c r="D493" s="695" t="s">
        <v>1785</v>
      </c>
      <c r="E493" s="696" t="s">
        <v>1280</v>
      </c>
      <c r="F493" s="614" t="s">
        <v>1243</v>
      </c>
      <c r="G493" s="614" t="s">
        <v>1287</v>
      </c>
      <c r="H493" s="614" t="s">
        <v>770</v>
      </c>
      <c r="I493" s="614" t="s">
        <v>956</v>
      </c>
      <c r="J493" s="614" t="s">
        <v>864</v>
      </c>
      <c r="K493" s="614" t="s">
        <v>1196</v>
      </c>
      <c r="L493" s="615">
        <v>154.36000000000001</v>
      </c>
      <c r="M493" s="615">
        <v>6946.1999999999962</v>
      </c>
      <c r="N493" s="614">
        <v>45</v>
      </c>
      <c r="O493" s="697">
        <v>42.5</v>
      </c>
      <c r="P493" s="615">
        <v>154.36000000000001</v>
      </c>
      <c r="Q493" s="630">
        <v>2.2222222222222237E-2</v>
      </c>
      <c r="R493" s="614">
        <v>1</v>
      </c>
      <c r="S493" s="630">
        <v>2.2222222222222223E-2</v>
      </c>
      <c r="T493" s="697">
        <v>1</v>
      </c>
      <c r="U493" s="653">
        <v>2.3529411764705882E-2</v>
      </c>
    </row>
    <row r="494" spans="1:21" ht="14.4" customHeight="1" x14ac:dyDescent="0.3">
      <c r="A494" s="613">
        <v>25</v>
      </c>
      <c r="B494" s="614" t="s">
        <v>1112</v>
      </c>
      <c r="C494" s="614" t="s">
        <v>1251</v>
      </c>
      <c r="D494" s="695" t="s">
        <v>1785</v>
      </c>
      <c r="E494" s="696" t="s">
        <v>1280</v>
      </c>
      <c r="F494" s="614" t="s">
        <v>1243</v>
      </c>
      <c r="G494" s="614" t="s">
        <v>1289</v>
      </c>
      <c r="H494" s="614" t="s">
        <v>325</v>
      </c>
      <c r="I494" s="614" t="s">
        <v>1750</v>
      </c>
      <c r="J494" s="614" t="s">
        <v>1751</v>
      </c>
      <c r="K494" s="614" t="s">
        <v>1752</v>
      </c>
      <c r="L494" s="615">
        <v>0</v>
      </c>
      <c r="M494" s="615">
        <v>0</v>
      </c>
      <c r="N494" s="614">
        <v>1</v>
      </c>
      <c r="O494" s="697">
        <v>1</v>
      </c>
      <c r="P494" s="615"/>
      <c r="Q494" s="630"/>
      <c r="R494" s="614"/>
      <c r="S494" s="630">
        <v>0</v>
      </c>
      <c r="T494" s="697"/>
      <c r="U494" s="653">
        <v>0</v>
      </c>
    </row>
    <row r="495" spans="1:21" ht="14.4" customHeight="1" x14ac:dyDescent="0.3">
      <c r="A495" s="613">
        <v>25</v>
      </c>
      <c r="B495" s="614" t="s">
        <v>1112</v>
      </c>
      <c r="C495" s="614" t="s">
        <v>1251</v>
      </c>
      <c r="D495" s="695" t="s">
        <v>1785</v>
      </c>
      <c r="E495" s="696" t="s">
        <v>1280</v>
      </c>
      <c r="F495" s="614" t="s">
        <v>1243</v>
      </c>
      <c r="G495" s="614" t="s">
        <v>1289</v>
      </c>
      <c r="H495" s="614" t="s">
        <v>325</v>
      </c>
      <c r="I495" s="614" t="s">
        <v>1337</v>
      </c>
      <c r="J495" s="614" t="s">
        <v>920</v>
      </c>
      <c r="K495" s="614" t="s">
        <v>1338</v>
      </c>
      <c r="L495" s="615">
        <v>0</v>
      </c>
      <c r="M495" s="615">
        <v>0</v>
      </c>
      <c r="N495" s="614">
        <v>1</v>
      </c>
      <c r="O495" s="697">
        <v>1</v>
      </c>
      <c r="P495" s="615"/>
      <c r="Q495" s="630"/>
      <c r="R495" s="614"/>
      <c r="S495" s="630">
        <v>0</v>
      </c>
      <c r="T495" s="697"/>
      <c r="U495" s="653">
        <v>0</v>
      </c>
    </row>
    <row r="496" spans="1:21" ht="14.4" customHeight="1" x14ac:dyDescent="0.3">
      <c r="A496" s="613">
        <v>25</v>
      </c>
      <c r="B496" s="614" t="s">
        <v>1112</v>
      </c>
      <c r="C496" s="614" t="s">
        <v>1251</v>
      </c>
      <c r="D496" s="695" t="s">
        <v>1785</v>
      </c>
      <c r="E496" s="696" t="s">
        <v>1280</v>
      </c>
      <c r="F496" s="614" t="s">
        <v>1243</v>
      </c>
      <c r="G496" s="614" t="s">
        <v>1291</v>
      </c>
      <c r="H496" s="614" t="s">
        <v>325</v>
      </c>
      <c r="I496" s="614" t="s">
        <v>930</v>
      </c>
      <c r="J496" s="614" t="s">
        <v>931</v>
      </c>
      <c r="K496" s="614" t="s">
        <v>932</v>
      </c>
      <c r="L496" s="615">
        <v>147.31</v>
      </c>
      <c r="M496" s="615">
        <v>1031.1699999999998</v>
      </c>
      <c r="N496" s="614">
        <v>7</v>
      </c>
      <c r="O496" s="697">
        <v>6</v>
      </c>
      <c r="P496" s="615">
        <v>147.31</v>
      </c>
      <c r="Q496" s="630">
        <v>0.14285714285714288</v>
      </c>
      <c r="R496" s="614">
        <v>1</v>
      </c>
      <c r="S496" s="630">
        <v>0.14285714285714285</v>
      </c>
      <c r="T496" s="697">
        <v>1</v>
      </c>
      <c r="U496" s="653">
        <v>0.16666666666666666</v>
      </c>
    </row>
    <row r="497" spans="1:21" ht="14.4" customHeight="1" x14ac:dyDescent="0.3">
      <c r="A497" s="613">
        <v>25</v>
      </c>
      <c r="B497" s="614" t="s">
        <v>1112</v>
      </c>
      <c r="C497" s="614" t="s">
        <v>1251</v>
      </c>
      <c r="D497" s="695" t="s">
        <v>1785</v>
      </c>
      <c r="E497" s="696" t="s">
        <v>1280</v>
      </c>
      <c r="F497" s="614" t="s">
        <v>1243</v>
      </c>
      <c r="G497" s="614" t="s">
        <v>1297</v>
      </c>
      <c r="H497" s="614" t="s">
        <v>325</v>
      </c>
      <c r="I497" s="614" t="s">
        <v>907</v>
      </c>
      <c r="J497" s="614" t="s">
        <v>908</v>
      </c>
      <c r="K497" s="614" t="s">
        <v>1296</v>
      </c>
      <c r="L497" s="615">
        <v>30.17</v>
      </c>
      <c r="M497" s="615">
        <v>60.34</v>
      </c>
      <c r="N497" s="614">
        <v>2</v>
      </c>
      <c r="O497" s="697">
        <v>1</v>
      </c>
      <c r="P497" s="615"/>
      <c r="Q497" s="630">
        <v>0</v>
      </c>
      <c r="R497" s="614"/>
      <c r="S497" s="630">
        <v>0</v>
      </c>
      <c r="T497" s="697"/>
      <c r="U497" s="653">
        <v>0</v>
      </c>
    </row>
    <row r="498" spans="1:21" ht="14.4" customHeight="1" x14ac:dyDescent="0.3">
      <c r="A498" s="613">
        <v>25</v>
      </c>
      <c r="B498" s="614" t="s">
        <v>1112</v>
      </c>
      <c r="C498" s="614" t="s">
        <v>1251</v>
      </c>
      <c r="D498" s="695" t="s">
        <v>1785</v>
      </c>
      <c r="E498" s="696" t="s">
        <v>1280</v>
      </c>
      <c r="F498" s="614" t="s">
        <v>1243</v>
      </c>
      <c r="G498" s="614" t="s">
        <v>1292</v>
      </c>
      <c r="H498" s="614" t="s">
        <v>770</v>
      </c>
      <c r="I498" s="614" t="s">
        <v>1307</v>
      </c>
      <c r="J498" s="614" t="s">
        <v>714</v>
      </c>
      <c r="K498" s="614" t="s">
        <v>1308</v>
      </c>
      <c r="L498" s="615">
        <v>24.22</v>
      </c>
      <c r="M498" s="615">
        <v>24.22</v>
      </c>
      <c r="N498" s="614">
        <v>1</v>
      </c>
      <c r="O498" s="697">
        <v>0.5</v>
      </c>
      <c r="P498" s="615"/>
      <c r="Q498" s="630">
        <v>0</v>
      </c>
      <c r="R498" s="614"/>
      <c r="S498" s="630">
        <v>0</v>
      </c>
      <c r="T498" s="697"/>
      <c r="U498" s="653">
        <v>0</v>
      </c>
    </row>
    <row r="499" spans="1:21" ht="14.4" customHeight="1" x14ac:dyDescent="0.3">
      <c r="A499" s="613">
        <v>25</v>
      </c>
      <c r="B499" s="614" t="s">
        <v>1112</v>
      </c>
      <c r="C499" s="614" t="s">
        <v>1251</v>
      </c>
      <c r="D499" s="695" t="s">
        <v>1785</v>
      </c>
      <c r="E499" s="696" t="s">
        <v>1280</v>
      </c>
      <c r="F499" s="614" t="s">
        <v>1243</v>
      </c>
      <c r="G499" s="614" t="s">
        <v>1292</v>
      </c>
      <c r="H499" s="614" t="s">
        <v>770</v>
      </c>
      <c r="I499" s="614" t="s">
        <v>776</v>
      </c>
      <c r="J499" s="614" t="s">
        <v>714</v>
      </c>
      <c r="K499" s="614" t="s">
        <v>1219</v>
      </c>
      <c r="L499" s="615">
        <v>48.42</v>
      </c>
      <c r="M499" s="615">
        <v>338.94000000000005</v>
      </c>
      <c r="N499" s="614">
        <v>7</v>
      </c>
      <c r="O499" s="697">
        <v>5</v>
      </c>
      <c r="P499" s="615"/>
      <c r="Q499" s="630">
        <v>0</v>
      </c>
      <c r="R499" s="614"/>
      <c r="S499" s="630">
        <v>0</v>
      </c>
      <c r="T499" s="697"/>
      <c r="U499" s="653">
        <v>0</v>
      </c>
    </row>
    <row r="500" spans="1:21" ht="14.4" customHeight="1" x14ac:dyDescent="0.3">
      <c r="A500" s="613">
        <v>25</v>
      </c>
      <c r="B500" s="614" t="s">
        <v>1112</v>
      </c>
      <c r="C500" s="614" t="s">
        <v>1251</v>
      </c>
      <c r="D500" s="695" t="s">
        <v>1785</v>
      </c>
      <c r="E500" s="696" t="s">
        <v>1280</v>
      </c>
      <c r="F500" s="614" t="s">
        <v>1243</v>
      </c>
      <c r="G500" s="614" t="s">
        <v>1292</v>
      </c>
      <c r="H500" s="614" t="s">
        <v>325</v>
      </c>
      <c r="I500" s="614" t="s">
        <v>713</v>
      </c>
      <c r="J500" s="614" t="s">
        <v>714</v>
      </c>
      <c r="K500" s="614" t="s">
        <v>1310</v>
      </c>
      <c r="L500" s="615">
        <v>48.42</v>
      </c>
      <c r="M500" s="615">
        <v>48.42</v>
      </c>
      <c r="N500" s="614">
        <v>1</v>
      </c>
      <c r="O500" s="697">
        <v>0.5</v>
      </c>
      <c r="P500" s="615"/>
      <c r="Q500" s="630">
        <v>0</v>
      </c>
      <c r="R500" s="614"/>
      <c r="S500" s="630">
        <v>0</v>
      </c>
      <c r="T500" s="697"/>
      <c r="U500" s="653">
        <v>0</v>
      </c>
    </row>
    <row r="501" spans="1:21" ht="14.4" customHeight="1" x14ac:dyDescent="0.3">
      <c r="A501" s="613">
        <v>25</v>
      </c>
      <c r="B501" s="614" t="s">
        <v>1112</v>
      </c>
      <c r="C501" s="614" t="s">
        <v>1251</v>
      </c>
      <c r="D501" s="695" t="s">
        <v>1785</v>
      </c>
      <c r="E501" s="696" t="s">
        <v>1281</v>
      </c>
      <c r="F501" s="614" t="s">
        <v>1243</v>
      </c>
      <c r="G501" s="614" t="s">
        <v>1287</v>
      </c>
      <c r="H501" s="614" t="s">
        <v>325</v>
      </c>
      <c r="I501" s="614" t="s">
        <v>1329</v>
      </c>
      <c r="J501" s="614" t="s">
        <v>1330</v>
      </c>
      <c r="K501" s="614" t="s">
        <v>1331</v>
      </c>
      <c r="L501" s="615">
        <v>154.36000000000001</v>
      </c>
      <c r="M501" s="615">
        <v>154.36000000000001</v>
      </c>
      <c r="N501" s="614">
        <v>1</v>
      </c>
      <c r="O501" s="697">
        <v>1</v>
      </c>
      <c r="P501" s="615"/>
      <c r="Q501" s="630">
        <v>0</v>
      </c>
      <c r="R501" s="614"/>
      <c r="S501" s="630">
        <v>0</v>
      </c>
      <c r="T501" s="697"/>
      <c r="U501" s="653">
        <v>0</v>
      </c>
    </row>
    <row r="502" spans="1:21" ht="14.4" customHeight="1" x14ac:dyDescent="0.3">
      <c r="A502" s="613">
        <v>25</v>
      </c>
      <c r="B502" s="614" t="s">
        <v>1112</v>
      </c>
      <c r="C502" s="614" t="s">
        <v>1251</v>
      </c>
      <c r="D502" s="695" t="s">
        <v>1785</v>
      </c>
      <c r="E502" s="696" t="s">
        <v>1281</v>
      </c>
      <c r="F502" s="614" t="s">
        <v>1243</v>
      </c>
      <c r="G502" s="614" t="s">
        <v>1287</v>
      </c>
      <c r="H502" s="614" t="s">
        <v>325</v>
      </c>
      <c r="I502" s="614" t="s">
        <v>1332</v>
      </c>
      <c r="J502" s="614" t="s">
        <v>864</v>
      </c>
      <c r="K502" s="614" t="s">
        <v>566</v>
      </c>
      <c r="L502" s="615">
        <v>0</v>
      </c>
      <c r="M502" s="615">
        <v>0</v>
      </c>
      <c r="N502" s="614">
        <v>1</v>
      </c>
      <c r="O502" s="697">
        <v>1</v>
      </c>
      <c r="P502" s="615">
        <v>0</v>
      </c>
      <c r="Q502" s="630"/>
      <c r="R502" s="614">
        <v>1</v>
      </c>
      <c r="S502" s="630">
        <v>1</v>
      </c>
      <c r="T502" s="697">
        <v>1</v>
      </c>
      <c r="U502" s="653">
        <v>1</v>
      </c>
    </row>
    <row r="503" spans="1:21" ht="14.4" customHeight="1" x14ac:dyDescent="0.3">
      <c r="A503" s="613">
        <v>25</v>
      </c>
      <c r="B503" s="614" t="s">
        <v>1112</v>
      </c>
      <c r="C503" s="614" t="s">
        <v>1251</v>
      </c>
      <c r="D503" s="695" t="s">
        <v>1785</v>
      </c>
      <c r="E503" s="696" t="s">
        <v>1281</v>
      </c>
      <c r="F503" s="614" t="s">
        <v>1243</v>
      </c>
      <c r="G503" s="614" t="s">
        <v>1287</v>
      </c>
      <c r="H503" s="614" t="s">
        <v>770</v>
      </c>
      <c r="I503" s="614" t="s">
        <v>956</v>
      </c>
      <c r="J503" s="614" t="s">
        <v>864</v>
      </c>
      <c r="K503" s="614" t="s">
        <v>1196</v>
      </c>
      <c r="L503" s="615">
        <v>154.36000000000001</v>
      </c>
      <c r="M503" s="615">
        <v>463.08000000000004</v>
      </c>
      <c r="N503" s="614">
        <v>3</v>
      </c>
      <c r="O503" s="697">
        <v>3</v>
      </c>
      <c r="P503" s="615"/>
      <c r="Q503" s="630">
        <v>0</v>
      </c>
      <c r="R503" s="614"/>
      <c r="S503" s="630">
        <v>0</v>
      </c>
      <c r="T503" s="697"/>
      <c r="U503" s="653">
        <v>0</v>
      </c>
    </row>
    <row r="504" spans="1:21" ht="14.4" customHeight="1" x14ac:dyDescent="0.3">
      <c r="A504" s="613">
        <v>25</v>
      </c>
      <c r="B504" s="614" t="s">
        <v>1112</v>
      </c>
      <c r="C504" s="614" t="s">
        <v>1251</v>
      </c>
      <c r="D504" s="695" t="s">
        <v>1785</v>
      </c>
      <c r="E504" s="696" t="s">
        <v>1281</v>
      </c>
      <c r="F504" s="614" t="s">
        <v>1243</v>
      </c>
      <c r="G504" s="614" t="s">
        <v>1287</v>
      </c>
      <c r="H504" s="614" t="s">
        <v>770</v>
      </c>
      <c r="I504" s="614" t="s">
        <v>1067</v>
      </c>
      <c r="J504" s="614" t="s">
        <v>1234</v>
      </c>
      <c r="K504" s="614" t="s">
        <v>1195</v>
      </c>
      <c r="L504" s="615">
        <v>149.52000000000001</v>
      </c>
      <c r="M504" s="615">
        <v>747.6</v>
      </c>
      <c r="N504" s="614">
        <v>5</v>
      </c>
      <c r="O504" s="697">
        <v>5</v>
      </c>
      <c r="P504" s="615"/>
      <c r="Q504" s="630">
        <v>0</v>
      </c>
      <c r="R504" s="614"/>
      <c r="S504" s="630">
        <v>0</v>
      </c>
      <c r="T504" s="697"/>
      <c r="U504" s="653">
        <v>0</v>
      </c>
    </row>
    <row r="505" spans="1:21" ht="14.4" customHeight="1" x14ac:dyDescent="0.3">
      <c r="A505" s="613">
        <v>25</v>
      </c>
      <c r="B505" s="614" t="s">
        <v>1112</v>
      </c>
      <c r="C505" s="614" t="s">
        <v>1251</v>
      </c>
      <c r="D505" s="695" t="s">
        <v>1785</v>
      </c>
      <c r="E505" s="696" t="s">
        <v>1281</v>
      </c>
      <c r="F505" s="614" t="s">
        <v>1243</v>
      </c>
      <c r="G505" s="614" t="s">
        <v>1287</v>
      </c>
      <c r="H505" s="614" t="s">
        <v>325</v>
      </c>
      <c r="I505" s="614" t="s">
        <v>1288</v>
      </c>
      <c r="J505" s="614" t="s">
        <v>864</v>
      </c>
      <c r="K505" s="614" t="s">
        <v>1196</v>
      </c>
      <c r="L505" s="615">
        <v>150.04</v>
      </c>
      <c r="M505" s="615">
        <v>150.04</v>
      </c>
      <c r="N505" s="614">
        <v>1</v>
      </c>
      <c r="O505" s="697">
        <v>1</v>
      </c>
      <c r="P505" s="615"/>
      <c r="Q505" s="630">
        <v>0</v>
      </c>
      <c r="R505" s="614"/>
      <c r="S505" s="630">
        <v>0</v>
      </c>
      <c r="T505" s="697"/>
      <c r="U505" s="653">
        <v>0</v>
      </c>
    </row>
    <row r="506" spans="1:21" ht="14.4" customHeight="1" x14ac:dyDescent="0.3">
      <c r="A506" s="613">
        <v>25</v>
      </c>
      <c r="B506" s="614" t="s">
        <v>1112</v>
      </c>
      <c r="C506" s="614" t="s">
        <v>1251</v>
      </c>
      <c r="D506" s="695" t="s">
        <v>1785</v>
      </c>
      <c r="E506" s="696" t="s">
        <v>1281</v>
      </c>
      <c r="F506" s="614" t="s">
        <v>1243</v>
      </c>
      <c r="G506" s="614" t="s">
        <v>1287</v>
      </c>
      <c r="H506" s="614" t="s">
        <v>325</v>
      </c>
      <c r="I506" s="614" t="s">
        <v>1288</v>
      </c>
      <c r="J506" s="614" t="s">
        <v>864</v>
      </c>
      <c r="K506" s="614" t="s">
        <v>1196</v>
      </c>
      <c r="L506" s="615">
        <v>154.36000000000001</v>
      </c>
      <c r="M506" s="615">
        <v>1852.3200000000006</v>
      </c>
      <c r="N506" s="614">
        <v>12</v>
      </c>
      <c r="O506" s="697">
        <v>11.5</v>
      </c>
      <c r="P506" s="615"/>
      <c r="Q506" s="630">
        <v>0</v>
      </c>
      <c r="R506" s="614"/>
      <c r="S506" s="630">
        <v>0</v>
      </c>
      <c r="T506" s="697"/>
      <c r="U506" s="653">
        <v>0</v>
      </c>
    </row>
    <row r="507" spans="1:21" ht="14.4" customHeight="1" x14ac:dyDescent="0.3">
      <c r="A507" s="613">
        <v>25</v>
      </c>
      <c r="B507" s="614" t="s">
        <v>1112</v>
      </c>
      <c r="C507" s="614" t="s">
        <v>1251</v>
      </c>
      <c r="D507" s="695" t="s">
        <v>1785</v>
      </c>
      <c r="E507" s="696" t="s">
        <v>1281</v>
      </c>
      <c r="F507" s="614" t="s">
        <v>1243</v>
      </c>
      <c r="G507" s="614" t="s">
        <v>1287</v>
      </c>
      <c r="H507" s="614" t="s">
        <v>325</v>
      </c>
      <c r="I507" s="614" t="s">
        <v>1746</v>
      </c>
      <c r="J507" s="614" t="s">
        <v>1330</v>
      </c>
      <c r="K507" s="614" t="s">
        <v>1747</v>
      </c>
      <c r="L507" s="615">
        <v>0</v>
      </c>
      <c r="M507" s="615">
        <v>0</v>
      </c>
      <c r="N507" s="614">
        <v>1</v>
      </c>
      <c r="O507" s="697">
        <v>1</v>
      </c>
      <c r="P507" s="615"/>
      <c r="Q507" s="630"/>
      <c r="R507" s="614"/>
      <c r="S507" s="630">
        <v>0</v>
      </c>
      <c r="T507" s="697"/>
      <c r="U507" s="653">
        <v>0</v>
      </c>
    </row>
    <row r="508" spans="1:21" ht="14.4" customHeight="1" x14ac:dyDescent="0.3">
      <c r="A508" s="613">
        <v>25</v>
      </c>
      <c r="B508" s="614" t="s">
        <v>1112</v>
      </c>
      <c r="C508" s="614" t="s">
        <v>1251</v>
      </c>
      <c r="D508" s="695" t="s">
        <v>1785</v>
      </c>
      <c r="E508" s="696" t="s">
        <v>1281</v>
      </c>
      <c r="F508" s="614" t="s">
        <v>1243</v>
      </c>
      <c r="G508" s="614" t="s">
        <v>1505</v>
      </c>
      <c r="H508" s="614" t="s">
        <v>325</v>
      </c>
      <c r="I508" s="614" t="s">
        <v>1778</v>
      </c>
      <c r="J508" s="614" t="s">
        <v>1779</v>
      </c>
      <c r="K508" s="614" t="s">
        <v>1508</v>
      </c>
      <c r="L508" s="615">
        <v>119.7</v>
      </c>
      <c r="M508" s="615">
        <v>119.7</v>
      </c>
      <c r="N508" s="614">
        <v>1</v>
      </c>
      <c r="O508" s="697">
        <v>1</v>
      </c>
      <c r="P508" s="615"/>
      <c r="Q508" s="630">
        <v>0</v>
      </c>
      <c r="R508" s="614"/>
      <c r="S508" s="630">
        <v>0</v>
      </c>
      <c r="T508" s="697"/>
      <c r="U508" s="653">
        <v>0</v>
      </c>
    </row>
    <row r="509" spans="1:21" ht="14.4" customHeight="1" x14ac:dyDescent="0.3">
      <c r="A509" s="613">
        <v>25</v>
      </c>
      <c r="B509" s="614" t="s">
        <v>1112</v>
      </c>
      <c r="C509" s="614" t="s">
        <v>1251</v>
      </c>
      <c r="D509" s="695" t="s">
        <v>1785</v>
      </c>
      <c r="E509" s="696" t="s">
        <v>1281</v>
      </c>
      <c r="F509" s="614" t="s">
        <v>1243</v>
      </c>
      <c r="G509" s="614" t="s">
        <v>1289</v>
      </c>
      <c r="H509" s="614" t="s">
        <v>325</v>
      </c>
      <c r="I509" s="614" t="s">
        <v>1337</v>
      </c>
      <c r="J509" s="614" t="s">
        <v>920</v>
      </c>
      <c r="K509" s="614" t="s">
        <v>1338</v>
      </c>
      <c r="L509" s="615">
        <v>0</v>
      </c>
      <c r="M509" s="615">
        <v>0</v>
      </c>
      <c r="N509" s="614">
        <v>1</v>
      </c>
      <c r="O509" s="697">
        <v>1</v>
      </c>
      <c r="P509" s="615"/>
      <c r="Q509" s="630"/>
      <c r="R509" s="614"/>
      <c r="S509" s="630">
        <v>0</v>
      </c>
      <c r="T509" s="697"/>
      <c r="U509" s="653">
        <v>0</v>
      </c>
    </row>
    <row r="510" spans="1:21" ht="14.4" customHeight="1" x14ac:dyDescent="0.3">
      <c r="A510" s="613">
        <v>25</v>
      </c>
      <c r="B510" s="614" t="s">
        <v>1112</v>
      </c>
      <c r="C510" s="614" t="s">
        <v>1251</v>
      </c>
      <c r="D510" s="695" t="s">
        <v>1785</v>
      </c>
      <c r="E510" s="696" t="s">
        <v>1281</v>
      </c>
      <c r="F510" s="614" t="s">
        <v>1243</v>
      </c>
      <c r="G510" s="614" t="s">
        <v>1292</v>
      </c>
      <c r="H510" s="614" t="s">
        <v>770</v>
      </c>
      <c r="I510" s="614" t="s">
        <v>1307</v>
      </c>
      <c r="J510" s="614" t="s">
        <v>714</v>
      </c>
      <c r="K510" s="614" t="s">
        <v>1308</v>
      </c>
      <c r="L510" s="615">
        <v>24.22</v>
      </c>
      <c r="M510" s="615">
        <v>48.44</v>
      </c>
      <c r="N510" s="614">
        <v>2</v>
      </c>
      <c r="O510" s="697">
        <v>2</v>
      </c>
      <c r="P510" s="615"/>
      <c r="Q510" s="630">
        <v>0</v>
      </c>
      <c r="R510" s="614"/>
      <c r="S510" s="630">
        <v>0</v>
      </c>
      <c r="T510" s="697"/>
      <c r="U510" s="653">
        <v>0</v>
      </c>
    </row>
    <row r="511" spans="1:21" ht="14.4" customHeight="1" x14ac:dyDescent="0.3">
      <c r="A511" s="613">
        <v>25</v>
      </c>
      <c r="B511" s="614" t="s">
        <v>1112</v>
      </c>
      <c r="C511" s="614" t="s">
        <v>1251</v>
      </c>
      <c r="D511" s="695" t="s">
        <v>1785</v>
      </c>
      <c r="E511" s="696" t="s">
        <v>1281</v>
      </c>
      <c r="F511" s="614" t="s">
        <v>1243</v>
      </c>
      <c r="G511" s="614" t="s">
        <v>1292</v>
      </c>
      <c r="H511" s="614" t="s">
        <v>325</v>
      </c>
      <c r="I511" s="614" t="s">
        <v>1757</v>
      </c>
      <c r="J511" s="614" t="s">
        <v>714</v>
      </c>
      <c r="K511" s="614" t="s">
        <v>1758</v>
      </c>
      <c r="L511" s="615">
        <v>0</v>
      </c>
      <c r="M511" s="615">
        <v>0</v>
      </c>
      <c r="N511" s="614">
        <v>4</v>
      </c>
      <c r="O511" s="697">
        <v>3.5</v>
      </c>
      <c r="P511" s="615"/>
      <c r="Q511" s="630"/>
      <c r="R511" s="614"/>
      <c r="S511" s="630">
        <v>0</v>
      </c>
      <c r="T511" s="697"/>
      <c r="U511" s="653">
        <v>0</v>
      </c>
    </row>
    <row r="512" spans="1:21" ht="14.4" customHeight="1" x14ac:dyDescent="0.3">
      <c r="A512" s="613">
        <v>25</v>
      </c>
      <c r="B512" s="614" t="s">
        <v>1112</v>
      </c>
      <c r="C512" s="614" t="s">
        <v>1251</v>
      </c>
      <c r="D512" s="695" t="s">
        <v>1785</v>
      </c>
      <c r="E512" s="696" t="s">
        <v>1281</v>
      </c>
      <c r="F512" s="614" t="s">
        <v>1243</v>
      </c>
      <c r="G512" s="614" t="s">
        <v>1292</v>
      </c>
      <c r="H512" s="614" t="s">
        <v>325</v>
      </c>
      <c r="I512" s="614" t="s">
        <v>1341</v>
      </c>
      <c r="J512" s="614" t="s">
        <v>714</v>
      </c>
      <c r="K512" s="614" t="s">
        <v>1342</v>
      </c>
      <c r="L512" s="615">
        <v>0</v>
      </c>
      <c r="M512" s="615">
        <v>0</v>
      </c>
      <c r="N512" s="614">
        <v>1</v>
      </c>
      <c r="O512" s="697">
        <v>1</v>
      </c>
      <c r="P512" s="615"/>
      <c r="Q512" s="630"/>
      <c r="R512" s="614"/>
      <c r="S512" s="630">
        <v>0</v>
      </c>
      <c r="T512" s="697"/>
      <c r="U512" s="653">
        <v>0</v>
      </c>
    </row>
    <row r="513" spans="1:21" ht="14.4" customHeight="1" x14ac:dyDescent="0.3">
      <c r="A513" s="613">
        <v>25</v>
      </c>
      <c r="B513" s="614" t="s">
        <v>1112</v>
      </c>
      <c r="C513" s="614" t="s">
        <v>1251</v>
      </c>
      <c r="D513" s="695" t="s">
        <v>1785</v>
      </c>
      <c r="E513" s="696" t="s">
        <v>1281</v>
      </c>
      <c r="F513" s="614" t="s">
        <v>1243</v>
      </c>
      <c r="G513" s="614" t="s">
        <v>1292</v>
      </c>
      <c r="H513" s="614" t="s">
        <v>325</v>
      </c>
      <c r="I513" s="614" t="s">
        <v>1298</v>
      </c>
      <c r="J513" s="614" t="s">
        <v>714</v>
      </c>
      <c r="K513" s="614" t="s">
        <v>1299</v>
      </c>
      <c r="L513" s="615">
        <v>24.22</v>
      </c>
      <c r="M513" s="615">
        <v>24.22</v>
      </c>
      <c r="N513" s="614">
        <v>1</v>
      </c>
      <c r="O513" s="697">
        <v>1</v>
      </c>
      <c r="P513" s="615"/>
      <c r="Q513" s="630">
        <v>0</v>
      </c>
      <c r="R513" s="614"/>
      <c r="S513" s="630">
        <v>0</v>
      </c>
      <c r="T513" s="697"/>
      <c r="U513" s="653">
        <v>0</v>
      </c>
    </row>
    <row r="514" spans="1:21" ht="14.4" customHeight="1" x14ac:dyDescent="0.3">
      <c r="A514" s="613">
        <v>25</v>
      </c>
      <c r="B514" s="614" t="s">
        <v>1112</v>
      </c>
      <c r="C514" s="614" t="s">
        <v>1251</v>
      </c>
      <c r="D514" s="695" t="s">
        <v>1785</v>
      </c>
      <c r="E514" s="696" t="s">
        <v>1281</v>
      </c>
      <c r="F514" s="614" t="s">
        <v>1243</v>
      </c>
      <c r="G514" s="614" t="s">
        <v>1292</v>
      </c>
      <c r="H514" s="614" t="s">
        <v>325</v>
      </c>
      <c r="I514" s="614" t="s">
        <v>1759</v>
      </c>
      <c r="J514" s="614" t="s">
        <v>714</v>
      </c>
      <c r="K514" s="614" t="s">
        <v>1219</v>
      </c>
      <c r="L514" s="615">
        <v>48.42</v>
      </c>
      <c r="M514" s="615">
        <v>48.42</v>
      </c>
      <c r="N514" s="614">
        <v>1</v>
      </c>
      <c r="O514" s="697">
        <v>1</v>
      </c>
      <c r="P514" s="615"/>
      <c r="Q514" s="630">
        <v>0</v>
      </c>
      <c r="R514" s="614"/>
      <c r="S514" s="630">
        <v>0</v>
      </c>
      <c r="T514" s="697"/>
      <c r="U514" s="653">
        <v>0</v>
      </c>
    </row>
    <row r="515" spans="1:21" ht="14.4" customHeight="1" x14ac:dyDescent="0.3">
      <c r="A515" s="613">
        <v>25</v>
      </c>
      <c r="B515" s="614" t="s">
        <v>1112</v>
      </c>
      <c r="C515" s="614" t="s">
        <v>1251</v>
      </c>
      <c r="D515" s="695" t="s">
        <v>1785</v>
      </c>
      <c r="E515" s="696" t="s">
        <v>1282</v>
      </c>
      <c r="F515" s="614" t="s">
        <v>1243</v>
      </c>
      <c r="G515" s="614" t="s">
        <v>1287</v>
      </c>
      <c r="H515" s="614" t="s">
        <v>325</v>
      </c>
      <c r="I515" s="614" t="s">
        <v>1329</v>
      </c>
      <c r="J515" s="614" t="s">
        <v>1330</v>
      </c>
      <c r="K515" s="614" t="s">
        <v>1331</v>
      </c>
      <c r="L515" s="615">
        <v>154.36000000000001</v>
      </c>
      <c r="M515" s="615">
        <v>154.36000000000001</v>
      </c>
      <c r="N515" s="614">
        <v>1</v>
      </c>
      <c r="O515" s="697">
        <v>1</v>
      </c>
      <c r="P515" s="615"/>
      <c r="Q515" s="630">
        <v>0</v>
      </c>
      <c r="R515" s="614"/>
      <c r="S515" s="630">
        <v>0</v>
      </c>
      <c r="T515" s="697"/>
      <c r="U515" s="653">
        <v>0</v>
      </c>
    </row>
    <row r="516" spans="1:21" ht="14.4" customHeight="1" x14ac:dyDescent="0.3">
      <c r="A516" s="613">
        <v>25</v>
      </c>
      <c r="B516" s="614" t="s">
        <v>1112</v>
      </c>
      <c r="C516" s="614" t="s">
        <v>1251</v>
      </c>
      <c r="D516" s="695" t="s">
        <v>1785</v>
      </c>
      <c r="E516" s="696" t="s">
        <v>1282</v>
      </c>
      <c r="F516" s="614" t="s">
        <v>1243</v>
      </c>
      <c r="G516" s="614" t="s">
        <v>1287</v>
      </c>
      <c r="H516" s="614" t="s">
        <v>770</v>
      </c>
      <c r="I516" s="614" t="s">
        <v>956</v>
      </c>
      <c r="J516" s="614" t="s">
        <v>864</v>
      </c>
      <c r="K516" s="614" t="s">
        <v>1196</v>
      </c>
      <c r="L516" s="615">
        <v>154.36000000000001</v>
      </c>
      <c r="M516" s="615">
        <v>463.08000000000004</v>
      </c>
      <c r="N516" s="614">
        <v>3</v>
      </c>
      <c r="O516" s="697">
        <v>3</v>
      </c>
      <c r="P516" s="615"/>
      <c r="Q516" s="630">
        <v>0</v>
      </c>
      <c r="R516" s="614"/>
      <c r="S516" s="630">
        <v>0</v>
      </c>
      <c r="T516" s="697"/>
      <c r="U516" s="653">
        <v>0</v>
      </c>
    </row>
    <row r="517" spans="1:21" ht="14.4" customHeight="1" x14ac:dyDescent="0.3">
      <c r="A517" s="613">
        <v>25</v>
      </c>
      <c r="B517" s="614" t="s">
        <v>1112</v>
      </c>
      <c r="C517" s="614" t="s">
        <v>1251</v>
      </c>
      <c r="D517" s="695" t="s">
        <v>1785</v>
      </c>
      <c r="E517" s="696" t="s">
        <v>1282</v>
      </c>
      <c r="F517" s="614" t="s">
        <v>1243</v>
      </c>
      <c r="G517" s="614" t="s">
        <v>1287</v>
      </c>
      <c r="H517" s="614" t="s">
        <v>770</v>
      </c>
      <c r="I517" s="614" t="s">
        <v>863</v>
      </c>
      <c r="J517" s="614" t="s">
        <v>864</v>
      </c>
      <c r="K517" s="614" t="s">
        <v>1195</v>
      </c>
      <c r="L517" s="615">
        <v>225.06</v>
      </c>
      <c r="M517" s="615">
        <v>225.06</v>
      </c>
      <c r="N517" s="614">
        <v>1</v>
      </c>
      <c r="O517" s="697">
        <v>1</v>
      </c>
      <c r="P517" s="615"/>
      <c r="Q517" s="630">
        <v>0</v>
      </c>
      <c r="R517" s="614"/>
      <c r="S517" s="630">
        <v>0</v>
      </c>
      <c r="T517" s="697"/>
      <c r="U517" s="653">
        <v>0</v>
      </c>
    </row>
    <row r="518" spans="1:21" ht="14.4" customHeight="1" x14ac:dyDescent="0.3">
      <c r="A518" s="613">
        <v>25</v>
      </c>
      <c r="B518" s="614" t="s">
        <v>1112</v>
      </c>
      <c r="C518" s="614" t="s">
        <v>1251</v>
      </c>
      <c r="D518" s="695" t="s">
        <v>1785</v>
      </c>
      <c r="E518" s="696" t="s">
        <v>1283</v>
      </c>
      <c r="F518" s="614" t="s">
        <v>1243</v>
      </c>
      <c r="G518" s="614" t="s">
        <v>1287</v>
      </c>
      <c r="H518" s="614" t="s">
        <v>770</v>
      </c>
      <c r="I518" s="614" t="s">
        <v>956</v>
      </c>
      <c r="J518" s="614" t="s">
        <v>864</v>
      </c>
      <c r="K518" s="614" t="s">
        <v>1196</v>
      </c>
      <c r="L518" s="615">
        <v>154.36000000000001</v>
      </c>
      <c r="M518" s="615">
        <v>2006.6800000000007</v>
      </c>
      <c r="N518" s="614">
        <v>13</v>
      </c>
      <c r="O518" s="697">
        <v>12</v>
      </c>
      <c r="P518" s="615"/>
      <c r="Q518" s="630">
        <v>0</v>
      </c>
      <c r="R518" s="614"/>
      <c r="S518" s="630">
        <v>0</v>
      </c>
      <c r="T518" s="697"/>
      <c r="U518" s="653">
        <v>0</v>
      </c>
    </row>
    <row r="519" spans="1:21" ht="14.4" customHeight="1" x14ac:dyDescent="0.3">
      <c r="A519" s="613">
        <v>25</v>
      </c>
      <c r="B519" s="614" t="s">
        <v>1112</v>
      </c>
      <c r="C519" s="614" t="s">
        <v>1251</v>
      </c>
      <c r="D519" s="695" t="s">
        <v>1785</v>
      </c>
      <c r="E519" s="696" t="s">
        <v>1283</v>
      </c>
      <c r="F519" s="614" t="s">
        <v>1243</v>
      </c>
      <c r="G519" s="614" t="s">
        <v>1289</v>
      </c>
      <c r="H519" s="614" t="s">
        <v>325</v>
      </c>
      <c r="I519" s="614" t="s">
        <v>1780</v>
      </c>
      <c r="J519" s="614" t="s">
        <v>1751</v>
      </c>
      <c r="K519" s="614" t="s">
        <v>1781</v>
      </c>
      <c r="L519" s="615">
        <v>85.27</v>
      </c>
      <c r="M519" s="615">
        <v>85.27</v>
      </c>
      <c r="N519" s="614">
        <v>1</v>
      </c>
      <c r="O519" s="697">
        <v>1</v>
      </c>
      <c r="P519" s="615"/>
      <c r="Q519" s="630">
        <v>0</v>
      </c>
      <c r="R519" s="614"/>
      <c r="S519" s="630">
        <v>0</v>
      </c>
      <c r="T519" s="697"/>
      <c r="U519" s="653">
        <v>0</v>
      </c>
    </row>
    <row r="520" spans="1:21" ht="14.4" customHeight="1" x14ac:dyDescent="0.3">
      <c r="A520" s="613">
        <v>25</v>
      </c>
      <c r="B520" s="614" t="s">
        <v>1112</v>
      </c>
      <c r="C520" s="614" t="s">
        <v>1251</v>
      </c>
      <c r="D520" s="695" t="s">
        <v>1785</v>
      </c>
      <c r="E520" s="696" t="s">
        <v>1283</v>
      </c>
      <c r="F520" s="614" t="s">
        <v>1243</v>
      </c>
      <c r="G520" s="614" t="s">
        <v>1291</v>
      </c>
      <c r="H520" s="614" t="s">
        <v>325</v>
      </c>
      <c r="I520" s="614" t="s">
        <v>930</v>
      </c>
      <c r="J520" s="614" t="s">
        <v>931</v>
      </c>
      <c r="K520" s="614" t="s">
        <v>932</v>
      </c>
      <c r="L520" s="615">
        <v>147.31</v>
      </c>
      <c r="M520" s="615">
        <v>147.31</v>
      </c>
      <c r="N520" s="614">
        <v>1</v>
      </c>
      <c r="O520" s="697">
        <v>1</v>
      </c>
      <c r="P520" s="615"/>
      <c r="Q520" s="630">
        <v>0</v>
      </c>
      <c r="R520" s="614"/>
      <c r="S520" s="630">
        <v>0</v>
      </c>
      <c r="T520" s="697"/>
      <c r="U520" s="653">
        <v>0</v>
      </c>
    </row>
    <row r="521" spans="1:21" ht="14.4" customHeight="1" x14ac:dyDescent="0.3">
      <c r="A521" s="613">
        <v>25</v>
      </c>
      <c r="B521" s="614" t="s">
        <v>1112</v>
      </c>
      <c r="C521" s="614" t="s">
        <v>1251</v>
      </c>
      <c r="D521" s="695" t="s">
        <v>1785</v>
      </c>
      <c r="E521" s="696" t="s">
        <v>1283</v>
      </c>
      <c r="F521" s="614" t="s">
        <v>1243</v>
      </c>
      <c r="G521" s="614" t="s">
        <v>1297</v>
      </c>
      <c r="H521" s="614" t="s">
        <v>325</v>
      </c>
      <c r="I521" s="614" t="s">
        <v>907</v>
      </c>
      <c r="J521" s="614" t="s">
        <v>908</v>
      </c>
      <c r="K521" s="614" t="s">
        <v>1296</v>
      </c>
      <c r="L521" s="615">
        <v>30.17</v>
      </c>
      <c r="M521" s="615">
        <v>30.17</v>
      </c>
      <c r="N521" s="614">
        <v>1</v>
      </c>
      <c r="O521" s="697">
        <v>0.5</v>
      </c>
      <c r="P521" s="615"/>
      <c r="Q521" s="630">
        <v>0</v>
      </c>
      <c r="R521" s="614"/>
      <c r="S521" s="630">
        <v>0</v>
      </c>
      <c r="T521" s="697"/>
      <c r="U521" s="653">
        <v>0</v>
      </c>
    </row>
    <row r="522" spans="1:21" ht="14.4" customHeight="1" x14ac:dyDescent="0.3">
      <c r="A522" s="613">
        <v>25</v>
      </c>
      <c r="B522" s="614" t="s">
        <v>1112</v>
      </c>
      <c r="C522" s="614" t="s">
        <v>1251</v>
      </c>
      <c r="D522" s="695" t="s">
        <v>1785</v>
      </c>
      <c r="E522" s="696" t="s">
        <v>1283</v>
      </c>
      <c r="F522" s="614" t="s">
        <v>1243</v>
      </c>
      <c r="G522" s="614" t="s">
        <v>1292</v>
      </c>
      <c r="H522" s="614" t="s">
        <v>770</v>
      </c>
      <c r="I522" s="614" t="s">
        <v>1307</v>
      </c>
      <c r="J522" s="614" t="s">
        <v>714</v>
      </c>
      <c r="K522" s="614" t="s">
        <v>1308</v>
      </c>
      <c r="L522" s="615">
        <v>24.22</v>
      </c>
      <c r="M522" s="615">
        <v>72.66</v>
      </c>
      <c r="N522" s="614">
        <v>3</v>
      </c>
      <c r="O522" s="697">
        <v>2.5</v>
      </c>
      <c r="P522" s="615"/>
      <c r="Q522" s="630">
        <v>0</v>
      </c>
      <c r="R522" s="614"/>
      <c r="S522" s="630">
        <v>0</v>
      </c>
      <c r="T522" s="697"/>
      <c r="U522" s="653">
        <v>0</v>
      </c>
    </row>
    <row r="523" spans="1:21" ht="14.4" customHeight="1" x14ac:dyDescent="0.3">
      <c r="A523" s="613">
        <v>25</v>
      </c>
      <c r="B523" s="614" t="s">
        <v>1112</v>
      </c>
      <c r="C523" s="614" t="s">
        <v>1251</v>
      </c>
      <c r="D523" s="695" t="s">
        <v>1785</v>
      </c>
      <c r="E523" s="696" t="s">
        <v>1284</v>
      </c>
      <c r="F523" s="614" t="s">
        <v>1243</v>
      </c>
      <c r="G523" s="614" t="s">
        <v>1287</v>
      </c>
      <c r="H523" s="614" t="s">
        <v>770</v>
      </c>
      <c r="I523" s="614" t="s">
        <v>956</v>
      </c>
      <c r="J523" s="614" t="s">
        <v>864</v>
      </c>
      <c r="K523" s="614" t="s">
        <v>1196</v>
      </c>
      <c r="L523" s="615">
        <v>154.36000000000001</v>
      </c>
      <c r="M523" s="615">
        <v>2624.1200000000013</v>
      </c>
      <c r="N523" s="614">
        <v>17</v>
      </c>
      <c r="O523" s="697">
        <v>17</v>
      </c>
      <c r="P523" s="615">
        <v>154.36000000000001</v>
      </c>
      <c r="Q523" s="630">
        <v>5.8823529411764684E-2</v>
      </c>
      <c r="R523" s="614">
        <v>1</v>
      </c>
      <c r="S523" s="630">
        <v>5.8823529411764705E-2</v>
      </c>
      <c r="T523" s="697">
        <v>1</v>
      </c>
      <c r="U523" s="653">
        <v>5.8823529411764705E-2</v>
      </c>
    </row>
    <row r="524" spans="1:21" ht="14.4" customHeight="1" thickBot="1" x14ac:dyDescent="0.35">
      <c r="A524" s="619">
        <v>25</v>
      </c>
      <c r="B524" s="620" t="s">
        <v>1112</v>
      </c>
      <c r="C524" s="620" t="s">
        <v>1251</v>
      </c>
      <c r="D524" s="698" t="s">
        <v>1785</v>
      </c>
      <c r="E524" s="699" t="s">
        <v>1284</v>
      </c>
      <c r="F524" s="620" t="s">
        <v>1243</v>
      </c>
      <c r="G524" s="620" t="s">
        <v>1289</v>
      </c>
      <c r="H524" s="620" t="s">
        <v>325</v>
      </c>
      <c r="I524" s="620" t="s">
        <v>1337</v>
      </c>
      <c r="J524" s="620" t="s">
        <v>920</v>
      </c>
      <c r="K524" s="620" t="s">
        <v>1338</v>
      </c>
      <c r="L524" s="621">
        <v>0</v>
      </c>
      <c r="M524" s="621">
        <v>0</v>
      </c>
      <c r="N524" s="620">
        <v>1</v>
      </c>
      <c r="O524" s="700">
        <v>1</v>
      </c>
      <c r="P524" s="621"/>
      <c r="Q524" s="631"/>
      <c r="R524" s="620"/>
      <c r="S524" s="631">
        <v>0</v>
      </c>
      <c r="T524" s="700"/>
      <c r="U524" s="65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8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8" customWidth="1"/>
    <col min="8" max="16384" width="8.88671875" style="248"/>
  </cols>
  <sheetData>
    <row r="1" spans="1:6" ht="37.799999999999997" customHeight="1" thickBot="1" x14ac:dyDescent="0.4">
      <c r="A1" s="497" t="s">
        <v>1787</v>
      </c>
      <c r="B1" s="498"/>
      <c r="C1" s="498"/>
      <c r="D1" s="498"/>
      <c r="E1" s="498"/>
      <c r="F1" s="498"/>
    </row>
    <row r="2" spans="1:6" ht="14.4" customHeight="1" thickBot="1" x14ac:dyDescent="0.35">
      <c r="A2" s="375" t="s">
        <v>320</v>
      </c>
      <c r="B2" s="62"/>
      <c r="C2" s="63"/>
      <c r="D2" s="64"/>
      <c r="E2" s="63"/>
      <c r="F2" s="64"/>
    </row>
    <row r="3" spans="1:6" ht="14.4" customHeight="1" thickBot="1" x14ac:dyDescent="0.35">
      <c r="A3" s="203"/>
      <c r="B3" s="499" t="s">
        <v>155</v>
      </c>
      <c r="C3" s="500"/>
      <c r="D3" s="501" t="s">
        <v>154</v>
      </c>
      <c r="E3" s="500"/>
      <c r="F3" s="100" t="s">
        <v>3</v>
      </c>
    </row>
    <row r="4" spans="1:6" ht="14.4" customHeight="1" thickBot="1" x14ac:dyDescent="0.35">
      <c r="A4" s="701" t="s">
        <v>206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x14ac:dyDescent="0.3">
      <c r="A5" s="703" t="s">
        <v>1281</v>
      </c>
      <c r="B5" s="223">
        <v>6882.6800000000012</v>
      </c>
      <c r="C5" s="694">
        <v>0.62947157780367036</v>
      </c>
      <c r="D5" s="223">
        <v>4051.3800000000006</v>
      </c>
      <c r="E5" s="694">
        <v>0.37052842219632964</v>
      </c>
      <c r="F5" s="702">
        <v>10934.060000000001</v>
      </c>
    </row>
    <row r="6" spans="1:6" ht="14.4" customHeight="1" x14ac:dyDescent="0.3">
      <c r="A6" s="640" t="s">
        <v>1266</v>
      </c>
      <c r="B6" s="617">
        <v>1853.27</v>
      </c>
      <c r="C6" s="630">
        <v>9.131325095808282E-2</v>
      </c>
      <c r="D6" s="617">
        <v>18442.47</v>
      </c>
      <c r="E6" s="630">
        <v>0.90868674904191715</v>
      </c>
      <c r="F6" s="618">
        <v>20295.740000000002</v>
      </c>
    </row>
    <row r="7" spans="1:6" ht="14.4" customHeight="1" x14ac:dyDescent="0.3">
      <c r="A7" s="640" t="s">
        <v>1273</v>
      </c>
      <c r="B7" s="617">
        <v>1306.8100000000002</v>
      </c>
      <c r="C7" s="630">
        <v>0.20224748662836764</v>
      </c>
      <c r="D7" s="617">
        <v>5154.630000000001</v>
      </c>
      <c r="E7" s="630">
        <v>0.79775251337163233</v>
      </c>
      <c r="F7" s="618">
        <v>6461.4400000000014</v>
      </c>
    </row>
    <row r="8" spans="1:6" ht="14.4" customHeight="1" x14ac:dyDescent="0.3">
      <c r="A8" s="640" t="s">
        <v>1264</v>
      </c>
      <c r="B8" s="617">
        <v>900.69</v>
      </c>
      <c r="C8" s="630">
        <v>0.39999911179404285</v>
      </c>
      <c r="D8" s="617">
        <v>1351.04</v>
      </c>
      <c r="E8" s="630">
        <v>0.60000088820595721</v>
      </c>
      <c r="F8" s="618">
        <v>2251.73</v>
      </c>
    </row>
    <row r="9" spans="1:6" ht="14.4" customHeight="1" x14ac:dyDescent="0.3">
      <c r="A9" s="640" t="s">
        <v>1270</v>
      </c>
      <c r="B9" s="617">
        <v>716.89</v>
      </c>
      <c r="C9" s="630">
        <v>6.9994571415181284E-2</v>
      </c>
      <c r="D9" s="617">
        <v>9525.1900000000023</v>
      </c>
      <c r="E9" s="630">
        <v>0.93000542858481883</v>
      </c>
      <c r="F9" s="618">
        <v>10242.080000000002</v>
      </c>
    </row>
    <row r="10" spans="1:6" ht="14.4" customHeight="1" x14ac:dyDescent="0.3">
      <c r="A10" s="640" t="s">
        <v>1262</v>
      </c>
      <c r="B10" s="617">
        <v>577.29</v>
      </c>
      <c r="C10" s="630">
        <v>0.10057089299371266</v>
      </c>
      <c r="D10" s="617">
        <v>5162.8400000000011</v>
      </c>
      <c r="E10" s="630">
        <v>0.89942910700628731</v>
      </c>
      <c r="F10" s="618">
        <v>5740.130000000001</v>
      </c>
    </row>
    <row r="11" spans="1:6" ht="14.4" customHeight="1" x14ac:dyDescent="0.3">
      <c r="A11" s="640" t="s">
        <v>1263</v>
      </c>
      <c r="B11" s="617">
        <v>555.88</v>
      </c>
      <c r="C11" s="630">
        <v>0.13026015475247571</v>
      </c>
      <c r="D11" s="617">
        <v>3711.5800000000004</v>
      </c>
      <c r="E11" s="630">
        <v>0.86973984524752435</v>
      </c>
      <c r="F11" s="618">
        <v>4267.46</v>
      </c>
    </row>
    <row r="12" spans="1:6" ht="14.4" customHeight="1" x14ac:dyDescent="0.3">
      <c r="A12" s="640" t="s">
        <v>1260</v>
      </c>
      <c r="B12" s="617">
        <v>339.51</v>
      </c>
      <c r="C12" s="630">
        <v>1.7503050699611646E-2</v>
      </c>
      <c r="D12" s="617">
        <v>19057.68</v>
      </c>
      <c r="E12" s="630">
        <v>0.98249694930038844</v>
      </c>
      <c r="F12" s="618">
        <v>19397.189999999999</v>
      </c>
    </row>
    <row r="13" spans="1:6" ht="14.4" customHeight="1" x14ac:dyDescent="0.3">
      <c r="A13" s="640" t="s">
        <v>1286</v>
      </c>
      <c r="B13" s="617">
        <v>308.72000000000003</v>
      </c>
      <c r="C13" s="630">
        <v>0.28829703783945315</v>
      </c>
      <c r="D13" s="617">
        <v>762.12000000000012</v>
      </c>
      <c r="E13" s="630">
        <v>0.71170296216054685</v>
      </c>
      <c r="F13" s="618">
        <v>1070.8400000000001</v>
      </c>
    </row>
    <row r="14" spans="1:6" ht="14.4" customHeight="1" x14ac:dyDescent="0.3">
      <c r="A14" s="640" t="s">
        <v>1282</v>
      </c>
      <c r="B14" s="617">
        <v>225.06</v>
      </c>
      <c r="C14" s="630">
        <v>0.17506631299734748</v>
      </c>
      <c r="D14" s="617">
        <v>1060.51</v>
      </c>
      <c r="E14" s="630">
        <v>0.82493368700265257</v>
      </c>
      <c r="F14" s="618">
        <v>1285.57</v>
      </c>
    </row>
    <row r="15" spans="1:6" ht="14.4" customHeight="1" x14ac:dyDescent="0.3">
      <c r="A15" s="640" t="s">
        <v>1268</v>
      </c>
      <c r="B15" s="617">
        <v>173.87</v>
      </c>
      <c r="C15" s="630">
        <v>0.27483679243791792</v>
      </c>
      <c r="D15" s="617">
        <v>458.76</v>
      </c>
      <c r="E15" s="630">
        <v>0.72516320756208208</v>
      </c>
      <c r="F15" s="618">
        <v>632.63</v>
      </c>
    </row>
    <row r="16" spans="1:6" ht="14.4" customHeight="1" x14ac:dyDescent="0.3">
      <c r="A16" s="640" t="s">
        <v>1261</v>
      </c>
      <c r="B16" s="617">
        <v>154.36000000000001</v>
      </c>
      <c r="C16" s="630">
        <v>0.15838617660941123</v>
      </c>
      <c r="D16" s="617">
        <v>820.22</v>
      </c>
      <c r="E16" s="630">
        <v>0.84161382339058877</v>
      </c>
      <c r="F16" s="618">
        <v>974.58</v>
      </c>
    </row>
    <row r="17" spans="1:6" ht="14.4" customHeight="1" x14ac:dyDescent="0.3">
      <c r="A17" s="640" t="s">
        <v>1267</v>
      </c>
      <c r="B17" s="617">
        <v>107.86</v>
      </c>
      <c r="C17" s="630">
        <v>3.836028796178339E-3</v>
      </c>
      <c r="D17" s="617">
        <v>28009.760000000002</v>
      </c>
      <c r="E17" s="630">
        <v>0.99616397120382161</v>
      </c>
      <c r="F17" s="618">
        <v>28117.620000000003</v>
      </c>
    </row>
    <row r="18" spans="1:6" ht="14.4" customHeight="1" x14ac:dyDescent="0.3">
      <c r="A18" s="640" t="s">
        <v>1269</v>
      </c>
      <c r="B18" s="617">
        <v>78.33</v>
      </c>
      <c r="C18" s="630">
        <v>1.5114385390778161E-2</v>
      </c>
      <c r="D18" s="617">
        <v>5104.1499999999996</v>
      </c>
      <c r="E18" s="630">
        <v>0.98488561460922186</v>
      </c>
      <c r="F18" s="618">
        <v>5182.4799999999996</v>
      </c>
    </row>
    <row r="19" spans="1:6" ht="14.4" customHeight="1" x14ac:dyDescent="0.3">
      <c r="A19" s="640" t="s">
        <v>1274</v>
      </c>
      <c r="B19" s="617">
        <v>48.42</v>
      </c>
      <c r="C19" s="630">
        <v>8.6473550737579022E-2</v>
      </c>
      <c r="D19" s="617">
        <v>511.5200000000001</v>
      </c>
      <c r="E19" s="630">
        <v>0.9135264492624211</v>
      </c>
      <c r="F19" s="618">
        <v>559.94000000000005</v>
      </c>
    </row>
    <row r="20" spans="1:6" ht="14.4" customHeight="1" x14ac:dyDescent="0.3">
      <c r="A20" s="640" t="s">
        <v>1259</v>
      </c>
      <c r="B20" s="617"/>
      <c r="C20" s="630">
        <v>0</v>
      </c>
      <c r="D20" s="617">
        <v>1676.36</v>
      </c>
      <c r="E20" s="630">
        <v>1</v>
      </c>
      <c r="F20" s="618">
        <v>1676.36</v>
      </c>
    </row>
    <row r="21" spans="1:6" ht="14.4" customHeight="1" x14ac:dyDescent="0.3">
      <c r="A21" s="640" t="s">
        <v>1265</v>
      </c>
      <c r="B21" s="617"/>
      <c r="C21" s="630">
        <v>0</v>
      </c>
      <c r="D21" s="617">
        <v>767.48</v>
      </c>
      <c r="E21" s="630">
        <v>1</v>
      </c>
      <c r="F21" s="618">
        <v>767.48</v>
      </c>
    </row>
    <row r="22" spans="1:6" ht="14.4" customHeight="1" x14ac:dyDescent="0.3">
      <c r="A22" s="640" t="s">
        <v>1258</v>
      </c>
      <c r="B22" s="617"/>
      <c r="C22" s="630">
        <v>0</v>
      </c>
      <c r="D22" s="617">
        <v>2911.24</v>
      </c>
      <c r="E22" s="630">
        <v>1</v>
      </c>
      <c r="F22" s="618">
        <v>2911.24</v>
      </c>
    </row>
    <row r="23" spans="1:6" ht="14.4" customHeight="1" x14ac:dyDescent="0.3">
      <c r="A23" s="640" t="s">
        <v>1275</v>
      </c>
      <c r="B23" s="617"/>
      <c r="C23" s="630">
        <v>0</v>
      </c>
      <c r="D23" s="617">
        <v>147.31</v>
      </c>
      <c r="E23" s="630">
        <v>1</v>
      </c>
      <c r="F23" s="618">
        <v>147.31</v>
      </c>
    </row>
    <row r="24" spans="1:6" ht="14.4" customHeight="1" x14ac:dyDescent="0.3">
      <c r="A24" s="640" t="s">
        <v>1279</v>
      </c>
      <c r="B24" s="617"/>
      <c r="C24" s="630">
        <v>0</v>
      </c>
      <c r="D24" s="617">
        <v>1366.6</v>
      </c>
      <c r="E24" s="630">
        <v>1</v>
      </c>
      <c r="F24" s="618">
        <v>1366.6</v>
      </c>
    </row>
    <row r="25" spans="1:6" ht="14.4" customHeight="1" x14ac:dyDescent="0.3">
      <c r="A25" s="640" t="s">
        <v>1276</v>
      </c>
      <c r="B25" s="617"/>
      <c r="C25" s="630">
        <v>0</v>
      </c>
      <c r="D25" s="617">
        <v>926.16000000000008</v>
      </c>
      <c r="E25" s="630">
        <v>1</v>
      </c>
      <c r="F25" s="618">
        <v>926.16000000000008</v>
      </c>
    </row>
    <row r="26" spans="1:6" ht="14.4" customHeight="1" x14ac:dyDescent="0.3">
      <c r="A26" s="640" t="s">
        <v>1280</v>
      </c>
      <c r="B26" s="617"/>
      <c r="C26" s="630">
        <v>0</v>
      </c>
      <c r="D26" s="617">
        <v>26673.090000000015</v>
      </c>
      <c r="E26" s="630">
        <v>1</v>
      </c>
      <c r="F26" s="618">
        <v>26673.090000000015</v>
      </c>
    </row>
    <row r="27" spans="1:6" ht="14.4" customHeight="1" x14ac:dyDescent="0.3">
      <c r="A27" s="640" t="s">
        <v>1277</v>
      </c>
      <c r="B27" s="617"/>
      <c r="C27" s="630">
        <v>0</v>
      </c>
      <c r="D27" s="617">
        <v>3147.9300000000007</v>
      </c>
      <c r="E27" s="630">
        <v>1</v>
      </c>
      <c r="F27" s="618">
        <v>3147.9300000000007</v>
      </c>
    </row>
    <row r="28" spans="1:6" ht="14.4" customHeight="1" x14ac:dyDescent="0.3">
      <c r="A28" s="640" t="s">
        <v>1284</v>
      </c>
      <c r="B28" s="617">
        <v>0</v>
      </c>
      <c r="C28" s="630">
        <v>0</v>
      </c>
      <c r="D28" s="617">
        <v>3994.9600000000005</v>
      </c>
      <c r="E28" s="630">
        <v>1</v>
      </c>
      <c r="F28" s="618">
        <v>3994.9600000000005</v>
      </c>
    </row>
    <row r="29" spans="1:6" ht="14.4" customHeight="1" x14ac:dyDescent="0.3">
      <c r="A29" s="640" t="s">
        <v>1278</v>
      </c>
      <c r="B29" s="617">
        <v>0</v>
      </c>
      <c r="C29" s="630">
        <v>0</v>
      </c>
      <c r="D29" s="617">
        <v>2128.0700000000002</v>
      </c>
      <c r="E29" s="630">
        <v>1</v>
      </c>
      <c r="F29" s="618">
        <v>2128.0700000000002</v>
      </c>
    </row>
    <row r="30" spans="1:6" ht="14.4" customHeight="1" x14ac:dyDescent="0.3">
      <c r="A30" s="640" t="s">
        <v>1283</v>
      </c>
      <c r="B30" s="617"/>
      <c r="C30" s="630">
        <v>0</v>
      </c>
      <c r="D30" s="617">
        <v>3918.93</v>
      </c>
      <c r="E30" s="630">
        <v>1</v>
      </c>
      <c r="F30" s="618">
        <v>3918.93</v>
      </c>
    </row>
    <row r="31" spans="1:6" ht="14.4" customHeight="1" x14ac:dyDescent="0.3">
      <c r="A31" s="640" t="s">
        <v>1257</v>
      </c>
      <c r="B31" s="617"/>
      <c r="C31" s="630">
        <v>0</v>
      </c>
      <c r="D31" s="617">
        <v>5162.3899999999994</v>
      </c>
      <c r="E31" s="630">
        <v>1</v>
      </c>
      <c r="F31" s="618">
        <v>5162.3899999999994</v>
      </c>
    </row>
    <row r="32" spans="1:6" ht="14.4" customHeight="1" thickBot="1" x14ac:dyDescent="0.35">
      <c r="A32" s="641" t="s">
        <v>1272</v>
      </c>
      <c r="B32" s="632"/>
      <c r="C32" s="633">
        <v>0</v>
      </c>
      <c r="D32" s="632">
        <v>8002.7600000000011</v>
      </c>
      <c r="E32" s="633">
        <v>1</v>
      </c>
      <c r="F32" s="634">
        <v>8002.7600000000011</v>
      </c>
    </row>
    <row r="33" spans="1:6" ht="14.4" customHeight="1" thickBot="1" x14ac:dyDescent="0.35">
      <c r="A33" s="635" t="s">
        <v>3</v>
      </c>
      <c r="B33" s="636">
        <v>14229.64</v>
      </c>
      <c r="C33" s="637">
        <v>7.9835602945452819E-2</v>
      </c>
      <c r="D33" s="636">
        <v>164007.13000000003</v>
      </c>
      <c r="E33" s="637">
        <v>0.92016439705454711</v>
      </c>
      <c r="F33" s="638">
        <v>178236.77000000005</v>
      </c>
    </row>
    <row r="34" spans="1:6" ht="14.4" customHeight="1" thickBot="1" x14ac:dyDescent="0.35"/>
    <row r="35" spans="1:6" ht="14.4" customHeight="1" x14ac:dyDescent="0.3">
      <c r="A35" s="703" t="s">
        <v>1127</v>
      </c>
      <c r="B35" s="223">
        <v>10078.16</v>
      </c>
      <c r="C35" s="694">
        <v>7.2507512876390165E-2</v>
      </c>
      <c r="D35" s="223">
        <v>128916.54000000017</v>
      </c>
      <c r="E35" s="694">
        <v>0.92749248712360988</v>
      </c>
      <c r="F35" s="702">
        <v>138994.70000000016</v>
      </c>
    </row>
    <row r="36" spans="1:6" ht="14.4" customHeight="1" x14ac:dyDescent="0.3">
      <c r="A36" s="640" t="s">
        <v>1126</v>
      </c>
      <c r="B36" s="617">
        <v>1847.03</v>
      </c>
      <c r="C36" s="630">
        <v>0.28151782434609512</v>
      </c>
      <c r="D36" s="617">
        <v>4713.9400000000005</v>
      </c>
      <c r="E36" s="630">
        <v>0.71848217565390493</v>
      </c>
      <c r="F36" s="618">
        <v>6560.97</v>
      </c>
    </row>
    <row r="37" spans="1:6" ht="14.4" customHeight="1" x14ac:dyDescent="0.3">
      <c r="A37" s="640" t="s">
        <v>1788</v>
      </c>
      <c r="B37" s="617">
        <v>664.56999999999994</v>
      </c>
      <c r="C37" s="630">
        <v>0.37882130296241823</v>
      </c>
      <c r="D37" s="617">
        <v>1089.74</v>
      </c>
      <c r="E37" s="630">
        <v>0.62117869703758177</v>
      </c>
      <c r="F37" s="618">
        <v>1754.31</v>
      </c>
    </row>
    <row r="38" spans="1:6" ht="14.4" customHeight="1" x14ac:dyDescent="0.3">
      <c r="A38" s="640" t="s">
        <v>1129</v>
      </c>
      <c r="B38" s="617">
        <v>490.76</v>
      </c>
      <c r="C38" s="630">
        <v>1</v>
      </c>
      <c r="D38" s="617"/>
      <c r="E38" s="630">
        <v>0</v>
      </c>
      <c r="F38" s="618">
        <v>490.76</v>
      </c>
    </row>
    <row r="39" spans="1:6" ht="14.4" customHeight="1" x14ac:dyDescent="0.3">
      <c r="A39" s="640" t="s">
        <v>1789</v>
      </c>
      <c r="B39" s="617">
        <v>484.2</v>
      </c>
      <c r="C39" s="630">
        <v>0.3571428571428571</v>
      </c>
      <c r="D39" s="617">
        <v>871.56000000000017</v>
      </c>
      <c r="E39" s="630">
        <v>0.6428571428571429</v>
      </c>
      <c r="F39" s="618">
        <v>1355.7600000000002</v>
      </c>
    </row>
    <row r="40" spans="1:6" ht="14.4" customHeight="1" x14ac:dyDescent="0.3">
      <c r="A40" s="640" t="s">
        <v>1133</v>
      </c>
      <c r="B40" s="617">
        <v>268.57</v>
      </c>
      <c r="C40" s="630">
        <v>1</v>
      </c>
      <c r="D40" s="617"/>
      <c r="E40" s="630">
        <v>0</v>
      </c>
      <c r="F40" s="618">
        <v>268.57</v>
      </c>
    </row>
    <row r="41" spans="1:6" ht="14.4" customHeight="1" x14ac:dyDescent="0.3">
      <c r="A41" s="640" t="s">
        <v>1152</v>
      </c>
      <c r="B41" s="617">
        <v>242.14000000000001</v>
      </c>
      <c r="C41" s="630">
        <v>4.6084159640675249E-2</v>
      </c>
      <c r="D41" s="617">
        <v>5012.1600000000008</v>
      </c>
      <c r="E41" s="630">
        <v>0.95391584035932464</v>
      </c>
      <c r="F41" s="618">
        <v>5254.3000000000011</v>
      </c>
    </row>
    <row r="42" spans="1:6" ht="14.4" customHeight="1" x14ac:dyDescent="0.3">
      <c r="A42" s="640" t="s">
        <v>1790</v>
      </c>
      <c r="B42" s="617">
        <v>62.65</v>
      </c>
      <c r="C42" s="630">
        <v>0.50003990741479765</v>
      </c>
      <c r="D42" s="617">
        <v>62.64</v>
      </c>
      <c r="E42" s="630">
        <v>0.49996009258520235</v>
      </c>
      <c r="F42" s="618">
        <v>125.28999999999999</v>
      </c>
    </row>
    <row r="43" spans="1:6" ht="14.4" customHeight="1" x14ac:dyDescent="0.3">
      <c r="A43" s="640" t="s">
        <v>1791</v>
      </c>
      <c r="B43" s="617">
        <v>51.31</v>
      </c>
      <c r="C43" s="630">
        <v>1</v>
      </c>
      <c r="D43" s="617"/>
      <c r="E43" s="630">
        <v>0</v>
      </c>
      <c r="F43" s="618">
        <v>51.31</v>
      </c>
    </row>
    <row r="44" spans="1:6" ht="14.4" customHeight="1" x14ac:dyDescent="0.3">
      <c r="A44" s="640" t="s">
        <v>1139</v>
      </c>
      <c r="B44" s="617">
        <v>35.11</v>
      </c>
      <c r="C44" s="630">
        <v>1</v>
      </c>
      <c r="D44" s="617"/>
      <c r="E44" s="630">
        <v>0</v>
      </c>
      <c r="F44" s="618">
        <v>35.11</v>
      </c>
    </row>
    <row r="45" spans="1:6" ht="14.4" customHeight="1" x14ac:dyDescent="0.3">
      <c r="A45" s="640" t="s">
        <v>1792</v>
      </c>
      <c r="B45" s="617">
        <v>5.14</v>
      </c>
      <c r="C45" s="630">
        <v>0.43485617597292719</v>
      </c>
      <c r="D45" s="617">
        <v>6.68</v>
      </c>
      <c r="E45" s="630">
        <v>0.56514382402707275</v>
      </c>
      <c r="F45" s="618">
        <v>11.82</v>
      </c>
    </row>
    <row r="46" spans="1:6" ht="14.4" customHeight="1" x14ac:dyDescent="0.3">
      <c r="A46" s="640" t="s">
        <v>1156</v>
      </c>
      <c r="B46" s="617"/>
      <c r="C46" s="630">
        <v>0</v>
      </c>
      <c r="D46" s="617">
        <v>86.5</v>
      </c>
      <c r="E46" s="630">
        <v>1</v>
      </c>
      <c r="F46" s="618">
        <v>86.5</v>
      </c>
    </row>
    <row r="47" spans="1:6" ht="14.4" customHeight="1" x14ac:dyDescent="0.3">
      <c r="A47" s="640" t="s">
        <v>1793</v>
      </c>
      <c r="B47" s="617"/>
      <c r="C47" s="630">
        <v>0</v>
      </c>
      <c r="D47" s="617">
        <v>919.42</v>
      </c>
      <c r="E47" s="630">
        <v>1</v>
      </c>
      <c r="F47" s="618">
        <v>919.42</v>
      </c>
    </row>
    <row r="48" spans="1:6" ht="14.4" customHeight="1" x14ac:dyDescent="0.3">
      <c r="A48" s="640" t="s">
        <v>1143</v>
      </c>
      <c r="B48" s="617"/>
      <c r="C48" s="630">
        <v>0</v>
      </c>
      <c r="D48" s="617">
        <v>48.27</v>
      </c>
      <c r="E48" s="630">
        <v>1</v>
      </c>
      <c r="F48" s="618">
        <v>48.27</v>
      </c>
    </row>
    <row r="49" spans="1:6" ht="14.4" customHeight="1" x14ac:dyDescent="0.3">
      <c r="A49" s="640" t="s">
        <v>1145</v>
      </c>
      <c r="B49" s="617"/>
      <c r="C49" s="630">
        <v>0</v>
      </c>
      <c r="D49" s="617">
        <v>117.72</v>
      </c>
      <c r="E49" s="630">
        <v>1</v>
      </c>
      <c r="F49" s="618">
        <v>117.72</v>
      </c>
    </row>
    <row r="50" spans="1:6" ht="14.4" customHeight="1" x14ac:dyDescent="0.3">
      <c r="A50" s="640" t="s">
        <v>1794</v>
      </c>
      <c r="B50" s="617"/>
      <c r="C50" s="630">
        <v>0</v>
      </c>
      <c r="D50" s="617">
        <v>264</v>
      </c>
      <c r="E50" s="630">
        <v>1</v>
      </c>
      <c r="F50" s="618">
        <v>264</v>
      </c>
    </row>
    <row r="51" spans="1:6" ht="14.4" customHeight="1" x14ac:dyDescent="0.3">
      <c r="A51" s="640" t="s">
        <v>1160</v>
      </c>
      <c r="B51" s="617"/>
      <c r="C51" s="630">
        <v>0</v>
      </c>
      <c r="D51" s="617">
        <v>411.68</v>
      </c>
      <c r="E51" s="630">
        <v>1</v>
      </c>
      <c r="F51" s="618">
        <v>411.68</v>
      </c>
    </row>
    <row r="52" spans="1:6" ht="14.4" customHeight="1" x14ac:dyDescent="0.3">
      <c r="A52" s="640" t="s">
        <v>1142</v>
      </c>
      <c r="B52" s="617"/>
      <c r="C52" s="630">
        <v>0</v>
      </c>
      <c r="D52" s="617">
        <v>1724.7299999999998</v>
      </c>
      <c r="E52" s="630">
        <v>1</v>
      </c>
      <c r="F52" s="618">
        <v>1724.7299999999998</v>
      </c>
    </row>
    <row r="53" spans="1:6" ht="14.4" customHeight="1" x14ac:dyDescent="0.3">
      <c r="A53" s="640" t="s">
        <v>1795</v>
      </c>
      <c r="B53" s="617"/>
      <c r="C53" s="630">
        <v>0</v>
      </c>
      <c r="D53" s="617">
        <v>614.29999999999995</v>
      </c>
      <c r="E53" s="630">
        <v>1</v>
      </c>
      <c r="F53" s="618">
        <v>614.29999999999995</v>
      </c>
    </row>
    <row r="54" spans="1:6" ht="14.4" customHeight="1" x14ac:dyDescent="0.3">
      <c r="A54" s="640" t="s">
        <v>1796</v>
      </c>
      <c r="B54" s="617"/>
      <c r="C54" s="630">
        <v>0</v>
      </c>
      <c r="D54" s="617">
        <v>127.5</v>
      </c>
      <c r="E54" s="630">
        <v>1</v>
      </c>
      <c r="F54" s="618">
        <v>127.5</v>
      </c>
    </row>
    <row r="55" spans="1:6" ht="14.4" customHeight="1" x14ac:dyDescent="0.3">
      <c r="A55" s="640" t="s">
        <v>1797</v>
      </c>
      <c r="B55" s="617"/>
      <c r="C55" s="630">
        <v>0</v>
      </c>
      <c r="D55" s="617">
        <v>795.6</v>
      </c>
      <c r="E55" s="630">
        <v>1</v>
      </c>
      <c r="F55" s="618">
        <v>795.6</v>
      </c>
    </row>
    <row r="56" spans="1:6" ht="14.4" customHeight="1" x14ac:dyDescent="0.3">
      <c r="A56" s="640" t="s">
        <v>1140</v>
      </c>
      <c r="B56" s="617"/>
      <c r="C56" s="630">
        <v>0</v>
      </c>
      <c r="D56" s="617">
        <v>13849.26</v>
      </c>
      <c r="E56" s="630">
        <v>1</v>
      </c>
      <c r="F56" s="618">
        <v>13849.26</v>
      </c>
    </row>
    <row r="57" spans="1:6" ht="14.4" customHeight="1" x14ac:dyDescent="0.3">
      <c r="A57" s="640" t="s">
        <v>1144</v>
      </c>
      <c r="B57" s="617">
        <v>0</v>
      </c>
      <c r="C57" s="630">
        <v>0</v>
      </c>
      <c r="D57" s="617">
        <v>511.56000000000006</v>
      </c>
      <c r="E57" s="630">
        <v>1</v>
      </c>
      <c r="F57" s="618">
        <v>511.56000000000006</v>
      </c>
    </row>
    <row r="58" spans="1:6" ht="14.4" customHeight="1" x14ac:dyDescent="0.3">
      <c r="A58" s="640" t="s">
        <v>1128</v>
      </c>
      <c r="B58" s="617"/>
      <c r="C58" s="630">
        <v>0</v>
      </c>
      <c r="D58" s="617">
        <v>1847.48</v>
      </c>
      <c r="E58" s="630">
        <v>1</v>
      </c>
      <c r="F58" s="618">
        <v>1847.48</v>
      </c>
    </row>
    <row r="59" spans="1:6" ht="14.4" customHeight="1" thickBot="1" x14ac:dyDescent="0.35">
      <c r="A59" s="641" t="s">
        <v>1150</v>
      </c>
      <c r="B59" s="632"/>
      <c r="C59" s="633">
        <v>0</v>
      </c>
      <c r="D59" s="632">
        <v>2015.85</v>
      </c>
      <c r="E59" s="633">
        <v>1</v>
      </c>
      <c r="F59" s="634">
        <v>2015.85</v>
      </c>
    </row>
    <row r="60" spans="1:6" ht="14.4" customHeight="1" thickBot="1" x14ac:dyDescent="0.35">
      <c r="A60" s="635" t="s">
        <v>3</v>
      </c>
      <c r="B60" s="636">
        <v>14229.64</v>
      </c>
      <c r="C60" s="637">
        <v>7.9835602945452736E-2</v>
      </c>
      <c r="D60" s="636">
        <v>164007.13000000021</v>
      </c>
      <c r="E60" s="637">
        <v>0.92016439705454722</v>
      </c>
      <c r="F60" s="638">
        <v>178236.77000000022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{880156C4-0DD4-4D83-8489-6ACF26E51300}</x14:id>
        </ext>
      </extLst>
    </cfRule>
  </conditionalFormatting>
  <conditionalFormatting sqref="F35:F5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{A5FA6931-B5F8-4511-A150-F607850A760A}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0156C4-0DD4-4D83-8489-6ACF26E513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A5FA6931-B5F8-4511-A150-F607850A76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8" customWidth="1"/>
    <col min="2" max="2" width="8.88671875" style="248" bestFit="1" customWidth="1"/>
    <col min="3" max="3" width="7" style="248" bestFit="1" customWidth="1"/>
    <col min="4" max="5" width="22.21875" style="248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8"/>
  </cols>
  <sheetData>
    <row r="1" spans="1:13" ht="18.600000000000001" customHeight="1" thickBot="1" x14ac:dyDescent="0.4">
      <c r="A1" s="498" t="s">
        <v>1808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70"/>
      <c r="M1" s="470"/>
    </row>
    <row r="2" spans="1:13" ht="14.4" customHeight="1" thickBot="1" x14ac:dyDescent="0.35">
      <c r="A2" s="375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99" t="s">
        <v>153</v>
      </c>
      <c r="F3" s="44">
        <f>SUBTOTAL(9,F6:F1048576)</f>
        <v>143</v>
      </c>
      <c r="G3" s="44">
        <f>SUBTOTAL(9,G6:G1048576)</f>
        <v>14229.640000000001</v>
      </c>
      <c r="H3" s="45">
        <f>IF(M3=0,0,G3/M3)</f>
        <v>7.9835602945452888E-2</v>
      </c>
      <c r="I3" s="44">
        <f>SUBTOTAL(9,I6:I1048576)</f>
        <v>1068</v>
      </c>
      <c r="J3" s="44">
        <f>SUBTOTAL(9,J6:J1048576)</f>
        <v>164007.12999999995</v>
      </c>
      <c r="K3" s="45">
        <f>IF(M3=0,0,J3/M3)</f>
        <v>0.92016439705454733</v>
      </c>
      <c r="L3" s="44">
        <f>SUBTOTAL(9,L6:L1048576)</f>
        <v>1211</v>
      </c>
      <c r="M3" s="46">
        <f>SUBTOTAL(9,M6:M1048576)</f>
        <v>178236.7699999999</v>
      </c>
    </row>
    <row r="4" spans="1:13" ht="14.4" customHeight="1" thickBot="1" x14ac:dyDescent="0.35">
      <c r="A4" s="42"/>
      <c r="B4" s="42"/>
      <c r="C4" s="42"/>
      <c r="D4" s="42"/>
      <c r="E4" s="43"/>
      <c r="F4" s="502" t="s">
        <v>155</v>
      </c>
      <c r="G4" s="503"/>
      <c r="H4" s="504"/>
      <c r="I4" s="505" t="s">
        <v>154</v>
      </c>
      <c r="J4" s="503"/>
      <c r="K4" s="504"/>
      <c r="L4" s="506" t="s">
        <v>3</v>
      </c>
      <c r="M4" s="507"/>
    </row>
    <row r="5" spans="1:13" ht="14.4" customHeight="1" thickBot="1" x14ac:dyDescent="0.35">
      <c r="A5" s="701" t="s">
        <v>161</v>
      </c>
      <c r="B5" s="704" t="s">
        <v>157</v>
      </c>
      <c r="C5" s="704" t="s">
        <v>84</v>
      </c>
      <c r="D5" s="704" t="s">
        <v>158</v>
      </c>
      <c r="E5" s="704" t="s">
        <v>159</v>
      </c>
      <c r="F5" s="644" t="s">
        <v>28</v>
      </c>
      <c r="G5" s="644" t="s">
        <v>14</v>
      </c>
      <c r="H5" s="627" t="s">
        <v>160</v>
      </c>
      <c r="I5" s="626" t="s">
        <v>28</v>
      </c>
      <c r="J5" s="644" t="s">
        <v>14</v>
      </c>
      <c r="K5" s="627" t="s">
        <v>160</v>
      </c>
      <c r="L5" s="626" t="s">
        <v>28</v>
      </c>
      <c r="M5" s="645" t="s">
        <v>14</v>
      </c>
    </row>
    <row r="6" spans="1:13" ht="14.4" customHeight="1" x14ac:dyDescent="0.3">
      <c r="A6" s="688" t="s">
        <v>1286</v>
      </c>
      <c r="B6" s="689" t="s">
        <v>1194</v>
      </c>
      <c r="C6" s="689" t="s">
        <v>956</v>
      </c>
      <c r="D6" s="689" t="s">
        <v>864</v>
      </c>
      <c r="E6" s="689" t="s">
        <v>1196</v>
      </c>
      <c r="F6" s="223"/>
      <c r="G6" s="223"/>
      <c r="H6" s="694">
        <v>0</v>
      </c>
      <c r="I6" s="223">
        <v>3</v>
      </c>
      <c r="J6" s="223">
        <v>463.08000000000004</v>
      </c>
      <c r="K6" s="694">
        <v>1</v>
      </c>
      <c r="L6" s="223">
        <v>3</v>
      </c>
      <c r="M6" s="702">
        <v>463.08000000000004</v>
      </c>
    </row>
    <row r="7" spans="1:13" ht="14.4" customHeight="1" x14ac:dyDescent="0.3">
      <c r="A7" s="613" t="s">
        <v>1286</v>
      </c>
      <c r="B7" s="614" t="s">
        <v>1194</v>
      </c>
      <c r="C7" s="614" t="s">
        <v>1067</v>
      </c>
      <c r="D7" s="614" t="s">
        <v>1234</v>
      </c>
      <c r="E7" s="614" t="s">
        <v>1195</v>
      </c>
      <c r="F7" s="617"/>
      <c r="G7" s="617"/>
      <c r="H7" s="630">
        <v>0</v>
      </c>
      <c r="I7" s="617">
        <v>2</v>
      </c>
      <c r="J7" s="617">
        <v>299.04000000000002</v>
      </c>
      <c r="K7" s="630">
        <v>1</v>
      </c>
      <c r="L7" s="617">
        <v>2</v>
      </c>
      <c r="M7" s="618">
        <v>299.04000000000002</v>
      </c>
    </row>
    <row r="8" spans="1:13" ht="14.4" customHeight="1" x14ac:dyDescent="0.3">
      <c r="A8" s="613" t="s">
        <v>1286</v>
      </c>
      <c r="B8" s="614" t="s">
        <v>1194</v>
      </c>
      <c r="C8" s="614" t="s">
        <v>1288</v>
      </c>
      <c r="D8" s="614" t="s">
        <v>864</v>
      </c>
      <c r="E8" s="614" t="s">
        <v>1196</v>
      </c>
      <c r="F8" s="617">
        <v>2</v>
      </c>
      <c r="G8" s="617">
        <v>308.72000000000003</v>
      </c>
      <c r="H8" s="630">
        <v>1</v>
      </c>
      <c r="I8" s="617"/>
      <c r="J8" s="617"/>
      <c r="K8" s="630">
        <v>0</v>
      </c>
      <c r="L8" s="617">
        <v>2</v>
      </c>
      <c r="M8" s="618">
        <v>308.72000000000003</v>
      </c>
    </row>
    <row r="9" spans="1:13" ht="14.4" customHeight="1" x14ac:dyDescent="0.3">
      <c r="A9" s="613" t="s">
        <v>1280</v>
      </c>
      <c r="B9" s="614" t="s">
        <v>1194</v>
      </c>
      <c r="C9" s="614" t="s">
        <v>956</v>
      </c>
      <c r="D9" s="614" t="s">
        <v>864</v>
      </c>
      <c r="E9" s="614" t="s">
        <v>1196</v>
      </c>
      <c r="F9" s="617"/>
      <c r="G9" s="617"/>
      <c r="H9" s="630">
        <v>0</v>
      </c>
      <c r="I9" s="617">
        <v>147</v>
      </c>
      <c r="J9" s="617">
        <v>22608.840000000011</v>
      </c>
      <c r="K9" s="630">
        <v>1</v>
      </c>
      <c r="L9" s="617">
        <v>147</v>
      </c>
      <c r="M9" s="618">
        <v>22608.840000000011</v>
      </c>
    </row>
    <row r="10" spans="1:13" ht="14.4" customHeight="1" x14ac:dyDescent="0.3">
      <c r="A10" s="613" t="s">
        <v>1280</v>
      </c>
      <c r="B10" s="614" t="s">
        <v>1194</v>
      </c>
      <c r="C10" s="614" t="s">
        <v>1067</v>
      </c>
      <c r="D10" s="614" t="s">
        <v>1234</v>
      </c>
      <c r="E10" s="614" t="s">
        <v>1195</v>
      </c>
      <c r="F10" s="617"/>
      <c r="G10" s="617"/>
      <c r="H10" s="630">
        <v>0</v>
      </c>
      <c r="I10" s="617">
        <v>1</v>
      </c>
      <c r="J10" s="617">
        <v>149.52000000000001</v>
      </c>
      <c r="K10" s="630">
        <v>1</v>
      </c>
      <c r="L10" s="617">
        <v>1</v>
      </c>
      <c r="M10" s="618">
        <v>149.52000000000001</v>
      </c>
    </row>
    <row r="11" spans="1:13" ht="14.4" customHeight="1" x14ac:dyDescent="0.3">
      <c r="A11" s="613" t="s">
        <v>1280</v>
      </c>
      <c r="B11" s="614" t="s">
        <v>1200</v>
      </c>
      <c r="C11" s="614" t="s">
        <v>919</v>
      </c>
      <c r="D11" s="614" t="s">
        <v>920</v>
      </c>
      <c r="E11" s="614" t="s">
        <v>1209</v>
      </c>
      <c r="F11" s="617"/>
      <c r="G11" s="617"/>
      <c r="H11" s="630">
        <v>0</v>
      </c>
      <c r="I11" s="617">
        <v>1</v>
      </c>
      <c r="J11" s="617">
        <v>170.52</v>
      </c>
      <c r="K11" s="630">
        <v>1</v>
      </c>
      <c r="L11" s="617">
        <v>1</v>
      </c>
      <c r="M11" s="618">
        <v>170.52</v>
      </c>
    </row>
    <row r="12" spans="1:13" ht="14.4" customHeight="1" x14ac:dyDescent="0.3">
      <c r="A12" s="613" t="s">
        <v>1280</v>
      </c>
      <c r="B12" s="614" t="s">
        <v>1798</v>
      </c>
      <c r="C12" s="614" t="s">
        <v>1679</v>
      </c>
      <c r="D12" s="614" t="s">
        <v>1574</v>
      </c>
      <c r="E12" s="614" t="s">
        <v>1680</v>
      </c>
      <c r="F12" s="617"/>
      <c r="G12" s="617"/>
      <c r="H12" s="630">
        <v>0</v>
      </c>
      <c r="I12" s="617">
        <v>1</v>
      </c>
      <c r="J12" s="617">
        <v>425.17</v>
      </c>
      <c r="K12" s="630">
        <v>1</v>
      </c>
      <c r="L12" s="617">
        <v>1</v>
      </c>
      <c r="M12" s="618">
        <v>425.17</v>
      </c>
    </row>
    <row r="13" spans="1:13" ht="14.4" customHeight="1" x14ac:dyDescent="0.3">
      <c r="A13" s="613" t="s">
        <v>1280</v>
      </c>
      <c r="B13" s="614" t="s">
        <v>1203</v>
      </c>
      <c r="C13" s="614" t="s">
        <v>930</v>
      </c>
      <c r="D13" s="614" t="s">
        <v>931</v>
      </c>
      <c r="E13" s="614" t="s">
        <v>932</v>
      </c>
      <c r="F13" s="617"/>
      <c r="G13" s="617"/>
      <c r="H13" s="630">
        <v>0</v>
      </c>
      <c r="I13" s="617">
        <v>6</v>
      </c>
      <c r="J13" s="617">
        <v>883.8599999999999</v>
      </c>
      <c r="K13" s="630">
        <v>1</v>
      </c>
      <c r="L13" s="617">
        <v>6</v>
      </c>
      <c r="M13" s="618">
        <v>883.8599999999999</v>
      </c>
    </row>
    <row r="14" spans="1:13" ht="14.4" customHeight="1" x14ac:dyDescent="0.3">
      <c r="A14" s="613" t="s">
        <v>1280</v>
      </c>
      <c r="B14" s="614" t="s">
        <v>1203</v>
      </c>
      <c r="C14" s="614" t="s">
        <v>1079</v>
      </c>
      <c r="D14" s="614" t="s">
        <v>1080</v>
      </c>
      <c r="E14" s="614" t="s">
        <v>1311</v>
      </c>
      <c r="F14" s="617"/>
      <c r="G14" s="617"/>
      <c r="H14" s="630">
        <v>0</v>
      </c>
      <c r="I14" s="617">
        <v>1</v>
      </c>
      <c r="J14" s="617">
        <v>73.66</v>
      </c>
      <c r="K14" s="630">
        <v>1</v>
      </c>
      <c r="L14" s="617">
        <v>1</v>
      </c>
      <c r="M14" s="618">
        <v>73.66</v>
      </c>
    </row>
    <row r="15" spans="1:13" ht="14.4" customHeight="1" x14ac:dyDescent="0.3">
      <c r="A15" s="613" t="s">
        <v>1280</v>
      </c>
      <c r="B15" s="614" t="s">
        <v>1218</v>
      </c>
      <c r="C15" s="614" t="s">
        <v>1307</v>
      </c>
      <c r="D15" s="614" t="s">
        <v>714</v>
      </c>
      <c r="E15" s="614" t="s">
        <v>1308</v>
      </c>
      <c r="F15" s="617"/>
      <c r="G15" s="617"/>
      <c r="H15" s="630">
        <v>0</v>
      </c>
      <c r="I15" s="617">
        <v>2</v>
      </c>
      <c r="J15" s="617">
        <v>48.44</v>
      </c>
      <c r="K15" s="630">
        <v>1</v>
      </c>
      <c r="L15" s="617">
        <v>2</v>
      </c>
      <c r="M15" s="618">
        <v>48.44</v>
      </c>
    </row>
    <row r="16" spans="1:13" ht="14.4" customHeight="1" x14ac:dyDescent="0.3">
      <c r="A16" s="613" t="s">
        <v>1280</v>
      </c>
      <c r="B16" s="614" t="s">
        <v>1218</v>
      </c>
      <c r="C16" s="614" t="s">
        <v>776</v>
      </c>
      <c r="D16" s="614" t="s">
        <v>714</v>
      </c>
      <c r="E16" s="614" t="s">
        <v>1219</v>
      </c>
      <c r="F16" s="617"/>
      <c r="G16" s="617"/>
      <c r="H16" s="630">
        <v>0</v>
      </c>
      <c r="I16" s="617">
        <v>45</v>
      </c>
      <c r="J16" s="617">
        <v>2178.9</v>
      </c>
      <c r="K16" s="630">
        <v>1</v>
      </c>
      <c r="L16" s="617">
        <v>45</v>
      </c>
      <c r="M16" s="618">
        <v>2178.9</v>
      </c>
    </row>
    <row r="17" spans="1:13" ht="14.4" customHeight="1" x14ac:dyDescent="0.3">
      <c r="A17" s="613" t="s">
        <v>1280</v>
      </c>
      <c r="B17" s="614" t="s">
        <v>1799</v>
      </c>
      <c r="C17" s="614" t="s">
        <v>1708</v>
      </c>
      <c r="D17" s="614" t="s">
        <v>1709</v>
      </c>
      <c r="E17" s="614" t="s">
        <v>1610</v>
      </c>
      <c r="F17" s="617"/>
      <c r="G17" s="617"/>
      <c r="H17" s="630">
        <v>0</v>
      </c>
      <c r="I17" s="617">
        <v>1</v>
      </c>
      <c r="J17" s="617">
        <v>6.68</v>
      </c>
      <c r="K17" s="630">
        <v>1</v>
      </c>
      <c r="L17" s="617">
        <v>1</v>
      </c>
      <c r="M17" s="618">
        <v>6.68</v>
      </c>
    </row>
    <row r="18" spans="1:13" ht="14.4" customHeight="1" x14ac:dyDescent="0.3">
      <c r="A18" s="613" t="s">
        <v>1280</v>
      </c>
      <c r="B18" s="614" t="s">
        <v>1800</v>
      </c>
      <c r="C18" s="614" t="s">
        <v>1736</v>
      </c>
      <c r="D18" s="614" t="s">
        <v>1737</v>
      </c>
      <c r="E18" s="614" t="s">
        <v>1738</v>
      </c>
      <c r="F18" s="617"/>
      <c r="G18" s="617"/>
      <c r="H18" s="630">
        <v>0</v>
      </c>
      <c r="I18" s="617">
        <v>2</v>
      </c>
      <c r="J18" s="617">
        <v>127.5</v>
      </c>
      <c r="K18" s="630">
        <v>1</v>
      </c>
      <c r="L18" s="617">
        <v>2</v>
      </c>
      <c r="M18" s="618">
        <v>127.5</v>
      </c>
    </row>
    <row r="19" spans="1:13" ht="14.4" customHeight="1" x14ac:dyDescent="0.3">
      <c r="A19" s="613" t="s">
        <v>1284</v>
      </c>
      <c r="B19" s="614" t="s">
        <v>1194</v>
      </c>
      <c r="C19" s="614" t="s">
        <v>1332</v>
      </c>
      <c r="D19" s="614" t="s">
        <v>864</v>
      </c>
      <c r="E19" s="614" t="s">
        <v>566</v>
      </c>
      <c r="F19" s="617">
        <v>1</v>
      </c>
      <c r="G19" s="617">
        <v>0</v>
      </c>
      <c r="H19" s="630"/>
      <c r="I19" s="617"/>
      <c r="J19" s="617"/>
      <c r="K19" s="630"/>
      <c r="L19" s="617">
        <v>1</v>
      </c>
      <c r="M19" s="618">
        <v>0</v>
      </c>
    </row>
    <row r="20" spans="1:13" ht="14.4" customHeight="1" x14ac:dyDescent="0.3">
      <c r="A20" s="613" t="s">
        <v>1284</v>
      </c>
      <c r="B20" s="614" t="s">
        <v>1194</v>
      </c>
      <c r="C20" s="614" t="s">
        <v>956</v>
      </c>
      <c r="D20" s="614" t="s">
        <v>864</v>
      </c>
      <c r="E20" s="614" t="s">
        <v>1196</v>
      </c>
      <c r="F20" s="617"/>
      <c r="G20" s="617"/>
      <c r="H20" s="630">
        <v>0</v>
      </c>
      <c r="I20" s="617">
        <v>25</v>
      </c>
      <c r="J20" s="617">
        <v>3824.4400000000005</v>
      </c>
      <c r="K20" s="630">
        <v>1</v>
      </c>
      <c r="L20" s="617">
        <v>25</v>
      </c>
      <c r="M20" s="618">
        <v>3824.4400000000005</v>
      </c>
    </row>
    <row r="21" spans="1:13" ht="14.4" customHeight="1" x14ac:dyDescent="0.3">
      <c r="A21" s="613" t="s">
        <v>1284</v>
      </c>
      <c r="B21" s="614" t="s">
        <v>1200</v>
      </c>
      <c r="C21" s="614" t="s">
        <v>919</v>
      </c>
      <c r="D21" s="614" t="s">
        <v>920</v>
      </c>
      <c r="E21" s="614" t="s">
        <v>1209</v>
      </c>
      <c r="F21" s="617"/>
      <c r="G21" s="617"/>
      <c r="H21" s="630">
        <v>0</v>
      </c>
      <c r="I21" s="617">
        <v>1</v>
      </c>
      <c r="J21" s="617">
        <v>170.52</v>
      </c>
      <c r="K21" s="630">
        <v>1</v>
      </c>
      <c r="L21" s="617">
        <v>1</v>
      </c>
      <c r="M21" s="618">
        <v>170.52</v>
      </c>
    </row>
    <row r="22" spans="1:13" ht="14.4" customHeight="1" x14ac:dyDescent="0.3">
      <c r="A22" s="613" t="s">
        <v>1257</v>
      </c>
      <c r="B22" s="614" t="s">
        <v>1194</v>
      </c>
      <c r="C22" s="614" t="s">
        <v>956</v>
      </c>
      <c r="D22" s="614" t="s">
        <v>864</v>
      </c>
      <c r="E22" s="614" t="s">
        <v>1196</v>
      </c>
      <c r="F22" s="617"/>
      <c r="G22" s="617"/>
      <c r="H22" s="630">
        <v>0</v>
      </c>
      <c r="I22" s="617">
        <v>32</v>
      </c>
      <c r="J22" s="617">
        <v>4935.2000000000007</v>
      </c>
      <c r="K22" s="630">
        <v>1</v>
      </c>
      <c r="L22" s="617">
        <v>32</v>
      </c>
      <c r="M22" s="618">
        <v>4935.2000000000007</v>
      </c>
    </row>
    <row r="23" spans="1:13" ht="14.4" customHeight="1" x14ac:dyDescent="0.3">
      <c r="A23" s="613" t="s">
        <v>1257</v>
      </c>
      <c r="B23" s="614" t="s">
        <v>1194</v>
      </c>
      <c r="C23" s="614" t="s">
        <v>1519</v>
      </c>
      <c r="D23" s="614" t="s">
        <v>1520</v>
      </c>
      <c r="E23" s="614" t="s">
        <v>1521</v>
      </c>
      <c r="F23" s="617"/>
      <c r="G23" s="617"/>
      <c r="H23" s="630">
        <v>0</v>
      </c>
      <c r="I23" s="617">
        <v>3</v>
      </c>
      <c r="J23" s="617">
        <v>227.19</v>
      </c>
      <c r="K23" s="630">
        <v>1</v>
      </c>
      <c r="L23" s="617">
        <v>3</v>
      </c>
      <c r="M23" s="618">
        <v>227.19</v>
      </c>
    </row>
    <row r="24" spans="1:13" ht="14.4" customHeight="1" x14ac:dyDescent="0.3">
      <c r="A24" s="613" t="s">
        <v>1258</v>
      </c>
      <c r="B24" s="614" t="s">
        <v>1194</v>
      </c>
      <c r="C24" s="614" t="s">
        <v>956</v>
      </c>
      <c r="D24" s="614" t="s">
        <v>864</v>
      </c>
      <c r="E24" s="614" t="s">
        <v>1196</v>
      </c>
      <c r="F24" s="617"/>
      <c r="G24" s="617"/>
      <c r="H24" s="630">
        <v>0</v>
      </c>
      <c r="I24" s="617">
        <v>19</v>
      </c>
      <c r="J24" s="617">
        <v>2911.24</v>
      </c>
      <c r="K24" s="630">
        <v>1</v>
      </c>
      <c r="L24" s="617">
        <v>19</v>
      </c>
      <c r="M24" s="618">
        <v>2911.24</v>
      </c>
    </row>
    <row r="25" spans="1:13" ht="14.4" customHeight="1" x14ac:dyDescent="0.3">
      <c r="A25" s="613" t="s">
        <v>1281</v>
      </c>
      <c r="B25" s="614" t="s">
        <v>1194</v>
      </c>
      <c r="C25" s="614" t="s">
        <v>1332</v>
      </c>
      <c r="D25" s="614" t="s">
        <v>864</v>
      </c>
      <c r="E25" s="614" t="s">
        <v>566</v>
      </c>
      <c r="F25" s="617">
        <v>22</v>
      </c>
      <c r="G25" s="617">
        <v>0</v>
      </c>
      <c r="H25" s="630"/>
      <c r="I25" s="617"/>
      <c r="J25" s="617"/>
      <c r="K25" s="630"/>
      <c r="L25" s="617">
        <v>22</v>
      </c>
      <c r="M25" s="618">
        <v>0</v>
      </c>
    </row>
    <row r="26" spans="1:13" ht="14.4" customHeight="1" x14ac:dyDescent="0.3">
      <c r="A26" s="613" t="s">
        <v>1281</v>
      </c>
      <c r="B26" s="614" t="s">
        <v>1194</v>
      </c>
      <c r="C26" s="614" t="s">
        <v>956</v>
      </c>
      <c r="D26" s="614" t="s">
        <v>864</v>
      </c>
      <c r="E26" s="614" t="s">
        <v>1196</v>
      </c>
      <c r="F26" s="617"/>
      <c r="G26" s="617"/>
      <c r="H26" s="630">
        <v>0</v>
      </c>
      <c r="I26" s="617">
        <v>12</v>
      </c>
      <c r="J26" s="617">
        <v>1852.3200000000006</v>
      </c>
      <c r="K26" s="630">
        <v>1</v>
      </c>
      <c r="L26" s="617">
        <v>12</v>
      </c>
      <c r="M26" s="618">
        <v>1852.3200000000006</v>
      </c>
    </row>
    <row r="27" spans="1:13" ht="14.4" customHeight="1" x14ac:dyDescent="0.3">
      <c r="A27" s="613" t="s">
        <v>1281</v>
      </c>
      <c r="B27" s="614" t="s">
        <v>1194</v>
      </c>
      <c r="C27" s="614" t="s">
        <v>1536</v>
      </c>
      <c r="D27" s="614" t="s">
        <v>1537</v>
      </c>
      <c r="E27" s="614" t="s">
        <v>1538</v>
      </c>
      <c r="F27" s="617"/>
      <c r="G27" s="617"/>
      <c r="H27" s="630">
        <v>0</v>
      </c>
      <c r="I27" s="617">
        <v>1</v>
      </c>
      <c r="J27" s="617">
        <v>66.08</v>
      </c>
      <c r="K27" s="630">
        <v>1</v>
      </c>
      <c r="L27" s="617">
        <v>1</v>
      </c>
      <c r="M27" s="618">
        <v>66.08</v>
      </c>
    </row>
    <row r="28" spans="1:13" ht="14.4" customHeight="1" x14ac:dyDescent="0.3">
      <c r="A28" s="613" t="s">
        <v>1281</v>
      </c>
      <c r="B28" s="614" t="s">
        <v>1194</v>
      </c>
      <c r="C28" s="614" t="s">
        <v>1067</v>
      </c>
      <c r="D28" s="614" t="s">
        <v>1234</v>
      </c>
      <c r="E28" s="614" t="s">
        <v>1195</v>
      </c>
      <c r="F28" s="617"/>
      <c r="G28" s="617"/>
      <c r="H28" s="630">
        <v>0</v>
      </c>
      <c r="I28" s="617">
        <v>13</v>
      </c>
      <c r="J28" s="617">
        <v>1939.2600000000002</v>
      </c>
      <c r="K28" s="630">
        <v>1</v>
      </c>
      <c r="L28" s="617">
        <v>13</v>
      </c>
      <c r="M28" s="618">
        <v>1939.2600000000002</v>
      </c>
    </row>
    <row r="29" spans="1:13" ht="14.4" customHeight="1" x14ac:dyDescent="0.3">
      <c r="A29" s="613" t="s">
        <v>1281</v>
      </c>
      <c r="B29" s="614" t="s">
        <v>1194</v>
      </c>
      <c r="C29" s="614" t="s">
        <v>1288</v>
      </c>
      <c r="D29" s="614" t="s">
        <v>864</v>
      </c>
      <c r="E29" s="614" t="s">
        <v>1196</v>
      </c>
      <c r="F29" s="617">
        <v>37</v>
      </c>
      <c r="G29" s="617">
        <v>5685.4000000000005</v>
      </c>
      <c r="H29" s="630">
        <v>1</v>
      </c>
      <c r="I29" s="617"/>
      <c r="J29" s="617"/>
      <c r="K29" s="630">
        <v>0</v>
      </c>
      <c r="L29" s="617">
        <v>37</v>
      </c>
      <c r="M29" s="618">
        <v>5685.4000000000005</v>
      </c>
    </row>
    <row r="30" spans="1:13" ht="14.4" customHeight="1" x14ac:dyDescent="0.3">
      <c r="A30" s="613" t="s">
        <v>1281</v>
      </c>
      <c r="B30" s="614" t="s">
        <v>1194</v>
      </c>
      <c r="C30" s="614" t="s">
        <v>1746</v>
      </c>
      <c r="D30" s="614" t="s">
        <v>1330</v>
      </c>
      <c r="E30" s="614" t="s">
        <v>1747</v>
      </c>
      <c r="F30" s="617">
        <v>2</v>
      </c>
      <c r="G30" s="617">
        <v>0</v>
      </c>
      <c r="H30" s="630"/>
      <c r="I30" s="617"/>
      <c r="J30" s="617"/>
      <c r="K30" s="630"/>
      <c r="L30" s="617">
        <v>2</v>
      </c>
      <c r="M30" s="618">
        <v>0</v>
      </c>
    </row>
    <row r="31" spans="1:13" ht="14.4" customHeight="1" x14ac:dyDescent="0.3">
      <c r="A31" s="613" t="s">
        <v>1281</v>
      </c>
      <c r="B31" s="614" t="s">
        <v>1798</v>
      </c>
      <c r="C31" s="614" t="s">
        <v>1778</v>
      </c>
      <c r="D31" s="614" t="s">
        <v>1779</v>
      </c>
      <c r="E31" s="614" t="s">
        <v>1508</v>
      </c>
      <c r="F31" s="617">
        <v>1</v>
      </c>
      <c r="G31" s="617">
        <v>119.7</v>
      </c>
      <c r="H31" s="630">
        <v>1</v>
      </c>
      <c r="I31" s="617"/>
      <c r="J31" s="617"/>
      <c r="K31" s="630">
        <v>0</v>
      </c>
      <c r="L31" s="617">
        <v>1</v>
      </c>
      <c r="M31" s="618">
        <v>119.7</v>
      </c>
    </row>
    <row r="32" spans="1:13" ht="14.4" customHeight="1" x14ac:dyDescent="0.3">
      <c r="A32" s="613" t="s">
        <v>1281</v>
      </c>
      <c r="B32" s="614" t="s">
        <v>1203</v>
      </c>
      <c r="C32" s="614" t="s">
        <v>1320</v>
      </c>
      <c r="D32" s="614" t="s">
        <v>931</v>
      </c>
      <c r="E32" s="614" t="s">
        <v>932</v>
      </c>
      <c r="F32" s="617">
        <v>6</v>
      </c>
      <c r="G32" s="617">
        <v>883.8599999999999</v>
      </c>
      <c r="H32" s="630">
        <v>1</v>
      </c>
      <c r="I32" s="617"/>
      <c r="J32" s="617"/>
      <c r="K32" s="630">
        <v>0</v>
      </c>
      <c r="L32" s="617">
        <v>6</v>
      </c>
      <c r="M32" s="618">
        <v>883.8599999999999</v>
      </c>
    </row>
    <row r="33" spans="1:13" ht="14.4" customHeight="1" x14ac:dyDescent="0.3">
      <c r="A33" s="613" t="s">
        <v>1281</v>
      </c>
      <c r="B33" s="614" t="s">
        <v>1218</v>
      </c>
      <c r="C33" s="614" t="s">
        <v>1307</v>
      </c>
      <c r="D33" s="614" t="s">
        <v>714</v>
      </c>
      <c r="E33" s="614" t="s">
        <v>1308</v>
      </c>
      <c r="F33" s="617"/>
      <c r="G33" s="617"/>
      <c r="H33" s="630">
        <v>0</v>
      </c>
      <c r="I33" s="617">
        <v>4</v>
      </c>
      <c r="J33" s="617">
        <v>96.88</v>
      </c>
      <c r="K33" s="630">
        <v>1</v>
      </c>
      <c r="L33" s="617">
        <v>4</v>
      </c>
      <c r="M33" s="618">
        <v>96.88</v>
      </c>
    </row>
    <row r="34" spans="1:13" ht="14.4" customHeight="1" x14ac:dyDescent="0.3">
      <c r="A34" s="613" t="s">
        <v>1281</v>
      </c>
      <c r="B34" s="614" t="s">
        <v>1218</v>
      </c>
      <c r="C34" s="614" t="s">
        <v>776</v>
      </c>
      <c r="D34" s="614" t="s">
        <v>714</v>
      </c>
      <c r="E34" s="614" t="s">
        <v>1219</v>
      </c>
      <c r="F34" s="617"/>
      <c r="G34" s="617"/>
      <c r="H34" s="630">
        <v>0</v>
      </c>
      <c r="I34" s="617">
        <v>2</v>
      </c>
      <c r="J34" s="617">
        <v>96.84</v>
      </c>
      <c r="K34" s="630">
        <v>1</v>
      </c>
      <c r="L34" s="617">
        <v>2</v>
      </c>
      <c r="M34" s="618">
        <v>96.84</v>
      </c>
    </row>
    <row r="35" spans="1:13" ht="14.4" customHeight="1" x14ac:dyDescent="0.3">
      <c r="A35" s="613" t="s">
        <v>1281</v>
      </c>
      <c r="B35" s="614" t="s">
        <v>1218</v>
      </c>
      <c r="C35" s="614" t="s">
        <v>1757</v>
      </c>
      <c r="D35" s="614" t="s">
        <v>714</v>
      </c>
      <c r="E35" s="614" t="s">
        <v>1758</v>
      </c>
      <c r="F35" s="617">
        <v>6</v>
      </c>
      <c r="G35" s="617">
        <v>0</v>
      </c>
      <c r="H35" s="630"/>
      <c r="I35" s="617"/>
      <c r="J35" s="617"/>
      <c r="K35" s="630"/>
      <c r="L35" s="617">
        <v>6</v>
      </c>
      <c r="M35" s="618">
        <v>0</v>
      </c>
    </row>
    <row r="36" spans="1:13" ht="14.4" customHeight="1" x14ac:dyDescent="0.3">
      <c r="A36" s="613" t="s">
        <v>1281</v>
      </c>
      <c r="B36" s="614" t="s">
        <v>1218</v>
      </c>
      <c r="C36" s="614" t="s">
        <v>1341</v>
      </c>
      <c r="D36" s="614" t="s">
        <v>714</v>
      </c>
      <c r="E36" s="614" t="s">
        <v>1342</v>
      </c>
      <c r="F36" s="617">
        <v>3</v>
      </c>
      <c r="G36" s="617">
        <v>0</v>
      </c>
      <c r="H36" s="630"/>
      <c r="I36" s="617"/>
      <c r="J36" s="617"/>
      <c r="K36" s="630"/>
      <c r="L36" s="617">
        <v>3</v>
      </c>
      <c r="M36" s="618">
        <v>0</v>
      </c>
    </row>
    <row r="37" spans="1:13" ht="14.4" customHeight="1" x14ac:dyDescent="0.3">
      <c r="A37" s="613" t="s">
        <v>1281</v>
      </c>
      <c r="B37" s="614" t="s">
        <v>1218</v>
      </c>
      <c r="C37" s="614" t="s">
        <v>1759</v>
      </c>
      <c r="D37" s="614" t="s">
        <v>714</v>
      </c>
      <c r="E37" s="614" t="s">
        <v>1219</v>
      </c>
      <c r="F37" s="617">
        <v>2</v>
      </c>
      <c r="G37" s="617">
        <v>96.84</v>
      </c>
      <c r="H37" s="630">
        <v>1</v>
      </c>
      <c r="I37" s="617"/>
      <c r="J37" s="617"/>
      <c r="K37" s="630">
        <v>0</v>
      </c>
      <c r="L37" s="617">
        <v>2</v>
      </c>
      <c r="M37" s="618">
        <v>96.84</v>
      </c>
    </row>
    <row r="38" spans="1:13" ht="14.4" customHeight="1" x14ac:dyDescent="0.3">
      <c r="A38" s="613" t="s">
        <v>1281</v>
      </c>
      <c r="B38" s="614" t="s">
        <v>1218</v>
      </c>
      <c r="C38" s="614" t="s">
        <v>1343</v>
      </c>
      <c r="D38" s="614" t="s">
        <v>714</v>
      </c>
      <c r="E38" s="614" t="s">
        <v>1308</v>
      </c>
      <c r="F38" s="617">
        <v>3</v>
      </c>
      <c r="G38" s="617">
        <v>72.66</v>
      </c>
      <c r="H38" s="630">
        <v>1</v>
      </c>
      <c r="I38" s="617"/>
      <c r="J38" s="617"/>
      <c r="K38" s="630">
        <v>0</v>
      </c>
      <c r="L38" s="617">
        <v>3</v>
      </c>
      <c r="M38" s="618">
        <v>72.66</v>
      </c>
    </row>
    <row r="39" spans="1:13" ht="14.4" customHeight="1" x14ac:dyDescent="0.3">
      <c r="A39" s="613" t="s">
        <v>1281</v>
      </c>
      <c r="B39" s="614" t="s">
        <v>1218</v>
      </c>
      <c r="C39" s="614" t="s">
        <v>1760</v>
      </c>
      <c r="D39" s="614" t="s">
        <v>714</v>
      </c>
      <c r="E39" s="614" t="s">
        <v>1761</v>
      </c>
      <c r="F39" s="617">
        <v>1</v>
      </c>
      <c r="G39" s="617">
        <v>24.22</v>
      </c>
      <c r="H39" s="630">
        <v>1</v>
      </c>
      <c r="I39" s="617"/>
      <c r="J39" s="617"/>
      <c r="K39" s="630">
        <v>0</v>
      </c>
      <c r="L39" s="617">
        <v>1</v>
      </c>
      <c r="M39" s="618">
        <v>24.22</v>
      </c>
    </row>
    <row r="40" spans="1:13" ht="14.4" customHeight="1" x14ac:dyDescent="0.3">
      <c r="A40" s="613" t="s">
        <v>1259</v>
      </c>
      <c r="B40" s="614" t="s">
        <v>1194</v>
      </c>
      <c r="C40" s="614" t="s">
        <v>956</v>
      </c>
      <c r="D40" s="614" t="s">
        <v>864</v>
      </c>
      <c r="E40" s="614" t="s">
        <v>1196</v>
      </c>
      <c r="F40" s="617"/>
      <c r="G40" s="617"/>
      <c r="H40" s="630">
        <v>0</v>
      </c>
      <c r="I40" s="617">
        <v>11</v>
      </c>
      <c r="J40" s="617">
        <v>1676.36</v>
      </c>
      <c r="K40" s="630">
        <v>1</v>
      </c>
      <c r="L40" s="617">
        <v>11</v>
      </c>
      <c r="M40" s="618">
        <v>1676.36</v>
      </c>
    </row>
    <row r="41" spans="1:13" ht="14.4" customHeight="1" x14ac:dyDescent="0.3">
      <c r="A41" s="613" t="s">
        <v>1260</v>
      </c>
      <c r="B41" s="614" t="s">
        <v>1176</v>
      </c>
      <c r="C41" s="614" t="s">
        <v>1353</v>
      </c>
      <c r="D41" s="614" t="s">
        <v>1354</v>
      </c>
      <c r="E41" s="614" t="s">
        <v>563</v>
      </c>
      <c r="F41" s="617">
        <v>1</v>
      </c>
      <c r="G41" s="617">
        <v>35.11</v>
      </c>
      <c r="H41" s="630">
        <v>1</v>
      </c>
      <c r="I41" s="617"/>
      <c r="J41" s="617"/>
      <c r="K41" s="630">
        <v>0</v>
      </c>
      <c r="L41" s="617">
        <v>1</v>
      </c>
      <c r="M41" s="618">
        <v>35.11</v>
      </c>
    </row>
    <row r="42" spans="1:13" ht="14.4" customHeight="1" x14ac:dyDescent="0.3">
      <c r="A42" s="613" t="s">
        <v>1260</v>
      </c>
      <c r="B42" s="614" t="s">
        <v>1801</v>
      </c>
      <c r="C42" s="614" t="s">
        <v>1413</v>
      </c>
      <c r="D42" s="614" t="s">
        <v>1414</v>
      </c>
      <c r="E42" s="614" t="s">
        <v>1415</v>
      </c>
      <c r="F42" s="617"/>
      <c r="G42" s="617"/>
      <c r="H42" s="630">
        <v>0</v>
      </c>
      <c r="I42" s="617">
        <v>1</v>
      </c>
      <c r="J42" s="617">
        <v>614.29999999999995</v>
      </c>
      <c r="K42" s="630">
        <v>1</v>
      </c>
      <c r="L42" s="617">
        <v>1</v>
      </c>
      <c r="M42" s="618">
        <v>614.29999999999995</v>
      </c>
    </row>
    <row r="43" spans="1:13" ht="14.4" customHeight="1" x14ac:dyDescent="0.3">
      <c r="A43" s="613" t="s">
        <v>1260</v>
      </c>
      <c r="B43" s="614" t="s">
        <v>1181</v>
      </c>
      <c r="C43" s="614" t="s">
        <v>802</v>
      </c>
      <c r="D43" s="614" t="s">
        <v>1182</v>
      </c>
      <c r="E43" s="614" t="s">
        <v>469</v>
      </c>
      <c r="F43" s="617"/>
      <c r="G43" s="617"/>
      <c r="H43" s="630">
        <v>0</v>
      </c>
      <c r="I43" s="617">
        <v>2</v>
      </c>
      <c r="J43" s="617">
        <v>117.72</v>
      </c>
      <c r="K43" s="630">
        <v>1</v>
      </c>
      <c r="L43" s="617">
        <v>2</v>
      </c>
      <c r="M43" s="618">
        <v>117.72</v>
      </c>
    </row>
    <row r="44" spans="1:13" ht="14.4" customHeight="1" x14ac:dyDescent="0.3">
      <c r="A44" s="613" t="s">
        <v>1260</v>
      </c>
      <c r="B44" s="614" t="s">
        <v>1194</v>
      </c>
      <c r="C44" s="614" t="s">
        <v>956</v>
      </c>
      <c r="D44" s="614" t="s">
        <v>864</v>
      </c>
      <c r="E44" s="614" t="s">
        <v>1196</v>
      </c>
      <c r="F44" s="617"/>
      <c r="G44" s="617"/>
      <c r="H44" s="630">
        <v>0</v>
      </c>
      <c r="I44" s="617">
        <v>93</v>
      </c>
      <c r="J44" s="617">
        <v>14277.720000000005</v>
      </c>
      <c r="K44" s="630">
        <v>1</v>
      </c>
      <c r="L44" s="617">
        <v>93</v>
      </c>
      <c r="M44" s="618">
        <v>14277.720000000005</v>
      </c>
    </row>
    <row r="45" spans="1:13" ht="14.4" customHeight="1" x14ac:dyDescent="0.3">
      <c r="A45" s="613" t="s">
        <v>1260</v>
      </c>
      <c r="B45" s="614" t="s">
        <v>1194</v>
      </c>
      <c r="C45" s="614" t="s">
        <v>1519</v>
      </c>
      <c r="D45" s="614" t="s">
        <v>1520</v>
      </c>
      <c r="E45" s="614" t="s">
        <v>1521</v>
      </c>
      <c r="F45" s="617"/>
      <c r="G45" s="617"/>
      <c r="H45" s="630">
        <v>0</v>
      </c>
      <c r="I45" s="617">
        <v>3</v>
      </c>
      <c r="J45" s="617">
        <v>266.45</v>
      </c>
      <c r="K45" s="630">
        <v>1</v>
      </c>
      <c r="L45" s="617">
        <v>3</v>
      </c>
      <c r="M45" s="618">
        <v>266.45</v>
      </c>
    </row>
    <row r="46" spans="1:13" ht="14.4" customHeight="1" x14ac:dyDescent="0.3">
      <c r="A46" s="613" t="s">
        <v>1260</v>
      </c>
      <c r="B46" s="614" t="s">
        <v>1194</v>
      </c>
      <c r="C46" s="614" t="s">
        <v>1288</v>
      </c>
      <c r="D46" s="614" t="s">
        <v>864</v>
      </c>
      <c r="E46" s="614" t="s">
        <v>1196</v>
      </c>
      <c r="F46" s="617">
        <v>2</v>
      </c>
      <c r="G46" s="617">
        <v>304.39999999999998</v>
      </c>
      <c r="H46" s="630">
        <v>1</v>
      </c>
      <c r="I46" s="617"/>
      <c r="J46" s="617"/>
      <c r="K46" s="630">
        <v>0</v>
      </c>
      <c r="L46" s="617">
        <v>2</v>
      </c>
      <c r="M46" s="618">
        <v>304.39999999999998</v>
      </c>
    </row>
    <row r="47" spans="1:13" ht="14.4" customHeight="1" x14ac:dyDescent="0.3">
      <c r="A47" s="613" t="s">
        <v>1260</v>
      </c>
      <c r="B47" s="614" t="s">
        <v>1203</v>
      </c>
      <c r="C47" s="614" t="s">
        <v>930</v>
      </c>
      <c r="D47" s="614" t="s">
        <v>931</v>
      </c>
      <c r="E47" s="614" t="s">
        <v>932</v>
      </c>
      <c r="F47" s="617"/>
      <c r="G47" s="617"/>
      <c r="H47" s="630">
        <v>0</v>
      </c>
      <c r="I47" s="617">
        <v>3</v>
      </c>
      <c r="J47" s="617">
        <v>441.93</v>
      </c>
      <c r="K47" s="630">
        <v>1</v>
      </c>
      <c r="L47" s="617">
        <v>3</v>
      </c>
      <c r="M47" s="618">
        <v>441.93</v>
      </c>
    </row>
    <row r="48" spans="1:13" ht="14.4" customHeight="1" x14ac:dyDescent="0.3">
      <c r="A48" s="613" t="s">
        <v>1260</v>
      </c>
      <c r="B48" s="614" t="s">
        <v>1203</v>
      </c>
      <c r="C48" s="614" t="s">
        <v>1079</v>
      </c>
      <c r="D48" s="614" t="s">
        <v>1080</v>
      </c>
      <c r="E48" s="614" t="s">
        <v>1311</v>
      </c>
      <c r="F48" s="617"/>
      <c r="G48" s="617"/>
      <c r="H48" s="630">
        <v>0</v>
      </c>
      <c r="I48" s="617">
        <v>3</v>
      </c>
      <c r="J48" s="617">
        <v>220.98</v>
      </c>
      <c r="K48" s="630">
        <v>1</v>
      </c>
      <c r="L48" s="617">
        <v>3</v>
      </c>
      <c r="M48" s="618">
        <v>220.98</v>
      </c>
    </row>
    <row r="49" spans="1:13" ht="14.4" customHeight="1" x14ac:dyDescent="0.3">
      <c r="A49" s="613" t="s">
        <v>1260</v>
      </c>
      <c r="B49" s="614" t="s">
        <v>1218</v>
      </c>
      <c r="C49" s="614" t="s">
        <v>1307</v>
      </c>
      <c r="D49" s="614" t="s">
        <v>714</v>
      </c>
      <c r="E49" s="614" t="s">
        <v>1308</v>
      </c>
      <c r="F49" s="617"/>
      <c r="G49" s="617"/>
      <c r="H49" s="630">
        <v>0</v>
      </c>
      <c r="I49" s="617">
        <v>29</v>
      </c>
      <c r="J49" s="617">
        <v>702.38000000000011</v>
      </c>
      <c r="K49" s="630">
        <v>1</v>
      </c>
      <c r="L49" s="617">
        <v>29</v>
      </c>
      <c r="M49" s="618">
        <v>702.38000000000011</v>
      </c>
    </row>
    <row r="50" spans="1:13" ht="14.4" customHeight="1" x14ac:dyDescent="0.3">
      <c r="A50" s="613" t="s">
        <v>1260</v>
      </c>
      <c r="B50" s="614" t="s">
        <v>1218</v>
      </c>
      <c r="C50" s="614" t="s">
        <v>1407</v>
      </c>
      <c r="D50" s="614" t="s">
        <v>714</v>
      </c>
      <c r="E50" s="614" t="s">
        <v>1408</v>
      </c>
      <c r="F50" s="617"/>
      <c r="G50" s="617"/>
      <c r="H50" s="630"/>
      <c r="I50" s="617">
        <v>2</v>
      </c>
      <c r="J50" s="617">
        <v>0</v>
      </c>
      <c r="K50" s="630"/>
      <c r="L50" s="617">
        <v>2</v>
      </c>
      <c r="M50" s="618">
        <v>0</v>
      </c>
    </row>
    <row r="51" spans="1:13" ht="14.4" customHeight="1" x14ac:dyDescent="0.3">
      <c r="A51" s="613" t="s">
        <v>1260</v>
      </c>
      <c r="B51" s="614" t="s">
        <v>1802</v>
      </c>
      <c r="C51" s="614" t="s">
        <v>1410</v>
      </c>
      <c r="D51" s="614" t="s">
        <v>1411</v>
      </c>
      <c r="E51" s="614" t="s">
        <v>524</v>
      </c>
      <c r="F51" s="617"/>
      <c r="G51" s="617"/>
      <c r="H51" s="630">
        <v>0</v>
      </c>
      <c r="I51" s="617">
        <v>2</v>
      </c>
      <c r="J51" s="617">
        <v>264</v>
      </c>
      <c r="K51" s="630">
        <v>1</v>
      </c>
      <c r="L51" s="617">
        <v>2</v>
      </c>
      <c r="M51" s="618">
        <v>264</v>
      </c>
    </row>
    <row r="52" spans="1:13" ht="14.4" customHeight="1" x14ac:dyDescent="0.3">
      <c r="A52" s="613" t="s">
        <v>1260</v>
      </c>
      <c r="B52" s="614" t="s">
        <v>1223</v>
      </c>
      <c r="C52" s="614" t="s">
        <v>1424</v>
      </c>
      <c r="D52" s="614" t="s">
        <v>1425</v>
      </c>
      <c r="E52" s="614" t="s">
        <v>1426</v>
      </c>
      <c r="F52" s="617"/>
      <c r="G52" s="617"/>
      <c r="H52" s="630">
        <v>0</v>
      </c>
      <c r="I52" s="617">
        <v>7</v>
      </c>
      <c r="J52" s="617">
        <v>1724.7299999999998</v>
      </c>
      <c r="K52" s="630">
        <v>1</v>
      </c>
      <c r="L52" s="617">
        <v>7</v>
      </c>
      <c r="M52" s="618">
        <v>1724.7299999999998</v>
      </c>
    </row>
    <row r="53" spans="1:13" ht="14.4" customHeight="1" x14ac:dyDescent="0.3">
      <c r="A53" s="613" t="s">
        <v>1260</v>
      </c>
      <c r="B53" s="614" t="s">
        <v>1226</v>
      </c>
      <c r="C53" s="614" t="s">
        <v>1349</v>
      </c>
      <c r="D53" s="614" t="s">
        <v>1350</v>
      </c>
      <c r="E53" s="614" t="s">
        <v>1351</v>
      </c>
      <c r="F53" s="617"/>
      <c r="G53" s="617"/>
      <c r="H53" s="630">
        <v>0</v>
      </c>
      <c r="I53" s="617">
        <v>1</v>
      </c>
      <c r="J53" s="617">
        <v>86.5</v>
      </c>
      <c r="K53" s="630">
        <v>1</v>
      </c>
      <c r="L53" s="617">
        <v>1</v>
      </c>
      <c r="M53" s="618">
        <v>86.5</v>
      </c>
    </row>
    <row r="54" spans="1:13" ht="14.4" customHeight="1" x14ac:dyDescent="0.3">
      <c r="A54" s="613" t="s">
        <v>1260</v>
      </c>
      <c r="B54" s="614" t="s">
        <v>1803</v>
      </c>
      <c r="C54" s="614" t="s">
        <v>1400</v>
      </c>
      <c r="D54" s="614" t="s">
        <v>1401</v>
      </c>
      <c r="E54" s="614" t="s">
        <v>1402</v>
      </c>
      <c r="F54" s="617"/>
      <c r="G54" s="617"/>
      <c r="H54" s="630">
        <v>0</v>
      </c>
      <c r="I54" s="617">
        <v>1</v>
      </c>
      <c r="J54" s="617">
        <v>340.97</v>
      </c>
      <c r="K54" s="630">
        <v>1</v>
      </c>
      <c r="L54" s="617">
        <v>1</v>
      </c>
      <c r="M54" s="618">
        <v>340.97</v>
      </c>
    </row>
    <row r="55" spans="1:13" ht="14.4" customHeight="1" x14ac:dyDescent="0.3">
      <c r="A55" s="613" t="s">
        <v>1261</v>
      </c>
      <c r="B55" s="614" t="s">
        <v>1194</v>
      </c>
      <c r="C55" s="614" t="s">
        <v>956</v>
      </c>
      <c r="D55" s="614" t="s">
        <v>864</v>
      </c>
      <c r="E55" s="614" t="s">
        <v>1196</v>
      </c>
      <c r="F55" s="617"/>
      <c r="G55" s="617"/>
      <c r="H55" s="630">
        <v>0</v>
      </c>
      <c r="I55" s="617">
        <v>5</v>
      </c>
      <c r="J55" s="617">
        <v>771.80000000000007</v>
      </c>
      <c r="K55" s="630">
        <v>1</v>
      </c>
      <c r="L55" s="617">
        <v>5</v>
      </c>
      <c r="M55" s="618">
        <v>771.80000000000007</v>
      </c>
    </row>
    <row r="56" spans="1:13" ht="14.4" customHeight="1" x14ac:dyDescent="0.3">
      <c r="A56" s="613" t="s">
        <v>1261</v>
      </c>
      <c r="B56" s="614" t="s">
        <v>1194</v>
      </c>
      <c r="C56" s="614" t="s">
        <v>1288</v>
      </c>
      <c r="D56" s="614" t="s">
        <v>864</v>
      </c>
      <c r="E56" s="614" t="s">
        <v>1196</v>
      </c>
      <c r="F56" s="617">
        <v>1</v>
      </c>
      <c r="G56" s="617">
        <v>154.36000000000001</v>
      </c>
      <c r="H56" s="630">
        <v>1</v>
      </c>
      <c r="I56" s="617"/>
      <c r="J56" s="617"/>
      <c r="K56" s="630">
        <v>0</v>
      </c>
      <c r="L56" s="617">
        <v>1</v>
      </c>
      <c r="M56" s="618">
        <v>154.36000000000001</v>
      </c>
    </row>
    <row r="57" spans="1:13" ht="14.4" customHeight="1" x14ac:dyDescent="0.3">
      <c r="A57" s="613" t="s">
        <v>1261</v>
      </c>
      <c r="B57" s="614" t="s">
        <v>1218</v>
      </c>
      <c r="C57" s="614" t="s">
        <v>776</v>
      </c>
      <c r="D57" s="614" t="s">
        <v>714</v>
      </c>
      <c r="E57" s="614" t="s">
        <v>1219</v>
      </c>
      <c r="F57" s="617"/>
      <c r="G57" s="617"/>
      <c r="H57" s="630">
        <v>0</v>
      </c>
      <c r="I57" s="617">
        <v>1</v>
      </c>
      <c r="J57" s="617">
        <v>48.42</v>
      </c>
      <c r="K57" s="630">
        <v>1</v>
      </c>
      <c r="L57" s="617">
        <v>1</v>
      </c>
      <c r="M57" s="618">
        <v>48.42</v>
      </c>
    </row>
    <row r="58" spans="1:13" ht="14.4" customHeight="1" x14ac:dyDescent="0.3">
      <c r="A58" s="613" t="s">
        <v>1262</v>
      </c>
      <c r="B58" s="614" t="s">
        <v>1194</v>
      </c>
      <c r="C58" s="614" t="s">
        <v>956</v>
      </c>
      <c r="D58" s="614" t="s">
        <v>864</v>
      </c>
      <c r="E58" s="614" t="s">
        <v>1196</v>
      </c>
      <c r="F58" s="617"/>
      <c r="G58" s="617"/>
      <c r="H58" s="630">
        <v>0</v>
      </c>
      <c r="I58" s="617">
        <v>31</v>
      </c>
      <c r="J58" s="617">
        <v>4763.5600000000004</v>
      </c>
      <c r="K58" s="630">
        <v>1</v>
      </c>
      <c r="L58" s="617">
        <v>31</v>
      </c>
      <c r="M58" s="618">
        <v>4763.5600000000004</v>
      </c>
    </row>
    <row r="59" spans="1:13" ht="14.4" customHeight="1" x14ac:dyDescent="0.3">
      <c r="A59" s="613" t="s">
        <v>1262</v>
      </c>
      <c r="B59" s="614" t="s">
        <v>1194</v>
      </c>
      <c r="C59" s="614" t="s">
        <v>1067</v>
      </c>
      <c r="D59" s="614" t="s">
        <v>1234</v>
      </c>
      <c r="E59" s="614" t="s">
        <v>1195</v>
      </c>
      <c r="F59" s="617"/>
      <c r="G59" s="617"/>
      <c r="H59" s="630">
        <v>0</v>
      </c>
      <c r="I59" s="617">
        <v>1</v>
      </c>
      <c r="J59" s="617">
        <v>149.52000000000001</v>
      </c>
      <c r="K59" s="630">
        <v>1</v>
      </c>
      <c r="L59" s="617">
        <v>1</v>
      </c>
      <c r="M59" s="618">
        <v>149.52000000000001</v>
      </c>
    </row>
    <row r="60" spans="1:13" ht="14.4" customHeight="1" x14ac:dyDescent="0.3">
      <c r="A60" s="613" t="s">
        <v>1262</v>
      </c>
      <c r="B60" s="614" t="s">
        <v>1194</v>
      </c>
      <c r="C60" s="614" t="s">
        <v>1436</v>
      </c>
      <c r="D60" s="614" t="s">
        <v>1437</v>
      </c>
      <c r="E60" s="614" t="s">
        <v>1438</v>
      </c>
      <c r="F60" s="617"/>
      <c r="G60" s="617"/>
      <c r="H60" s="630">
        <v>0</v>
      </c>
      <c r="I60" s="617">
        <v>1</v>
      </c>
      <c r="J60" s="617">
        <v>80.28</v>
      </c>
      <c r="K60" s="630">
        <v>1</v>
      </c>
      <c r="L60" s="617">
        <v>1</v>
      </c>
      <c r="M60" s="618">
        <v>80.28</v>
      </c>
    </row>
    <row r="61" spans="1:13" ht="14.4" customHeight="1" x14ac:dyDescent="0.3">
      <c r="A61" s="613" t="s">
        <v>1262</v>
      </c>
      <c r="B61" s="614" t="s">
        <v>1194</v>
      </c>
      <c r="C61" s="614" t="s">
        <v>1288</v>
      </c>
      <c r="D61" s="614" t="s">
        <v>864</v>
      </c>
      <c r="E61" s="614" t="s">
        <v>1196</v>
      </c>
      <c r="F61" s="617">
        <v>2</v>
      </c>
      <c r="G61" s="617">
        <v>308.72000000000003</v>
      </c>
      <c r="H61" s="630">
        <v>1</v>
      </c>
      <c r="I61" s="617"/>
      <c r="J61" s="617"/>
      <c r="K61" s="630">
        <v>0</v>
      </c>
      <c r="L61" s="617">
        <v>2</v>
      </c>
      <c r="M61" s="618">
        <v>308.72000000000003</v>
      </c>
    </row>
    <row r="62" spans="1:13" ht="14.4" customHeight="1" x14ac:dyDescent="0.3">
      <c r="A62" s="613" t="s">
        <v>1262</v>
      </c>
      <c r="B62" s="614" t="s">
        <v>1218</v>
      </c>
      <c r="C62" s="614" t="s">
        <v>1307</v>
      </c>
      <c r="D62" s="614" t="s">
        <v>714</v>
      </c>
      <c r="E62" s="614" t="s">
        <v>1308</v>
      </c>
      <c r="F62" s="617"/>
      <c r="G62" s="617"/>
      <c r="H62" s="630">
        <v>0</v>
      </c>
      <c r="I62" s="617">
        <v>1</v>
      </c>
      <c r="J62" s="617">
        <v>24.22</v>
      </c>
      <c r="K62" s="630">
        <v>1</v>
      </c>
      <c r="L62" s="617">
        <v>1</v>
      </c>
      <c r="M62" s="618">
        <v>24.22</v>
      </c>
    </row>
    <row r="63" spans="1:13" ht="14.4" customHeight="1" x14ac:dyDescent="0.3">
      <c r="A63" s="613" t="s">
        <v>1262</v>
      </c>
      <c r="B63" s="614" t="s">
        <v>1218</v>
      </c>
      <c r="C63" s="614" t="s">
        <v>776</v>
      </c>
      <c r="D63" s="614" t="s">
        <v>714</v>
      </c>
      <c r="E63" s="614" t="s">
        <v>1219</v>
      </c>
      <c r="F63" s="617"/>
      <c r="G63" s="617"/>
      <c r="H63" s="630">
        <v>0</v>
      </c>
      <c r="I63" s="617">
        <v>3</v>
      </c>
      <c r="J63" s="617">
        <v>145.26</v>
      </c>
      <c r="K63" s="630">
        <v>1</v>
      </c>
      <c r="L63" s="617">
        <v>3</v>
      </c>
      <c r="M63" s="618">
        <v>145.26</v>
      </c>
    </row>
    <row r="64" spans="1:13" ht="14.4" customHeight="1" x14ac:dyDescent="0.3">
      <c r="A64" s="613" t="s">
        <v>1262</v>
      </c>
      <c r="B64" s="614" t="s">
        <v>1218</v>
      </c>
      <c r="C64" s="614" t="s">
        <v>1763</v>
      </c>
      <c r="D64" s="614" t="s">
        <v>714</v>
      </c>
      <c r="E64" s="614" t="s">
        <v>1764</v>
      </c>
      <c r="F64" s="617">
        <v>1</v>
      </c>
      <c r="G64" s="617">
        <v>0</v>
      </c>
      <c r="H64" s="630"/>
      <c r="I64" s="617"/>
      <c r="J64" s="617"/>
      <c r="K64" s="630"/>
      <c r="L64" s="617">
        <v>1</v>
      </c>
      <c r="M64" s="618">
        <v>0</v>
      </c>
    </row>
    <row r="65" spans="1:13" ht="14.4" customHeight="1" x14ac:dyDescent="0.3">
      <c r="A65" s="613" t="s">
        <v>1262</v>
      </c>
      <c r="B65" s="614" t="s">
        <v>1220</v>
      </c>
      <c r="C65" s="614" t="s">
        <v>1451</v>
      </c>
      <c r="D65" s="614" t="s">
        <v>1452</v>
      </c>
      <c r="E65" s="614" t="s">
        <v>1453</v>
      </c>
      <c r="F65" s="617">
        <v>1</v>
      </c>
      <c r="G65" s="617">
        <v>268.57</v>
      </c>
      <c r="H65" s="630">
        <v>1</v>
      </c>
      <c r="I65" s="617"/>
      <c r="J65" s="617"/>
      <c r="K65" s="630">
        <v>0</v>
      </c>
      <c r="L65" s="617">
        <v>1</v>
      </c>
      <c r="M65" s="618">
        <v>268.57</v>
      </c>
    </row>
    <row r="66" spans="1:13" ht="14.4" customHeight="1" x14ac:dyDescent="0.3">
      <c r="A66" s="613" t="s">
        <v>1263</v>
      </c>
      <c r="B66" s="614" t="s">
        <v>1194</v>
      </c>
      <c r="C66" s="614" t="s">
        <v>956</v>
      </c>
      <c r="D66" s="614" t="s">
        <v>864</v>
      </c>
      <c r="E66" s="614" t="s">
        <v>1196</v>
      </c>
      <c r="F66" s="617"/>
      <c r="G66" s="617"/>
      <c r="H66" s="630">
        <v>0</v>
      </c>
      <c r="I66" s="617">
        <v>16</v>
      </c>
      <c r="J66" s="617">
        <v>2469.7600000000007</v>
      </c>
      <c r="K66" s="630">
        <v>1</v>
      </c>
      <c r="L66" s="617">
        <v>16</v>
      </c>
      <c r="M66" s="618">
        <v>2469.7600000000007</v>
      </c>
    </row>
    <row r="67" spans="1:13" ht="14.4" customHeight="1" x14ac:dyDescent="0.3">
      <c r="A67" s="613" t="s">
        <v>1263</v>
      </c>
      <c r="B67" s="614" t="s">
        <v>1194</v>
      </c>
      <c r="C67" s="614" t="s">
        <v>1478</v>
      </c>
      <c r="D67" s="614" t="s">
        <v>1479</v>
      </c>
      <c r="E67" s="614" t="s">
        <v>1195</v>
      </c>
      <c r="F67" s="617">
        <v>1</v>
      </c>
      <c r="G67" s="617">
        <v>111.22</v>
      </c>
      <c r="H67" s="630">
        <v>1</v>
      </c>
      <c r="I67" s="617"/>
      <c r="J67" s="617"/>
      <c r="K67" s="630">
        <v>0</v>
      </c>
      <c r="L67" s="617">
        <v>1</v>
      </c>
      <c r="M67" s="618">
        <v>111.22</v>
      </c>
    </row>
    <row r="68" spans="1:13" ht="14.4" customHeight="1" x14ac:dyDescent="0.3">
      <c r="A68" s="613" t="s">
        <v>1263</v>
      </c>
      <c r="B68" s="614" t="s">
        <v>1194</v>
      </c>
      <c r="C68" s="614" t="s">
        <v>1436</v>
      </c>
      <c r="D68" s="614" t="s">
        <v>1437</v>
      </c>
      <c r="E68" s="614" t="s">
        <v>1438</v>
      </c>
      <c r="F68" s="617"/>
      <c r="G68" s="617"/>
      <c r="H68" s="630">
        <v>0</v>
      </c>
      <c r="I68" s="617">
        <v>1</v>
      </c>
      <c r="J68" s="617">
        <v>80.28</v>
      </c>
      <c r="K68" s="630">
        <v>1</v>
      </c>
      <c r="L68" s="617">
        <v>1</v>
      </c>
      <c r="M68" s="618">
        <v>80.28</v>
      </c>
    </row>
    <row r="69" spans="1:13" ht="14.4" customHeight="1" x14ac:dyDescent="0.3">
      <c r="A69" s="613" t="s">
        <v>1263</v>
      </c>
      <c r="B69" s="614" t="s">
        <v>1194</v>
      </c>
      <c r="C69" s="614" t="s">
        <v>1288</v>
      </c>
      <c r="D69" s="614" t="s">
        <v>864</v>
      </c>
      <c r="E69" s="614" t="s">
        <v>1196</v>
      </c>
      <c r="F69" s="617">
        <v>1</v>
      </c>
      <c r="G69" s="617">
        <v>150.04</v>
      </c>
      <c r="H69" s="630">
        <v>1</v>
      </c>
      <c r="I69" s="617"/>
      <c r="J69" s="617"/>
      <c r="K69" s="630">
        <v>0</v>
      </c>
      <c r="L69" s="617">
        <v>1</v>
      </c>
      <c r="M69" s="618">
        <v>150.04</v>
      </c>
    </row>
    <row r="70" spans="1:13" ht="14.4" customHeight="1" x14ac:dyDescent="0.3">
      <c r="A70" s="613" t="s">
        <v>1263</v>
      </c>
      <c r="B70" s="614" t="s">
        <v>1200</v>
      </c>
      <c r="C70" s="614" t="s">
        <v>1337</v>
      </c>
      <c r="D70" s="614" t="s">
        <v>920</v>
      </c>
      <c r="E70" s="614" t="s">
        <v>1338</v>
      </c>
      <c r="F70" s="617">
        <v>1</v>
      </c>
      <c r="G70" s="617">
        <v>0</v>
      </c>
      <c r="H70" s="630"/>
      <c r="I70" s="617"/>
      <c r="J70" s="617"/>
      <c r="K70" s="630"/>
      <c r="L70" s="617">
        <v>1</v>
      </c>
      <c r="M70" s="618">
        <v>0</v>
      </c>
    </row>
    <row r="71" spans="1:13" ht="14.4" customHeight="1" x14ac:dyDescent="0.3">
      <c r="A71" s="613" t="s">
        <v>1263</v>
      </c>
      <c r="B71" s="614" t="s">
        <v>1203</v>
      </c>
      <c r="C71" s="614" t="s">
        <v>1387</v>
      </c>
      <c r="D71" s="614" t="s">
        <v>931</v>
      </c>
      <c r="E71" s="614" t="s">
        <v>1388</v>
      </c>
      <c r="F71" s="617">
        <v>1</v>
      </c>
      <c r="G71" s="617">
        <v>0</v>
      </c>
      <c r="H71" s="630"/>
      <c r="I71" s="617"/>
      <c r="J71" s="617"/>
      <c r="K71" s="630"/>
      <c r="L71" s="617">
        <v>1</v>
      </c>
      <c r="M71" s="618">
        <v>0</v>
      </c>
    </row>
    <row r="72" spans="1:13" ht="14.4" customHeight="1" x14ac:dyDescent="0.3">
      <c r="A72" s="613" t="s">
        <v>1263</v>
      </c>
      <c r="B72" s="614" t="s">
        <v>1203</v>
      </c>
      <c r="C72" s="614" t="s">
        <v>1320</v>
      </c>
      <c r="D72" s="614" t="s">
        <v>931</v>
      </c>
      <c r="E72" s="614" t="s">
        <v>932</v>
      </c>
      <c r="F72" s="617">
        <v>2</v>
      </c>
      <c r="G72" s="617">
        <v>294.62</v>
      </c>
      <c r="H72" s="630">
        <v>1</v>
      </c>
      <c r="I72" s="617"/>
      <c r="J72" s="617"/>
      <c r="K72" s="630">
        <v>0</v>
      </c>
      <c r="L72" s="617">
        <v>2</v>
      </c>
      <c r="M72" s="618">
        <v>294.62</v>
      </c>
    </row>
    <row r="73" spans="1:13" ht="14.4" customHeight="1" x14ac:dyDescent="0.3">
      <c r="A73" s="613" t="s">
        <v>1263</v>
      </c>
      <c r="B73" s="614" t="s">
        <v>1218</v>
      </c>
      <c r="C73" s="614" t="s">
        <v>1307</v>
      </c>
      <c r="D73" s="614" t="s">
        <v>714</v>
      </c>
      <c r="E73" s="614" t="s">
        <v>1308</v>
      </c>
      <c r="F73" s="617"/>
      <c r="G73" s="617"/>
      <c r="H73" s="630">
        <v>0</v>
      </c>
      <c r="I73" s="617">
        <v>2</v>
      </c>
      <c r="J73" s="617">
        <v>48.44</v>
      </c>
      <c r="K73" s="630">
        <v>1</v>
      </c>
      <c r="L73" s="617">
        <v>2</v>
      </c>
      <c r="M73" s="618">
        <v>48.44</v>
      </c>
    </row>
    <row r="74" spans="1:13" ht="14.4" customHeight="1" x14ac:dyDescent="0.3">
      <c r="A74" s="613" t="s">
        <v>1263</v>
      </c>
      <c r="B74" s="614" t="s">
        <v>1218</v>
      </c>
      <c r="C74" s="614" t="s">
        <v>776</v>
      </c>
      <c r="D74" s="614" t="s">
        <v>714</v>
      </c>
      <c r="E74" s="614" t="s">
        <v>1219</v>
      </c>
      <c r="F74" s="617"/>
      <c r="G74" s="617"/>
      <c r="H74" s="630">
        <v>0</v>
      </c>
      <c r="I74" s="617">
        <v>4</v>
      </c>
      <c r="J74" s="617">
        <v>193.68</v>
      </c>
      <c r="K74" s="630">
        <v>1</v>
      </c>
      <c r="L74" s="617">
        <v>4</v>
      </c>
      <c r="M74" s="618">
        <v>193.68</v>
      </c>
    </row>
    <row r="75" spans="1:13" ht="14.4" customHeight="1" x14ac:dyDescent="0.3">
      <c r="A75" s="613" t="s">
        <v>1263</v>
      </c>
      <c r="B75" s="614" t="s">
        <v>1804</v>
      </c>
      <c r="C75" s="614" t="s">
        <v>1501</v>
      </c>
      <c r="D75" s="614" t="s">
        <v>1502</v>
      </c>
      <c r="E75" s="614" t="s">
        <v>1503</v>
      </c>
      <c r="F75" s="617"/>
      <c r="G75" s="617"/>
      <c r="H75" s="630">
        <v>0</v>
      </c>
      <c r="I75" s="617">
        <v>1</v>
      </c>
      <c r="J75" s="617">
        <v>919.42</v>
      </c>
      <c r="K75" s="630">
        <v>1</v>
      </c>
      <c r="L75" s="617">
        <v>1</v>
      </c>
      <c r="M75" s="618">
        <v>919.42</v>
      </c>
    </row>
    <row r="76" spans="1:13" ht="14.4" customHeight="1" x14ac:dyDescent="0.3">
      <c r="A76" s="613" t="s">
        <v>1264</v>
      </c>
      <c r="B76" s="614" t="s">
        <v>1194</v>
      </c>
      <c r="C76" s="614" t="s">
        <v>1332</v>
      </c>
      <c r="D76" s="614" t="s">
        <v>864</v>
      </c>
      <c r="E76" s="614" t="s">
        <v>566</v>
      </c>
      <c r="F76" s="617">
        <v>1</v>
      </c>
      <c r="G76" s="617">
        <v>0</v>
      </c>
      <c r="H76" s="630"/>
      <c r="I76" s="617"/>
      <c r="J76" s="617"/>
      <c r="K76" s="630"/>
      <c r="L76" s="617">
        <v>1</v>
      </c>
      <c r="M76" s="618">
        <v>0</v>
      </c>
    </row>
    <row r="77" spans="1:13" ht="14.4" customHeight="1" x14ac:dyDescent="0.3">
      <c r="A77" s="613" t="s">
        <v>1264</v>
      </c>
      <c r="B77" s="614" t="s">
        <v>1194</v>
      </c>
      <c r="C77" s="614" t="s">
        <v>956</v>
      </c>
      <c r="D77" s="614" t="s">
        <v>864</v>
      </c>
      <c r="E77" s="614" t="s">
        <v>1196</v>
      </c>
      <c r="F77" s="617"/>
      <c r="G77" s="617"/>
      <c r="H77" s="630">
        <v>0</v>
      </c>
      <c r="I77" s="617">
        <v>2</v>
      </c>
      <c r="J77" s="617">
        <v>304.39999999999998</v>
      </c>
      <c r="K77" s="630">
        <v>1</v>
      </c>
      <c r="L77" s="617">
        <v>2</v>
      </c>
      <c r="M77" s="618">
        <v>304.39999999999998</v>
      </c>
    </row>
    <row r="78" spans="1:13" ht="14.4" customHeight="1" x14ac:dyDescent="0.3">
      <c r="A78" s="613" t="s">
        <v>1264</v>
      </c>
      <c r="B78" s="614" t="s">
        <v>1194</v>
      </c>
      <c r="C78" s="614" t="s">
        <v>1067</v>
      </c>
      <c r="D78" s="614" t="s">
        <v>1234</v>
      </c>
      <c r="E78" s="614" t="s">
        <v>1195</v>
      </c>
      <c r="F78" s="617"/>
      <c r="G78" s="617"/>
      <c r="H78" s="630">
        <v>0</v>
      </c>
      <c r="I78" s="617">
        <v>7</v>
      </c>
      <c r="J78" s="617">
        <v>1046.6400000000001</v>
      </c>
      <c r="K78" s="630">
        <v>1</v>
      </c>
      <c r="L78" s="617">
        <v>7</v>
      </c>
      <c r="M78" s="618">
        <v>1046.6400000000001</v>
      </c>
    </row>
    <row r="79" spans="1:13" ht="14.4" customHeight="1" x14ac:dyDescent="0.3">
      <c r="A79" s="613" t="s">
        <v>1264</v>
      </c>
      <c r="B79" s="614" t="s">
        <v>1194</v>
      </c>
      <c r="C79" s="614" t="s">
        <v>1288</v>
      </c>
      <c r="D79" s="614" t="s">
        <v>864</v>
      </c>
      <c r="E79" s="614" t="s">
        <v>1196</v>
      </c>
      <c r="F79" s="617">
        <v>3</v>
      </c>
      <c r="G79" s="617">
        <v>458.76</v>
      </c>
      <c r="H79" s="630">
        <v>1</v>
      </c>
      <c r="I79" s="617"/>
      <c r="J79" s="617"/>
      <c r="K79" s="630">
        <v>0</v>
      </c>
      <c r="L79" s="617">
        <v>3</v>
      </c>
      <c r="M79" s="618">
        <v>458.76</v>
      </c>
    </row>
    <row r="80" spans="1:13" ht="14.4" customHeight="1" x14ac:dyDescent="0.3">
      <c r="A80" s="613" t="s">
        <v>1264</v>
      </c>
      <c r="B80" s="614" t="s">
        <v>1203</v>
      </c>
      <c r="C80" s="614" t="s">
        <v>1320</v>
      </c>
      <c r="D80" s="614" t="s">
        <v>931</v>
      </c>
      <c r="E80" s="614" t="s">
        <v>932</v>
      </c>
      <c r="F80" s="617">
        <v>3</v>
      </c>
      <c r="G80" s="617">
        <v>441.93</v>
      </c>
      <c r="H80" s="630">
        <v>1</v>
      </c>
      <c r="I80" s="617"/>
      <c r="J80" s="617"/>
      <c r="K80" s="630">
        <v>0</v>
      </c>
      <c r="L80" s="617">
        <v>3</v>
      </c>
      <c r="M80" s="618">
        <v>441.93</v>
      </c>
    </row>
    <row r="81" spans="1:13" ht="14.4" customHeight="1" x14ac:dyDescent="0.3">
      <c r="A81" s="613" t="s">
        <v>1265</v>
      </c>
      <c r="B81" s="614" t="s">
        <v>1194</v>
      </c>
      <c r="C81" s="614" t="s">
        <v>956</v>
      </c>
      <c r="D81" s="614" t="s">
        <v>864</v>
      </c>
      <c r="E81" s="614" t="s">
        <v>1196</v>
      </c>
      <c r="F81" s="617"/>
      <c r="G81" s="617"/>
      <c r="H81" s="630">
        <v>0</v>
      </c>
      <c r="I81" s="617">
        <v>5</v>
      </c>
      <c r="J81" s="617">
        <v>767.48</v>
      </c>
      <c r="K81" s="630">
        <v>1</v>
      </c>
      <c r="L81" s="617">
        <v>5</v>
      </c>
      <c r="M81" s="618">
        <v>767.48</v>
      </c>
    </row>
    <row r="82" spans="1:13" ht="14.4" customHeight="1" x14ac:dyDescent="0.3">
      <c r="A82" s="613" t="s">
        <v>1283</v>
      </c>
      <c r="B82" s="614" t="s">
        <v>1194</v>
      </c>
      <c r="C82" s="614" t="s">
        <v>956</v>
      </c>
      <c r="D82" s="614" t="s">
        <v>864</v>
      </c>
      <c r="E82" s="614" t="s">
        <v>1196</v>
      </c>
      <c r="F82" s="617"/>
      <c r="G82" s="617"/>
      <c r="H82" s="630">
        <v>0</v>
      </c>
      <c r="I82" s="617">
        <v>20</v>
      </c>
      <c r="J82" s="617">
        <v>3061.28</v>
      </c>
      <c r="K82" s="630">
        <v>1</v>
      </c>
      <c r="L82" s="617">
        <v>20</v>
      </c>
      <c r="M82" s="618">
        <v>3061.28</v>
      </c>
    </row>
    <row r="83" spans="1:13" ht="14.4" customHeight="1" x14ac:dyDescent="0.3">
      <c r="A83" s="613" t="s">
        <v>1283</v>
      </c>
      <c r="B83" s="614" t="s">
        <v>1203</v>
      </c>
      <c r="C83" s="614" t="s">
        <v>930</v>
      </c>
      <c r="D83" s="614" t="s">
        <v>931</v>
      </c>
      <c r="E83" s="614" t="s">
        <v>932</v>
      </c>
      <c r="F83" s="617"/>
      <c r="G83" s="617"/>
      <c r="H83" s="630">
        <v>0</v>
      </c>
      <c r="I83" s="617">
        <v>5</v>
      </c>
      <c r="J83" s="617">
        <v>736.55</v>
      </c>
      <c r="K83" s="630">
        <v>1</v>
      </c>
      <c r="L83" s="617">
        <v>5</v>
      </c>
      <c r="M83" s="618">
        <v>736.55</v>
      </c>
    </row>
    <row r="84" spans="1:13" ht="14.4" customHeight="1" x14ac:dyDescent="0.3">
      <c r="A84" s="613" t="s">
        <v>1283</v>
      </c>
      <c r="B84" s="614" t="s">
        <v>1218</v>
      </c>
      <c r="C84" s="614" t="s">
        <v>1307</v>
      </c>
      <c r="D84" s="614" t="s">
        <v>714</v>
      </c>
      <c r="E84" s="614" t="s">
        <v>1308</v>
      </c>
      <c r="F84" s="617"/>
      <c r="G84" s="617"/>
      <c r="H84" s="630">
        <v>0</v>
      </c>
      <c r="I84" s="617">
        <v>5</v>
      </c>
      <c r="J84" s="617">
        <v>121.1</v>
      </c>
      <c r="K84" s="630">
        <v>1</v>
      </c>
      <c r="L84" s="617">
        <v>5</v>
      </c>
      <c r="M84" s="618">
        <v>121.1</v>
      </c>
    </row>
    <row r="85" spans="1:13" ht="14.4" customHeight="1" x14ac:dyDescent="0.3">
      <c r="A85" s="613" t="s">
        <v>1266</v>
      </c>
      <c r="B85" s="614" t="s">
        <v>1805</v>
      </c>
      <c r="C85" s="614" t="s">
        <v>1512</v>
      </c>
      <c r="D85" s="614" t="s">
        <v>1513</v>
      </c>
      <c r="E85" s="614" t="s">
        <v>1225</v>
      </c>
      <c r="F85" s="617">
        <v>1</v>
      </c>
      <c r="G85" s="617">
        <v>51.31</v>
      </c>
      <c r="H85" s="630">
        <v>1</v>
      </c>
      <c r="I85" s="617"/>
      <c r="J85" s="617"/>
      <c r="K85" s="630">
        <v>0</v>
      </c>
      <c r="L85" s="617">
        <v>1</v>
      </c>
      <c r="M85" s="618">
        <v>51.31</v>
      </c>
    </row>
    <row r="86" spans="1:13" ht="14.4" customHeight="1" x14ac:dyDescent="0.3">
      <c r="A86" s="613" t="s">
        <v>1266</v>
      </c>
      <c r="B86" s="614" t="s">
        <v>1194</v>
      </c>
      <c r="C86" s="614" t="s">
        <v>956</v>
      </c>
      <c r="D86" s="614" t="s">
        <v>864</v>
      </c>
      <c r="E86" s="614" t="s">
        <v>1196</v>
      </c>
      <c r="F86" s="617"/>
      <c r="G86" s="617"/>
      <c r="H86" s="630">
        <v>0</v>
      </c>
      <c r="I86" s="617">
        <v>110</v>
      </c>
      <c r="J86" s="617">
        <v>16932.080000000005</v>
      </c>
      <c r="K86" s="630">
        <v>1</v>
      </c>
      <c r="L86" s="617">
        <v>110</v>
      </c>
      <c r="M86" s="618">
        <v>16932.080000000005</v>
      </c>
    </row>
    <row r="87" spans="1:13" ht="14.4" customHeight="1" x14ac:dyDescent="0.3">
      <c r="A87" s="613" t="s">
        <v>1266</v>
      </c>
      <c r="B87" s="614" t="s">
        <v>1194</v>
      </c>
      <c r="C87" s="614" t="s">
        <v>1067</v>
      </c>
      <c r="D87" s="614" t="s">
        <v>1234</v>
      </c>
      <c r="E87" s="614" t="s">
        <v>1195</v>
      </c>
      <c r="F87" s="617"/>
      <c r="G87" s="617"/>
      <c r="H87" s="630">
        <v>0</v>
      </c>
      <c r="I87" s="617">
        <v>1</v>
      </c>
      <c r="J87" s="617">
        <v>149.52000000000001</v>
      </c>
      <c r="K87" s="630">
        <v>1</v>
      </c>
      <c r="L87" s="617">
        <v>1</v>
      </c>
      <c r="M87" s="618">
        <v>149.52000000000001</v>
      </c>
    </row>
    <row r="88" spans="1:13" ht="14.4" customHeight="1" x14ac:dyDescent="0.3">
      <c r="A88" s="613" t="s">
        <v>1266</v>
      </c>
      <c r="B88" s="614" t="s">
        <v>1194</v>
      </c>
      <c r="C88" s="614" t="s">
        <v>1519</v>
      </c>
      <c r="D88" s="614" t="s">
        <v>1520</v>
      </c>
      <c r="E88" s="614" t="s">
        <v>1521</v>
      </c>
      <c r="F88" s="617"/>
      <c r="G88" s="617"/>
      <c r="H88" s="630">
        <v>0</v>
      </c>
      <c r="I88" s="617">
        <v>2</v>
      </c>
      <c r="J88" s="617">
        <v>151.46</v>
      </c>
      <c r="K88" s="630">
        <v>1</v>
      </c>
      <c r="L88" s="617">
        <v>2</v>
      </c>
      <c r="M88" s="618">
        <v>151.46</v>
      </c>
    </row>
    <row r="89" spans="1:13" ht="14.4" customHeight="1" x14ac:dyDescent="0.3">
      <c r="A89" s="613" t="s">
        <v>1266</v>
      </c>
      <c r="B89" s="614" t="s">
        <v>1194</v>
      </c>
      <c r="C89" s="614" t="s">
        <v>1288</v>
      </c>
      <c r="D89" s="614" t="s">
        <v>864</v>
      </c>
      <c r="E89" s="614" t="s">
        <v>1196</v>
      </c>
      <c r="F89" s="617">
        <v>10</v>
      </c>
      <c r="G89" s="617">
        <v>1534.96</v>
      </c>
      <c r="H89" s="630">
        <v>1</v>
      </c>
      <c r="I89" s="617"/>
      <c r="J89" s="617"/>
      <c r="K89" s="630">
        <v>0</v>
      </c>
      <c r="L89" s="617">
        <v>10</v>
      </c>
      <c r="M89" s="618">
        <v>1534.96</v>
      </c>
    </row>
    <row r="90" spans="1:13" ht="14.4" customHeight="1" x14ac:dyDescent="0.3">
      <c r="A90" s="613" t="s">
        <v>1266</v>
      </c>
      <c r="B90" s="614" t="s">
        <v>1798</v>
      </c>
      <c r="C90" s="614" t="s">
        <v>1506</v>
      </c>
      <c r="D90" s="614" t="s">
        <v>1507</v>
      </c>
      <c r="E90" s="614" t="s">
        <v>1508</v>
      </c>
      <c r="F90" s="617">
        <v>1</v>
      </c>
      <c r="G90" s="617">
        <v>119.69</v>
      </c>
      <c r="H90" s="630">
        <v>1</v>
      </c>
      <c r="I90" s="617"/>
      <c r="J90" s="617"/>
      <c r="K90" s="630">
        <v>0</v>
      </c>
      <c r="L90" s="617">
        <v>1</v>
      </c>
      <c r="M90" s="618">
        <v>119.69</v>
      </c>
    </row>
    <row r="91" spans="1:13" ht="14.4" customHeight="1" x14ac:dyDescent="0.3">
      <c r="A91" s="613" t="s">
        <v>1266</v>
      </c>
      <c r="B91" s="614" t="s">
        <v>1203</v>
      </c>
      <c r="C91" s="614" t="s">
        <v>930</v>
      </c>
      <c r="D91" s="614" t="s">
        <v>931</v>
      </c>
      <c r="E91" s="614" t="s">
        <v>932</v>
      </c>
      <c r="F91" s="617"/>
      <c r="G91" s="617"/>
      <c r="H91" s="630">
        <v>0</v>
      </c>
      <c r="I91" s="617">
        <v>2</v>
      </c>
      <c r="J91" s="617">
        <v>294.62</v>
      </c>
      <c r="K91" s="630">
        <v>1</v>
      </c>
      <c r="L91" s="617">
        <v>2</v>
      </c>
      <c r="M91" s="618">
        <v>294.62</v>
      </c>
    </row>
    <row r="92" spans="1:13" ht="14.4" customHeight="1" x14ac:dyDescent="0.3">
      <c r="A92" s="613" t="s">
        <v>1266</v>
      </c>
      <c r="B92" s="614" t="s">
        <v>1203</v>
      </c>
      <c r="C92" s="614" t="s">
        <v>1320</v>
      </c>
      <c r="D92" s="614" t="s">
        <v>931</v>
      </c>
      <c r="E92" s="614" t="s">
        <v>932</v>
      </c>
      <c r="F92" s="617">
        <v>1</v>
      </c>
      <c r="G92" s="617">
        <v>147.31</v>
      </c>
      <c r="H92" s="630">
        <v>1</v>
      </c>
      <c r="I92" s="617"/>
      <c r="J92" s="617"/>
      <c r="K92" s="630">
        <v>0</v>
      </c>
      <c r="L92" s="617">
        <v>1</v>
      </c>
      <c r="M92" s="618">
        <v>147.31</v>
      </c>
    </row>
    <row r="93" spans="1:13" ht="14.4" customHeight="1" x14ac:dyDescent="0.3">
      <c r="A93" s="613" t="s">
        <v>1266</v>
      </c>
      <c r="B93" s="614" t="s">
        <v>1218</v>
      </c>
      <c r="C93" s="614" t="s">
        <v>1307</v>
      </c>
      <c r="D93" s="614" t="s">
        <v>714</v>
      </c>
      <c r="E93" s="614" t="s">
        <v>1308</v>
      </c>
      <c r="F93" s="617"/>
      <c r="G93" s="617"/>
      <c r="H93" s="630">
        <v>0</v>
      </c>
      <c r="I93" s="617">
        <v>17</v>
      </c>
      <c r="J93" s="617">
        <v>411.73999999999995</v>
      </c>
      <c r="K93" s="630">
        <v>1</v>
      </c>
      <c r="L93" s="617">
        <v>17</v>
      </c>
      <c r="M93" s="618">
        <v>411.73999999999995</v>
      </c>
    </row>
    <row r="94" spans="1:13" ht="14.4" customHeight="1" x14ac:dyDescent="0.3">
      <c r="A94" s="613" t="s">
        <v>1266</v>
      </c>
      <c r="B94" s="614" t="s">
        <v>1218</v>
      </c>
      <c r="C94" s="614" t="s">
        <v>776</v>
      </c>
      <c r="D94" s="614" t="s">
        <v>714</v>
      </c>
      <c r="E94" s="614" t="s">
        <v>1219</v>
      </c>
      <c r="F94" s="617"/>
      <c r="G94" s="617"/>
      <c r="H94" s="630">
        <v>0</v>
      </c>
      <c r="I94" s="617">
        <v>1</v>
      </c>
      <c r="J94" s="617">
        <v>48.42</v>
      </c>
      <c r="K94" s="630">
        <v>1</v>
      </c>
      <c r="L94" s="617">
        <v>1</v>
      </c>
      <c r="M94" s="618">
        <v>48.42</v>
      </c>
    </row>
    <row r="95" spans="1:13" ht="14.4" customHeight="1" x14ac:dyDescent="0.3">
      <c r="A95" s="613" t="s">
        <v>1266</v>
      </c>
      <c r="B95" s="614" t="s">
        <v>1803</v>
      </c>
      <c r="C95" s="614" t="s">
        <v>1400</v>
      </c>
      <c r="D95" s="614" t="s">
        <v>1401</v>
      </c>
      <c r="E95" s="614" t="s">
        <v>1402</v>
      </c>
      <c r="F95" s="617"/>
      <c r="G95" s="617"/>
      <c r="H95" s="630">
        <v>0</v>
      </c>
      <c r="I95" s="617">
        <v>1</v>
      </c>
      <c r="J95" s="617">
        <v>340.97</v>
      </c>
      <c r="K95" s="630">
        <v>1</v>
      </c>
      <c r="L95" s="617">
        <v>1</v>
      </c>
      <c r="M95" s="618">
        <v>340.97</v>
      </c>
    </row>
    <row r="96" spans="1:13" ht="14.4" customHeight="1" x14ac:dyDescent="0.3">
      <c r="A96" s="613" t="s">
        <v>1266</v>
      </c>
      <c r="B96" s="614" t="s">
        <v>1803</v>
      </c>
      <c r="C96" s="614" t="s">
        <v>1509</v>
      </c>
      <c r="D96" s="614" t="s">
        <v>1401</v>
      </c>
      <c r="E96" s="614" t="s">
        <v>1510</v>
      </c>
      <c r="F96" s="617"/>
      <c r="G96" s="617"/>
      <c r="H96" s="630">
        <v>0</v>
      </c>
      <c r="I96" s="617">
        <v>1</v>
      </c>
      <c r="J96" s="617">
        <v>113.66</v>
      </c>
      <c r="K96" s="630">
        <v>1</v>
      </c>
      <c r="L96" s="617">
        <v>1</v>
      </c>
      <c r="M96" s="618">
        <v>113.66</v>
      </c>
    </row>
    <row r="97" spans="1:13" ht="14.4" customHeight="1" x14ac:dyDescent="0.3">
      <c r="A97" s="613" t="s">
        <v>1279</v>
      </c>
      <c r="B97" s="614" t="s">
        <v>1194</v>
      </c>
      <c r="C97" s="614" t="s">
        <v>956</v>
      </c>
      <c r="D97" s="614" t="s">
        <v>864</v>
      </c>
      <c r="E97" s="614" t="s">
        <v>1196</v>
      </c>
      <c r="F97" s="617"/>
      <c r="G97" s="617"/>
      <c r="H97" s="630">
        <v>0</v>
      </c>
      <c r="I97" s="617">
        <v>7</v>
      </c>
      <c r="J97" s="617">
        <v>1067.56</v>
      </c>
      <c r="K97" s="630">
        <v>1</v>
      </c>
      <c r="L97" s="617">
        <v>7</v>
      </c>
      <c r="M97" s="618">
        <v>1067.56</v>
      </c>
    </row>
    <row r="98" spans="1:13" ht="14.4" customHeight="1" x14ac:dyDescent="0.3">
      <c r="A98" s="613" t="s">
        <v>1279</v>
      </c>
      <c r="B98" s="614" t="s">
        <v>1194</v>
      </c>
      <c r="C98" s="614" t="s">
        <v>1067</v>
      </c>
      <c r="D98" s="614" t="s">
        <v>1234</v>
      </c>
      <c r="E98" s="614" t="s">
        <v>1195</v>
      </c>
      <c r="F98" s="617"/>
      <c r="G98" s="617"/>
      <c r="H98" s="630">
        <v>0</v>
      </c>
      <c r="I98" s="617">
        <v>2</v>
      </c>
      <c r="J98" s="617">
        <v>299.04000000000002</v>
      </c>
      <c r="K98" s="630">
        <v>1</v>
      </c>
      <c r="L98" s="617">
        <v>2</v>
      </c>
      <c r="M98" s="618">
        <v>299.04000000000002</v>
      </c>
    </row>
    <row r="99" spans="1:13" ht="14.4" customHeight="1" x14ac:dyDescent="0.3">
      <c r="A99" s="613" t="s">
        <v>1267</v>
      </c>
      <c r="B99" s="614" t="s">
        <v>1194</v>
      </c>
      <c r="C99" s="614" t="s">
        <v>956</v>
      </c>
      <c r="D99" s="614" t="s">
        <v>864</v>
      </c>
      <c r="E99" s="614" t="s">
        <v>1196</v>
      </c>
      <c r="F99" s="617"/>
      <c r="G99" s="617"/>
      <c r="H99" s="630">
        <v>0</v>
      </c>
      <c r="I99" s="617">
        <v>85</v>
      </c>
      <c r="J99" s="617">
        <v>13060.12</v>
      </c>
      <c r="K99" s="630">
        <v>1</v>
      </c>
      <c r="L99" s="617">
        <v>85</v>
      </c>
      <c r="M99" s="618">
        <v>13060.12</v>
      </c>
    </row>
    <row r="100" spans="1:13" ht="14.4" customHeight="1" x14ac:dyDescent="0.3">
      <c r="A100" s="613" t="s">
        <v>1267</v>
      </c>
      <c r="B100" s="614" t="s">
        <v>1194</v>
      </c>
      <c r="C100" s="614" t="s">
        <v>1478</v>
      </c>
      <c r="D100" s="614" t="s">
        <v>1479</v>
      </c>
      <c r="E100" s="614" t="s">
        <v>1195</v>
      </c>
      <c r="F100" s="617">
        <v>1</v>
      </c>
      <c r="G100" s="617">
        <v>107.86</v>
      </c>
      <c r="H100" s="630">
        <v>1</v>
      </c>
      <c r="I100" s="617"/>
      <c r="J100" s="617"/>
      <c r="K100" s="630">
        <v>0</v>
      </c>
      <c r="L100" s="617">
        <v>1</v>
      </c>
      <c r="M100" s="618">
        <v>107.86</v>
      </c>
    </row>
    <row r="101" spans="1:13" ht="14.4" customHeight="1" x14ac:dyDescent="0.3">
      <c r="A101" s="613" t="s">
        <v>1267</v>
      </c>
      <c r="B101" s="614" t="s">
        <v>1194</v>
      </c>
      <c r="C101" s="614" t="s">
        <v>1067</v>
      </c>
      <c r="D101" s="614" t="s">
        <v>1234</v>
      </c>
      <c r="E101" s="614" t="s">
        <v>1195</v>
      </c>
      <c r="F101" s="617"/>
      <c r="G101" s="617"/>
      <c r="H101" s="630">
        <v>0</v>
      </c>
      <c r="I101" s="617">
        <v>3</v>
      </c>
      <c r="J101" s="617">
        <v>444.06000000000006</v>
      </c>
      <c r="K101" s="630">
        <v>1</v>
      </c>
      <c r="L101" s="617">
        <v>3</v>
      </c>
      <c r="M101" s="618">
        <v>444.06000000000006</v>
      </c>
    </row>
    <row r="102" spans="1:13" ht="14.4" customHeight="1" x14ac:dyDescent="0.3">
      <c r="A102" s="613" t="s">
        <v>1267</v>
      </c>
      <c r="B102" s="614" t="s">
        <v>1194</v>
      </c>
      <c r="C102" s="614" t="s">
        <v>1519</v>
      </c>
      <c r="D102" s="614" t="s">
        <v>1520</v>
      </c>
      <c r="E102" s="614" t="s">
        <v>1521</v>
      </c>
      <c r="F102" s="617"/>
      <c r="G102" s="617"/>
      <c r="H102" s="630">
        <v>0</v>
      </c>
      <c r="I102" s="617">
        <v>1</v>
      </c>
      <c r="J102" s="617">
        <v>95.36</v>
      </c>
      <c r="K102" s="630">
        <v>1</v>
      </c>
      <c r="L102" s="617">
        <v>1</v>
      </c>
      <c r="M102" s="618">
        <v>95.36</v>
      </c>
    </row>
    <row r="103" spans="1:13" ht="14.4" customHeight="1" x14ac:dyDescent="0.3">
      <c r="A103" s="613" t="s">
        <v>1267</v>
      </c>
      <c r="B103" s="614" t="s">
        <v>1203</v>
      </c>
      <c r="C103" s="614" t="s">
        <v>930</v>
      </c>
      <c r="D103" s="614" t="s">
        <v>931</v>
      </c>
      <c r="E103" s="614" t="s">
        <v>932</v>
      </c>
      <c r="F103" s="617"/>
      <c r="G103" s="617"/>
      <c r="H103" s="630">
        <v>0</v>
      </c>
      <c r="I103" s="617">
        <v>2</v>
      </c>
      <c r="J103" s="617">
        <v>294.62</v>
      </c>
      <c r="K103" s="630">
        <v>1</v>
      </c>
      <c r="L103" s="617">
        <v>2</v>
      </c>
      <c r="M103" s="618">
        <v>294.62</v>
      </c>
    </row>
    <row r="104" spans="1:13" ht="14.4" customHeight="1" x14ac:dyDescent="0.3">
      <c r="A104" s="613" t="s">
        <v>1267</v>
      </c>
      <c r="B104" s="614" t="s">
        <v>1218</v>
      </c>
      <c r="C104" s="614" t="s">
        <v>1307</v>
      </c>
      <c r="D104" s="614" t="s">
        <v>714</v>
      </c>
      <c r="E104" s="614" t="s">
        <v>1308</v>
      </c>
      <c r="F104" s="617"/>
      <c r="G104" s="617"/>
      <c r="H104" s="630">
        <v>0</v>
      </c>
      <c r="I104" s="617">
        <v>3</v>
      </c>
      <c r="J104" s="617">
        <v>72.66</v>
      </c>
      <c r="K104" s="630">
        <v>1</v>
      </c>
      <c r="L104" s="617">
        <v>3</v>
      </c>
      <c r="M104" s="618">
        <v>72.66</v>
      </c>
    </row>
    <row r="105" spans="1:13" ht="14.4" customHeight="1" x14ac:dyDescent="0.3">
      <c r="A105" s="613" t="s">
        <v>1267</v>
      </c>
      <c r="B105" s="614" t="s">
        <v>1218</v>
      </c>
      <c r="C105" s="614" t="s">
        <v>776</v>
      </c>
      <c r="D105" s="614" t="s">
        <v>714</v>
      </c>
      <c r="E105" s="614" t="s">
        <v>1219</v>
      </c>
      <c r="F105" s="617"/>
      <c r="G105" s="617"/>
      <c r="H105" s="630">
        <v>0</v>
      </c>
      <c r="I105" s="617">
        <v>4</v>
      </c>
      <c r="J105" s="617">
        <v>193.68</v>
      </c>
      <c r="K105" s="630">
        <v>1</v>
      </c>
      <c r="L105" s="617">
        <v>4</v>
      </c>
      <c r="M105" s="618">
        <v>193.68</v>
      </c>
    </row>
    <row r="106" spans="1:13" ht="14.4" customHeight="1" x14ac:dyDescent="0.3">
      <c r="A106" s="613" t="s">
        <v>1267</v>
      </c>
      <c r="B106" s="614" t="s">
        <v>1216</v>
      </c>
      <c r="C106" s="614" t="s">
        <v>1303</v>
      </c>
      <c r="D106" s="614" t="s">
        <v>990</v>
      </c>
      <c r="E106" s="614" t="s">
        <v>1304</v>
      </c>
      <c r="F106" s="617"/>
      <c r="G106" s="617"/>
      <c r="H106" s="630">
        <v>0</v>
      </c>
      <c r="I106" s="617">
        <v>1</v>
      </c>
      <c r="J106" s="617">
        <v>13849.26</v>
      </c>
      <c r="K106" s="630">
        <v>1</v>
      </c>
      <c r="L106" s="617">
        <v>1</v>
      </c>
      <c r="M106" s="618">
        <v>13849.26</v>
      </c>
    </row>
    <row r="107" spans="1:13" ht="14.4" customHeight="1" x14ac:dyDescent="0.3">
      <c r="A107" s="613" t="s">
        <v>1268</v>
      </c>
      <c r="B107" s="614" t="s">
        <v>1194</v>
      </c>
      <c r="C107" s="614" t="s">
        <v>956</v>
      </c>
      <c r="D107" s="614" t="s">
        <v>864</v>
      </c>
      <c r="E107" s="614" t="s">
        <v>1196</v>
      </c>
      <c r="F107" s="617"/>
      <c r="G107" s="617"/>
      <c r="H107" s="630">
        <v>0</v>
      </c>
      <c r="I107" s="617">
        <v>3</v>
      </c>
      <c r="J107" s="617">
        <v>458.76</v>
      </c>
      <c r="K107" s="630">
        <v>1</v>
      </c>
      <c r="L107" s="617">
        <v>3</v>
      </c>
      <c r="M107" s="618">
        <v>458.76</v>
      </c>
    </row>
    <row r="108" spans="1:13" ht="14.4" customHeight="1" x14ac:dyDescent="0.3">
      <c r="A108" s="613" t="s">
        <v>1268</v>
      </c>
      <c r="B108" s="614" t="s">
        <v>1194</v>
      </c>
      <c r="C108" s="614" t="s">
        <v>1478</v>
      </c>
      <c r="D108" s="614" t="s">
        <v>1479</v>
      </c>
      <c r="E108" s="614" t="s">
        <v>1195</v>
      </c>
      <c r="F108" s="617">
        <v>1</v>
      </c>
      <c r="G108" s="617">
        <v>111.22</v>
      </c>
      <c r="H108" s="630">
        <v>1</v>
      </c>
      <c r="I108" s="617"/>
      <c r="J108" s="617"/>
      <c r="K108" s="630">
        <v>0</v>
      </c>
      <c r="L108" s="617">
        <v>1</v>
      </c>
      <c r="M108" s="618">
        <v>111.22</v>
      </c>
    </row>
    <row r="109" spans="1:13" ht="14.4" customHeight="1" x14ac:dyDescent="0.3">
      <c r="A109" s="613" t="s">
        <v>1268</v>
      </c>
      <c r="B109" s="614" t="s">
        <v>1806</v>
      </c>
      <c r="C109" s="614" t="s">
        <v>1771</v>
      </c>
      <c r="D109" s="614" t="s">
        <v>1772</v>
      </c>
      <c r="E109" s="614" t="s">
        <v>1773</v>
      </c>
      <c r="F109" s="617">
        <v>1</v>
      </c>
      <c r="G109" s="617">
        <v>62.65</v>
      </c>
      <c r="H109" s="630">
        <v>1</v>
      </c>
      <c r="I109" s="617"/>
      <c r="J109" s="617"/>
      <c r="K109" s="630">
        <v>0</v>
      </c>
      <c r="L109" s="617">
        <v>1</v>
      </c>
      <c r="M109" s="618">
        <v>62.65</v>
      </c>
    </row>
    <row r="110" spans="1:13" ht="14.4" customHeight="1" x14ac:dyDescent="0.3">
      <c r="A110" s="613" t="s">
        <v>1269</v>
      </c>
      <c r="B110" s="614" t="s">
        <v>1180</v>
      </c>
      <c r="C110" s="614" t="s">
        <v>805</v>
      </c>
      <c r="D110" s="614" t="s">
        <v>806</v>
      </c>
      <c r="E110" s="614" t="s">
        <v>563</v>
      </c>
      <c r="F110" s="617"/>
      <c r="G110" s="617"/>
      <c r="H110" s="630">
        <v>0</v>
      </c>
      <c r="I110" s="617">
        <v>1</v>
      </c>
      <c r="J110" s="617">
        <v>48.27</v>
      </c>
      <c r="K110" s="630">
        <v>1</v>
      </c>
      <c r="L110" s="617">
        <v>1</v>
      </c>
      <c r="M110" s="618">
        <v>48.27</v>
      </c>
    </row>
    <row r="111" spans="1:13" ht="14.4" customHeight="1" x14ac:dyDescent="0.3">
      <c r="A111" s="613" t="s">
        <v>1269</v>
      </c>
      <c r="B111" s="614" t="s">
        <v>1194</v>
      </c>
      <c r="C111" s="614" t="s">
        <v>956</v>
      </c>
      <c r="D111" s="614" t="s">
        <v>864</v>
      </c>
      <c r="E111" s="614" t="s">
        <v>1196</v>
      </c>
      <c r="F111" s="617"/>
      <c r="G111" s="617"/>
      <c r="H111" s="630">
        <v>0</v>
      </c>
      <c r="I111" s="617">
        <v>27</v>
      </c>
      <c r="J111" s="617">
        <v>4133.16</v>
      </c>
      <c r="K111" s="630">
        <v>1</v>
      </c>
      <c r="L111" s="617">
        <v>27</v>
      </c>
      <c r="M111" s="618">
        <v>4133.16</v>
      </c>
    </row>
    <row r="112" spans="1:13" ht="14.4" customHeight="1" x14ac:dyDescent="0.3">
      <c r="A112" s="613" t="s">
        <v>1269</v>
      </c>
      <c r="B112" s="614" t="s">
        <v>1194</v>
      </c>
      <c r="C112" s="614" t="s">
        <v>1536</v>
      </c>
      <c r="D112" s="614" t="s">
        <v>1537</v>
      </c>
      <c r="E112" s="614" t="s">
        <v>1538</v>
      </c>
      <c r="F112" s="617"/>
      <c r="G112" s="617"/>
      <c r="H112" s="630">
        <v>0</v>
      </c>
      <c r="I112" s="617">
        <v>1</v>
      </c>
      <c r="J112" s="617">
        <v>66.08</v>
      </c>
      <c r="K112" s="630">
        <v>1</v>
      </c>
      <c r="L112" s="617">
        <v>1</v>
      </c>
      <c r="M112" s="618">
        <v>66.08</v>
      </c>
    </row>
    <row r="113" spans="1:13" ht="14.4" customHeight="1" x14ac:dyDescent="0.3">
      <c r="A113" s="613" t="s">
        <v>1269</v>
      </c>
      <c r="B113" s="614" t="s">
        <v>1200</v>
      </c>
      <c r="C113" s="614" t="s">
        <v>919</v>
      </c>
      <c r="D113" s="614" t="s">
        <v>920</v>
      </c>
      <c r="E113" s="614" t="s">
        <v>1209</v>
      </c>
      <c r="F113" s="617"/>
      <c r="G113" s="617"/>
      <c r="H113" s="630">
        <v>0</v>
      </c>
      <c r="I113" s="617">
        <v>1</v>
      </c>
      <c r="J113" s="617">
        <v>170.52</v>
      </c>
      <c r="K113" s="630">
        <v>1</v>
      </c>
      <c r="L113" s="617">
        <v>1</v>
      </c>
      <c r="M113" s="618">
        <v>170.52</v>
      </c>
    </row>
    <row r="114" spans="1:13" ht="14.4" customHeight="1" x14ac:dyDescent="0.3">
      <c r="A114" s="613" t="s">
        <v>1269</v>
      </c>
      <c r="B114" s="614" t="s">
        <v>1203</v>
      </c>
      <c r="C114" s="614" t="s">
        <v>930</v>
      </c>
      <c r="D114" s="614" t="s">
        <v>931</v>
      </c>
      <c r="E114" s="614" t="s">
        <v>932</v>
      </c>
      <c r="F114" s="617"/>
      <c r="G114" s="617"/>
      <c r="H114" s="630">
        <v>0</v>
      </c>
      <c r="I114" s="617">
        <v>4</v>
      </c>
      <c r="J114" s="617">
        <v>589.24</v>
      </c>
      <c r="K114" s="630">
        <v>1</v>
      </c>
      <c r="L114" s="617">
        <v>4</v>
      </c>
      <c r="M114" s="618">
        <v>589.24</v>
      </c>
    </row>
    <row r="115" spans="1:13" ht="14.4" customHeight="1" x14ac:dyDescent="0.3">
      <c r="A115" s="613" t="s">
        <v>1269</v>
      </c>
      <c r="B115" s="614" t="s">
        <v>1208</v>
      </c>
      <c r="C115" s="614" t="s">
        <v>1539</v>
      </c>
      <c r="D115" s="614" t="s">
        <v>1540</v>
      </c>
      <c r="E115" s="614" t="s">
        <v>1209</v>
      </c>
      <c r="F115" s="617">
        <v>1</v>
      </c>
      <c r="G115" s="617">
        <v>78.33</v>
      </c>
      <c r="H115" s="630">
        <v>1</v>
      </c>
      <c r="I115" s="617"/>
      <c r="J115" s="617"/>
      <c r="K115" s="630">
        <v>0</v>
      </c>
      <c r="L115" s="617">
        <v>1</v>
      </c>
      <c r="M115" s="618">
        <v>78.33</v>
      </c>
    </row>
    <row r="116" spans="1:13" ht="14.4" customHeight="1" x14ac:dyDescent="0.3">
      <c r="A116" s="613" t="s">
        <v>1269</v>
      </c>
      <c r="B116" s="614" t="s">
        <v>1218</v>
      </c>
      <c r="C116" s="614" t="s">
        <v>1307</v>
      </c>
      <c r="D116" s="614" t="s">
        <v>714</v>
      </c>
      <c r="E116" s="614" t="s">
        <v>1308</v>
      </c>
      <c r="F116" s="617"/>
      <c r="G116" s="617"/>
      <c r="H116" s="630">
        <v>0</v>
      </c>
      <c r="I116" s="617">
        <v>4</v>
      </c>
      <c r="J116" s="617">
        <v>96.88</v>
      </c>
      <c r="K116" s="630">
        <v>1</v>
      </c>
      <c r="L116" s="617">
        <v>4</v>
      </c>
      <c r="M116" s="618">
        <v>96.88</v>
      </c>
    </row>
    <row r="117" spans="1:13" ht="14.4" customHeight="1" x14ac:dyDescent="0.3">
      <c r="A117" s="613" t="s">
        <v>1270</v>
      </c>
      <c r="B117" s="614" t="s">
        <v>1172</v>
      </c>
      <c r="C117" s="614" t="s">
        <v>781</v>
      </c>
      <c r="D117" s="614" t="s">
        <v>354</v>
      </c>
      <c r="E117" s="614" t="s">
        <v>782</v>
      </c>
      <c r="F117" s="617"/>
      <c r="G117" s="617"/>
      <c r="H117" s="630">
        <v>0</v>
      </c>
      <c r="I117" s="617">
        <v>2</v>
      </c>
      <c r="J117" s="617">
        <v>1847.48</v>
      </c>
      <c r="K117" s="630">
        <v>1</v>
      </c>
      <c r="L117" s="617">
        <v>2</v>
      </c>
      <c r="M117" s="618">
        <v>1847.48</v>
      </c>
    </row>
    <row r="118" spans="1:13" ht="14.4" customHeight="1" x14ac:dyDescent="0.3">
      <c r="A118" s="613" t="s">
        <v>1270</v>
      </c>
      <c r="B118" s="614" t="s">
        <v>1194</v>
      </c>
      <c r="C118" s="614" t="s">
        <v>956</v>
      </c>
      <c r="D118" s="614" t="s">
        <v>864</v>
      </c>
      <c r="E118" s="614" t="s">
        <v>1196</v>
      </c>
      <c r="F118" s="617"/>
      <c r="G118" s="617"/>
      <c r="H118" s="630">
        <v>0</v>
      </c>
      <c r="I118" s="617">
        <v>41</v>
      </c>
      <c r="J118" s="617">
        <v>6315.8000000000011</v>
      </c>
      <c r="K118" s="630">
        <v>1</v>
      </c>
      <c r="L118" s="617">
        <v>41</v>
      </c>
      <c r="M118" s="618">
        <v>6315.8000000000011</v>
      </c>
    </row>
    <row r="119" spans="1:13" ht="14.4" customHeight="1" x14ac:dyDescent="0.3">
      <c r="A119" s="613" t="s">
        <v>1270</v>
      </c>
      <c r="B119" s="614" t="s">
        <v>1194</v>
      </c>
      <c r="C119" s="614" t="s">
        <v>1288</v>
      </c>
      <c r="D119" s="614" t="s">
        <v>864</v>
      </c>
      <c r="E119" s="614" t="s">
        <v>1196</v>
      </c>
      <c r="F119" s="617">
        <v>1</v>
      </c>
      <c r="G119" s="617">
        <v>154.36000000000001</v>
      </c>
      <c r="H119" s="630">
        <v>1</v>
      </c>
      <c r="I119" s="617"/>
      <c r="J119" s="617"/>
      <c r="K119" s="630">
        <v>0</v>
      </c>
      <c r="L119" s="617">
        <v>1</v>
      </c>
      <c r="M119" s="618">
        <v>154.36000000000001</v>
      </c>
    </row>
    <row r="120" spans="1:13" ht="14.4" customHeight="1" x14ac:dyDescent="0.3">
      <c r="A120" s="613" t="s">
        <v>1270</v>
      </c>
      <c r="B120" s="614" t="s">
        <v>1203</v>
      </c>
      <c r="C120" s="614" t="s">
        <v>930</v>
      </c>
      <c r="D120" s="614" t="s">
        <v>931</v>
      </c>
      <c r="E120" s="614" t="s">
        <v>932</v>
      </c>
      <c r="F120" s="617"/>
      <c r="G120" s="617"/>
      <c r="H120" s="630">
        <v>0</v>
      </c>
      <c r="I120" s="617">
        <v>3</v>
      </c>
      <c r="J120" s="617">
        <v>441.93</v>
      </c>
      <c r="K120" s="630">
        <v>1</v>
      </c>
      <c r="L120" s="617">
        <v>3</v>
      </c>
      <c r="M120" s="618">
        <v>441.93</v>
      </c>
    </row>
    <row r="121" spans="1:13" ht="14.4" customHeight="1" x14ac:dyDescent="0.3">
      <c r="A121" s="613" t="s">
        <v>1270</v>
      </c>
      <c r="B121" s="614" t="s">
        <v>1208</v>
      </c>
      <c r="C121" s="614" t="s">
        <v>1539</v>
      </c>
      <c r="D121" s="614" t="s">
        <v>1540</v>
      </c>
      <c r="E121" s="614" t="s">
        <v>1209</v>
      </c>
      <c r="F121" s="617">
        <v>1</v>
      </c>
      <c r="G121" s="617">
        <v>78.33</v>
      </c>
      <c r="H121" s="630">
        <v>1</v>
      </c>
      <c r="I121" s="617"/>
      <c r="J121" s="617"/>
      <c r="K121" s="630">
        <v>0</v>
      </c>
      <c r="L121" s="617">
        <v>1</v>
      </c>
      <c r="M121" s="618">
        <v>78.33</v>
      </c>
    </row>
    <row r="122" spans="1:13" ht="14.4" customHeight="1" x14ac:dyDescent="0.3">
      <c r="A122" s="613" t="s">
        <v>1270</v>
      </c>
      <c r="B122" s="614" t="s">
        <v>1807</v>
      </c>
      <c r="C122" s="614" t="s">
        <v>1557</v>
      </c>
      <c r="D122" s="614" t="s">
        <v>1558</v>
      </c>
      <c r="E122" s="614" t="s">
        <v>1559</v>
      </c>
      <c r="F122" s="617"/>
      <c r="G122" s="617"/>
      <c r="H122" s="630">
        <v>0</v>
      </c>
      <c r="I122" s="617">
        <v>9</v>
      </c>
      <c r="J122" s="617">
        <v>871.56000000000017</v>
      </c>
      <c r="K122" s="630">
        <v>1</v>
      </c>
      <c r="L122" s="617">
        <v>9</v>
      </c>
      <c r="M122" s="618">
        <v>871.56000000000017</v>
      </c>
    </row>
    <row r="123" spans="1:13" ht="14.4" customHeight="1" x14ac:dyDescent="0.3">
      <c r="A123" s="613" t="s">
        <v>1270</v>
      </c>
      <c r="B123" s="614" t="s">
        <v>1807</v>
      </c>
      <c r="C123" s="614" t="s">
        <v>1560</v>
      </c>
      <c r="D123" s="614" t="s">
        <v>1561</v>
      </c>
      <c r="E123" s="614" t="s">
        <v>1562</v>
      </c>
      <c r="F123" s="617">
        <v>5</v>
      </c>
      <c r="G123" s="617">
        <v>484.2</v>
      </c>
      <c r="H123" s="630">
        <v>1</v>
      </c>
      <c r="I123" s="617"/>
      <c r="J123" s="617"/>
      <c r="K123" s="630">
        <v>0</v>
      </c>
      <c r="L123" s="617">
        <v>5</v>
      </c>
      <c r="M123" s="618">
        <v>484.2</v>
      </c>
    </row>
    <row r="124" spans="1:13" ht="14.4" customHeight="1" x14ac:dyDescent="0.3">
      <c r="A124" s="613" t="s">
        <v>1270</v>
      </c>
      <c r="B124" s="614" t="s">
        <v>1218</v>
      </c>
      <c r="C124" s="614" t="s">
        <v>776</v>
      </c>
      <c r="D124" s="614" t="s">
        <v>714</v>
      </c>
      <c r="E124" s="614" t="s">
        <v>1219</v>
      </c>
      <c r="F124" s="617"/>
      <c r="G124" s="617"/>
      <c r="H124" s="630">
        <v>0</v>
      </c>
      <c r="I124" s="617">
        <v>1</v>
      </c>
      <c r="J124" s="617">
        <v>48.42</v>
      </c>
      <c r="K124" s="630">
        <v>1</v>
      </c>
      <c r="L124" s="617">
        <v>1</v>
      </c>
      <c r="M124" s="618">
        <v>48.42</v>
      </c>
    </row>
    <row r="125" spans="1:13" ht="14.4" customHeight="1" x14ac:dyDescent="0.3">
      <c r="A125" s="613" t="s">
        <v>1282</v>
      </c>
      <c r="B125" s="614" t="s">
        <v>1194</v>
      </c>
      <c r="C125" s="614" t="s">
        <v>956</v>
      </c>
      <c r="D125" s="614" t="s">
        <v>864</v>
      </c>
      <c r="E125" s="614" t="s">
        <v>1196</v>
      </c>
      <c r="F125" s="617"/>
      <c r="G125" s="617"/>
      <c r="H125" s="630">
        <v>0</v>
      </c>
      <c r="I125" s="617">
        <v>6</v>
      </c>
      <c r="J125" s="617">
        <v>913.2</v>
      </c>
      <c r="K125" s="630">
        <v>1</v>
      </c>
      <c r="L125" s="617">
        <v>6</v>
      </c>
      <c r="M125" s="618">
        <v>913.2</v>
      </c>
    </row>
    <row r="126" spans="1:13" ht="14.4" customHeight="1" x14ac:dyDescent="0.3">
      <c r="A126" s="613" t="s">
        <v>1282</v>
      </c>
      <c r="B126" s="614" t="s">
        <v>1194</v>
      </c>
      <c r="C126" s="614" t="s">
        <v>863</v>
      </c>
      <c r="D126" s="614" t="s">
        <v>864</v>
      </c>
      <c r="E126" s="614" t="s">
        <v>1195</v>
      </c>
      <c r="F126" s="617">
        <v>1</v>
      </c>
      <c r="G126" s="617">
        <v>225.06</v>
      </c>
      <c r="H126" s="630">
        <v>1</v>
      </c>
      <c r="I126" s="617"/>
      <c r="J126" s="617"/>
      <c r="K126" s="630">
        <v>0</v>
      </c>
      <c r="L126" s="617">
        <v>1</v>
      </c>
      <c r="M126" s="618">
        <v>225.06</v>
      </c>
    </row>
    <row r="127" spans="1:13" ht="14.4" customHeight="1" x14ac:dyDescent="0.3">
      <c r="A127" s="613" t="s">
        <v>1282</v>
      </c>
      <c r="B127" s="614" t="s">
        <v>1203</v>
      </c>
      <c r="C127" s="614" t="s">
        <v>930</v>
      </c>
      <c r="D127" s="614" t="s">
        <v>931</v>
      </c>
      <c r="E127" s="614" t="s">
        <v>932</v>
      </c>
      <c r="F127" s="617"/>
      <c r="G127" s="617"/>
      <c r="H127" s="630">
        <v>0</v>
      </c>
      <c r="I127" s="617">
        <v>1</v>
      </c>
      <c r="J127" s="617">
        <v>147.31</v>
      </c>
      <c r="K127" s="630">
        <v>1</v>
      </c>
      <c r="L127" s="617">
        <v>1</v>
      </c>
      <c r="M127" s="618">
        <v>147.31</v>
      </c>
    </row>
    <row r="128" spans="1:13" ht="14.4" customHeight="1" x14ac:dyDescent="0.3">
      <c r="A128" s="613" t="s">
        <v>1272</v>
      </c>
      <c r="B128" s="614" t="s">
        <v>1194</v>
      </c>
      <c r="C128" s="614" t="s">
        <v>956</v>
      </c>
      <c r="D128" s="614" t="s">
        <v>864</v>
      </c>
      <c r="E128" s="614" t="s">
        <v>1196</v>
      </c>
      <c r="F128" s="617"/>
      <c r="G128" s="617"/>
      <c r="H128" s="630">
        <v>0</v>
      </c>
      <c r="I128" s="617">
        <v>50</v>
      </c>
      <c r="J128" s="617">
        <v>7700.7200000000012</v>
      </c>
      <c r="K128" s="630">
        <v>1</v>
      </c>
      <c r="L128" s="617">
        <v>50</v>
      </c>
      <c r="M128" s="618">
        <v>7700.7200000000012</v>
      </c>
    </row>
    <row r="129" spans="1:13" ht="14.4" customHeight="1" x14ac:dyDescent="0.3">
      <c r="A129" s="613" t="s">
        <v>1272</v>
      </c>
      <c r="B129" s="614" t="s">
        <v>1798</v>
      </c>
      <c r="C129" s="614" t="s">
        <v>1573</v>
      </c>
      <c r="D129" s="614" t="s">
        <v>1574</v>
      </c>
      <c r="E129" s="614" t="s">
        <v>1508</v>
      </c>
      <c r="F129" s="617"/>
      <c r="G129" s="617"/>
      <c r="H129" s="630">
        <v>0</v>
      </c>
      <c r="I129" s="617">
        <v>2</v>
      </c>
      <c r="J129" s="617">
        <v>239.4</v>
      </c>
      <c r="K129" s="630">
        <v>1</v>
      </c>
      <c r="L129" s="617">
        <v>2</v>
      </c>
      <c r="M129" s="618">
        <v>239.4</v>
      </c>
    </row>
    <row r="130" spans="1:13" ht="14.4" customHeight="1" x14ac:dyDescent="0.3">
      <c r="A130" s="613" t="s">
        <v>1272</v>
      </c>
      <c r="B130" s="614" t="s">
        <v>1806</v>
      </c>
      <c r="C130" s="614" t="s">
        <v>1604</v>
      </c>
      <c r="D130" s="614" t="s">
        <v>1605</v>
      </c>
      <c r="E130" s="614" t="s">
        <v>1606</v>
      </c>
      <c r="F130" s="617"/>
      <c r="G130" s="617"/>
      <c r="H130" s="630">
        <v>0</v>
      </c>
      <c r="I130" s="617">
        <v>2</v>
      </c>
      <c r="J130" s="617">
        <v>62.64</v>
      </c>
      <c r="K130" s="630">
        <v>1</v>
      </c>
      <c r="L130" s="617">
        <v>2</v>
      </c>
      <c r="M130" s="618">
        <v>62.64</v>
      </c>
    </row>
    <row r="131" spans="1:13" ht="14.4" customHeight="1" x14ac:dyDescent="0.3">
      <c r="A131" s="613" t="s">
        <v>1273</v>
      </c>
      <c r="B131" s="614" t="s">
        <v>1194</v>
      </c>
      <c r="C131" s="614" t="s">
        <v>956</v>
      </c>
      <c r="D131" s="614" t="s">
        <v>864</v>
      </c>
      <c r="E131" s="614" t="s">
        <v>1196</v>
      </c>
      <c r="F131" s="617"/>
      <c r="G131" s="617"/>
      <c r="H131" s="630">
        <v>0</v>
      </c>
      <c r="I131" s="617">
        <v>16</v>
      </c>
      <c r="J131" s="617">
        <v>2456.8000000000002</v>
      </c>
      <c r="K131" s="630">
        <v>1</v>
      </c>
      <c r="L131" s="617">
        <v>16</v>
      </c>
      <c r="M131" s="618">
        <v>2456.8000000000002</v>
      </c>
    </row>
    <row r="132" spans="1:13" ht="14.4" customHeight="1" x14ac:dyDescent="0.3">
      <c r="A132" s="613" t="s">
        <v>1273</v>
      </c>
      <c r="B132" s="614" t="s">
        <v>1194</v>
      </c>
      <c r="C132" s="614" t="s">
        <v>1288</v>
      </c>
      <c r="D132" s="614" t="s">
        <v>864</v>
      </c>
      <c r="E132" s="614" t="s">
        <v>1196</v>
      </c>
      <c r="F132" s="617">
        <v>3</v>
      </c>
      <c r="G132" s="617">
        <v>463.08000000000004</v>
      </c>
      <c r="H132" s="630">
        <v>1</v>
      </c>
      <c r="I132" s="617"/>
      <c r="J132" s="617"/>
      <c r="K132" s="630">
        <v>0</v>
      </c>
      <c r="L132" s="617">
        <v>3</v>
      </c>
      <c r="M132" s="618">
        <v>463.08000000000004</v>
      </c>
    </row>
    <row r="133" spans="1:13" ht="14.4" customHeight="1" x14ac:dyDescent="0.3">
      <c r="A133" s="613" t="s">
        <v>1273</v>
      </c>
      <c r="B133" s="614" t="s">
        <v>1798</v>
      </c>
      <c r="C133" s="614" t="s">
        <v>1611</v>
      </c>
      <c r="D133" s="614" t="s">
        <v>1612</v>
      </c>
      <c r="E133" s="614" t="s">
        <v>1508</v>
      </c>
      <c r="F133" s="617">
        <v>2</v>
      </c>
      <c r="G133" s="617">
        <v>425.18</v>
      </c>
      <c r="H133" s="630">
        <v>1</v>
      </c>
      <c r="I133" s="617"/>
      <c r="J133" s="617"/>
      <c r="K133" s="630">
        <v>0</v>
      </c>
      <c r="L133" s="617">
        <v>2</v>
      </c>
      <c r="M133" s="618">
        <v>425.18</v>
      </c>
    </row>
    <row r="134" spans="1:13" ht="14.4" customHeight="1" x14ac:dyDescent="0.3">
      <c r="A134" s="613" t="s">
        <v>1273</v>
      </c>
      <c r="B134" s="614" t="s">
        <v>1203</v>
      </c>
      <c r="C134" s="614" t="s">
        <v>930</v>
      </c>
      <c r="D134" s="614" t="s">
        <v>931</v>
      </c>
      <c r="E134" s="614" t="s">
        <v>932</v>
      </c>
      <c r="F134" s="617"/>
      <c r="G134" s="617"/>
      <c r="H134" s="630">
        <v>0</v>
      </c>
      <c r="I134" s="617">
        <v>2</v>
      </c>
      <c r="J134" s="617">
        <v>294.62</v>
      </c>
      <c r="K134" s="630">
        <v>1</v>
      </c>
      <c r="L134" s="617">
        <v>2</v>
      </c>
      <c r="M134" s="618">
        <v>294.62</v>
      </c>
    </row>
    <row r="135" spans="1:13" ht="14.4" customHeight="1" x14ac:dyDescent="0.3">
      <c r="A135" s="613" t="s">
        <v>1273</v>
      </c>
      <c r="B135" s="614" t="s">
        <v>1203</v>
      </c>
      <c r="C135" s="614" t="s">
        <v>1627</v>
      </c>
      <c r="D135" s="614" t="s">
        <v>1206</v>
      </c>
      <c r="E135" s="614" t="s">
        <v>1628</v>
      </c>
      <c r="F135" s="617">
        <v>1</v>
      </c>
      <c r="G135" s="617">
        <v>79.31</v>
      </c>
      <c r="H135" s="630">
        <v>1</v>
      </c>
      <c r="I135" s="617"/>
      <c r="J135" s="617"/>
      <c r="K135" s="630">
        <v>0</v>
      </c>
      <c r="L135" s="617">
        <v>1</v>
      </c>
      <c r="M135" s="618">
        <v>79.31</v>
      </c>
    </row>
    <row r="136" spans="1:13" ht="14.4" customHeight="1" x14ac:dyDescent="0.3">
      <c r="A136" s="613" t="s">
        <v>1273</v>
      </c>
      <c r="B136" s="614" t="s">
        <v>1208</v>
      </c>
      <c r="C136" s="614" t="s">
        <v>1618</v>
      </c>
      <c r="D136" s="614" t="s">
        <v>1540</v>
      </c>
      <c r="E136" s="614" t="s">
        <v>1619</v>
      </c>
      <c r="F136" s="617">
        <v>1</v>
      </c>
      <c r="G136" s="617">
        <v>334.1</v>
      </c>
      <c r="H136" s="630">
        <v>1</v>
      </c>
      <c r="I136" s="617"/>
      <c r="J136" s="617"/>
      <c r="K136" s="630">
        <v>0</v>
      </c>
      <c r="L136" s="617">
        <v>1</v>
      </c>
      <c r="M136" s="618">
        <v>334.1</v>
      </c>
    </row>
    <row r="137" spans="1:13" ht="14.4" customHeight="1" x14ac:dyDescent="0.3">
      <c r="A137" s="613" t="s">
        <v>1273</v>
      </c>
      <c r="B137" s="614" t="s">
        <v>1215</v>
      </c>
      <c r="C137" s="614" t="s">
        <v>1620</v>
      </c>
      <c r="D137" s="614" t="s">
        <v>1621</v>
      </c>
      <c r="E137" s="614" t="s">
        <v>1622</v>
      </c>
      <c r="F137" s="617"/>
      <c r="G137" s="617"/>
      <c r="H137" s="630">
        <v>0</v>
      </c>
      <c r="I137" s="617">
        <v>1</v>
      </c>
      <c r="J137" s="617">
        <v>519.42999999999995</v>
      </c>
      <c r="K137" s="630">
        <v>1</v>
      </c>
      <c r="L137" s="617">
        <v>1</v>
      </c>
      <c r="M137" s="618">
        <v>519.42999999999995</v>
      </c>
    </row>
    <row r="138" spans="1:13" ht="14.4" customHeight="1" x14ac:dyDescent="0.3">
      <c r="A138" s="613" t="s">
        <v>1273</v>
      </c>
      <c r="B138" s="614" t="s">
        <v>1215</v>
      </c>
      <c r="C138" s="614" t="s">
        <v>1553</v>
      </c>
      <c r="D138" s="614" t="s">
        <v>986</v>
      </c>
      <c r="E138" s="614" t="s">
        <v>1554</v>
      </c>
      <c r="F138" s="617"/>
      <c r="G138" s="617"/>
      <c r="H138" s="630">
        <v>0</v>
      </c>
      <c r="I138" s="617">
        <v>2</v>
      </c>
      <c r="J138" s="617">
        <v>1496.42</v>
      </c>
      <c r="K138" s="630">
        <v>1</v>
      </c>
      <c r="L138" s="617">
        <v>2</v>
      </c>
      <c r="M138" s="618">
        <v>1496.42</v>
      </c>
    </row>
    <row r="139" spans="1:13" ht="14.4" customHeight="1" x14ac:dyDescent="0.3">
      <c r="A139" s="613" t="s">
        <v>1273</v>
      </c>
      <c r="B139" s="614" t="s">
        <v>1218</v>
      </c>
      <c r="C139" s="614" t="s">
        <v>776</v>
      </c>
      <c r="D139" s="614" t="s">
        <v>714</v>
      </c>
      <c r="E139" s="614" t="s">
        <v>1219</v>
      </c>
      <c r="F139" s="617"/>
      <c r="G139" s="617"/>
      <c r="H139" s="630">
        <v>0</v>
      </c>
      <c r="I139" s="617">
        <v>8</v>
      </c>
      <c r="J139" s="617">
        <v>387.36</v>
      </c>
      <c r="K139" s="630">
        <v>1</v>
      </c>
      <c r="L139" s="617">
        <v>8</v>
      </c>
      <c r="M139" s="618">
        <v>387.36</v>
      </c>
    </row>
    <row r="140" spans="1:13" ht="14.4" customHeight="1" x14ac:dyDescent="0.3">
      <c r="A140" s="613" t="s">
        <v>1273</v>
      </c>
      <c r="B140" s="614" t="s">
        <v>1799</v>
      </c>
      <c r="C140" s="614" t="s">
        <v>1608</v>
      </c>
      <c r="D140" s="614" t="s">
        <v>1609</v>
      </c>
      <c r="E140" s="614" t="s">
        <v>1610</v>
      </c>
      <c r="F140" s="617">
        <v>1</v>
      </c>
      <c r="G140" s="617">
        <v>5.14</v>
      </c>
      <c r="H140" s="630">
        <v>1</v>
      </c>
      <c r="I140" s="617"/>
      <c r="J140" s="617"/>
      <c r="K140" s="630">
        <v>0</v>
      </c>
      <c r="L140" s="617">
        <v>1</v>
      </c>
      <c r="M140" s="618">
        <v>5.14</v>
      </c>
    </row>
    <row r="141" spans="1:13" ht="14.4" customHeight="1" x14ac:dyDescent="0.3">
      <c r="A141" s="613" t="s">
        <v>1274</v>
      </c>
      <c r="B141" s="614" t="s">
        <v>1194</v>
      </c>
      <c r="C141" s="614" t="s">
        <v>1332</v>
      </c>
      <c r="D141" s="614" t="s">
        <v>864</v>
      </c>
      <c r="E141" s="614" t="s">
        <v>566</v>
      </c>
      <c r="F141" s="617">
        <v>1</v>
      </c>
      <c r="G141" s="617">
        <v>0</v>
      </c>
      <c r="H141" s="630"/>
      <c r="I141" s="617"/>
      <c r="J141" s="617"/>
      <c r="K141" s="630"/>
      <c r="L141" s="617">
        <v>1</v>
      </c>
      <c r="M141" s="618">
        <v>0</v>
      </c>
    </row>
    <row r="142" spans="1:13" ht="14.4" customHeight="1" x14ac:dyDescent="0.3">
      <c r="A142" s="613" t="s">
        <v>1274</v>
      </c>
      <c r="B142" s="614" t="s">
        <v>1194</v>
      </c>
      <c r="C142" s="614" t="s">
        <v>956</v>
      </c>
      <c r="D142" s="614" t="s">
        <v>864</v>
      </c>
      <c r="E142" s="614" t="s">
        <v>1196</v>
      </c>
      <c r="F142" s="617"/>
      <c r="G142" s="617"/>
      <c r="H142" s="630">
        <v>0</v>
      </c>
      <c r="I142" s="617">
        <v>3</v>
      </c>
      <c r="J142" s="617">
        <v>463.08000000000004</v>
      </c>
      <c r="K142" s="630">
        <v>1</v>
      </c>
      <c r="L142" s="617">
        <v>3</v>
      </c>
      <c r="M142" s="618">
        <v>463.08000000000004</v>
      </c>
    </row>
    <row r="143" spans="1:13" ht="14.4" customHeight="1" x14ac:dyDescent="0.3">
      <c r="A143" s="613" t="s">
        <v>1274</v>
      </c>
      <c r="B143" s="614" t="s">
        <v>1218</v>
      </c>
      <c r="C143" s="614" t="s">
        <v>1307</v>
      </c>
      <c r="D143" s="614" t="s">
        <v>714</v>
      </c>
      <c r="E143" s="614" t="s">
        <v>1308</v>
      </c>
      <c r="F143" s="617"/>
      <c r="G143" s="617"/>
      <c r="H143" s="630">
        <v>0</v>
      </c>
      <c r="I143" s="617">
        <v>2</v>
      </c>
      <c r="J143" s="617">
        <v>48.44</v>
      </c>
      <c r="K143" s="630">
        <v>1</v>
      </c>
      <c r="L143" s="617">
        <v>2</v>
      </c>
      <c r="M143" s="618">
        <v>48.44</v>
      </c>
    </row>
    <row r="144" spans="1:13" ht="14.4" customHeight="1" x14ac:dyDescent="0.3">
      <c r="A144" s="613" t="s">
        <v>1274</v>
      </c>
      <c r="B144" s="614" t="s">
        <v>1218</v>
      </c>
      <c r="C144" s="614" t="s">
        <v>1643</v>
      </c>
      <c r="D144" s="614" t="s">
        <v>714</v>
      </c>
      <c r="E144" s="614" t="s">
        <v>1219</v>
      </c>
      <c r="F144" s="617">
        <v>1</v>
      </c>
      <c r="G144" s="617">
        <v>48.42</v>
      </c>
      <c r="H144" s="630">
        <v>1</v>
      </c>
      <c r="I144" s="617"/>
      <c r="J144" s="617"/>
      <c r="K144" s="630">
        <v>0</v>
      </c>
      <c r="L144" s="617">
        <v>1</v>
      </c>
      <c r="M144" s="618">
        <v>48.42</v>
      </c>
    </row>
    <row r="145" spans="1:13" ht="14.4" customHeight="1" x14ac:dyDescent="0.3">
      <c r="A145" s="613" t="s">
        <v>1275</v>
      </c>
      <c r="B145" s="614" t="s">
        <v>1203</v>
      </c>
      <c r="C145" s="614" t="s">
        <v>930</v>
      </c>
      <c r="D145" s="614" t="s">
        <v>931</v>
      </c>
      <c r="E145" s="614" t="s">
        <v>932</v>
      </c>
      <c r="F145" s="617"/>
      <c r="G145" s="617"/>
      <c r="H145" s="630">
        <v>0</v>
      </c>
      <c r="I145" s="617">
        <v>1</v>
      </c>
      <c r="J145" s="617">
        <v>147.31</v>
      </c>
      <c r="K145" s="630">
        <v>1</v>
      </c>
      <c r="L145" s="617">
        <v>1</v>
      </c>
      <c r="M145" s="618">
        <v>147.31</v>
      </c>
    </row>
    <row r="146" spans="1:13" ht="14.4" customHeight="1" x14ac:dyDescent="0.3">
      <c r="A146" s="613" t="s">
        <v>1276</v>
      </c>
      <c r="B146" s="614" t="s">
        <v>1194</v>
      </c>
      <c r="C146" s="614" t="s">
        <v>956</v>
      </c>
      <c r="D146" s="614" t="s">
        <v>864</v>
      </c>
      <c r="E146" s="614" t="s">
        <v>1196</v>
      </c>
      <c r="F146" s="617"/>
      <c r="G146" s="617"/>
      <c r="H146" s="630">
        <v>0</v>
      </c>
      <c r="I146" s="617">
        <v>6</v>
      </c>
      <c r="J146" s="617">
        <v>926.16000000000008</v>
      </c>
      <c r="K146" s="630">
        <v>1</v>
      </c>
      <c r="L146" s="617">
        <v>6</v>
      </c>
      <c r="M146" s="618">
        <v>926.16000000000008</v>
      </c>
    </row>
    <row r="147" spans="1:13" ht="14.4" customHeight="1" x14ac:dyDescent="0.3">
      <c r="A147" s="613" t="s">
        <v>1277</v>
      </c>
      <c r="B147" s="614" t="s">
        <v>1162</v>
      </c>
      <c r="C147" s="614" t="s">
        <v>1701</v>
      </c>
      <c r="D147" s="614" t="s">
        <v>1702</v>
      </c>
      <c r="E147" s="614" t="s">
        <v>1703</v>
      </c>
      <c r="F147" s="617"/>
      <c r="G147" s="617"/>
      <c r="H147" s="630">
        <v>0</v>
      </c>
      <c r="I147" s="617">
        <v>2</v>
      </c>
      <c r="J147" s="617">
        <v>411.68</v>
      </c>
      <c r="K147" s="630">
        <v>1</v>
      </c>
      <c r="L147" s="617">
        <v>2</v>
      </c>
      <c r="M147" s="618">
        <v>411.68</v>
      </c>
    </row>
    <row r="148" spans="1:13" ht="14.4" customHeight="1" x14ac:dyDescent="0.3">
      <c r="A148" s="613" t="s">
        <v>1277</v>
      </c>
      <c r="B148" s="614" t="s">
        <v>1162</v>
      </c>
      <c r="C148" s="614" t="s">
        <v>1704</v>
      </c>
      <c r="D148" s="614" t="s">
        <v>1705</v>
      </c>
      <c r="E148" s="614" t="s">
        <v>1706</v>
      </c>
      <c r="F148" s="617"/>
      <c r="G148" s="617"/>
      <c r="H148" s="630"/>
      <c r="I148" s="617">
        <v>1</v>
      </c>
      <c r="J148" s="617">
        <v>0</v>
      </c>
      <c r="K148" s="630"/>
      <c r="L148" s="617">
        <v>1</v>
      </c>
      <c r="M148" s="618">
        <v>0</v>
      </c>
    </row>
    <row r="149" spans="1:13" ht="14.4" customHeight="1" x14ac:dyDescent="0.3">
      <c r="A149" s="613" t="s">
        <v>1277</v>
      </c>
      <c r="B149" s="614" t="s">
        <v>1194</v>
      </c>
      <c r="C149" s="614" t="s">
        <v>956</v>
      </c>
      <c r="D149" s="614" t="s">
        <v>864</v>
      </c>
      <c r="E149" s="614" t="s">
        <v>1196</v>
      </c>
      <c r="F149" s="617"/>
      <c r="G149" s="617"/>
      <c r="H149" s="630">
        <v>0</v>
      </c>
      <c r="I149" s="617">
        <v>15</v>
      </c>
      <c r="J149" s="617">
        <v>2311.0800000000004</v>
      </c>
      <c r="K149" s="630">
        <v>1</v>
      </c>
      <c r="L149" s="617">
        <v>15</v>
      </c>
      <c r="M149" s="618">
        <v>2311.0800000000004</v>
      </c>
    </row>
    <row r="150" spans="1:13" ht="14.4" customHeight="1" x14ac:dyDescent="0.3">
      <c r="A150" s="613" t="s">
        <v>1277</v>
      </c>
      <c r="B150" s="614" t="s">
        <v>1798</v>
      </c>
      <c r="C150" s="614" t="s">
        <v>1679</v>
      </c>
      <c r="D150" s="614" t="s">
        <v>1574</v>
      </c>
      <c r="E150" s="614" t="s">
        <v>1680</v>
      </c>
      <c r="F150" s="617"/>
      <c r="G150" s="617"/>
      <c r="H150" s="630">
        <v>0</v>
      </c>
      <c r="I150" s="617">
        <v>1</v>
      </c>
      <c r="J150" s="617">
        <v>425.17</v>
      </c>
      <c r="K150" s="630">
        <v>1</v>
      </c>
      <c r="L150" s="617">
        <v>1</v>
      </c>
      <c r="M150" s="618">
        <v>425.17</v>
      </c>
    </row>
    <row r="151" spans="1:13" ht="14.4" customHeight="1" x14ac:dyDescent="0.3">
      <c r="A151" s="613" t="s">
        <v>1278</v>
      </c>
      <c r="B151" s="614" t="s">
        <v>1194</v>
      </c>
      <c r="C151" s="614" t="s">
        <v>1332</v>
      </c>
      <c r="D151" s="614" t="s">
        <v>864</v>
      </c>
      <c r="E151" s="614" t="s">
        <v>566</v>
      </c>
      <c r="F151" s="617">
        <v>1</v>
      </c>
      <c r="G151" s="617">
        <v>0</v>
      </c>
      <c r="H151" s="630"/>
      <c r="I151" s="617"/>
      <c r="J151" s="617"/>
      <c r="K151" s="630"/>
      <c r="L151" s="617">
        <v>1</v>
      </c>
      <c r="M151" s="618">
        <v>0</v>
      </c>
    </row>
    <row r="152" spans="1:13" ht="14.4" customHeight="1" x14ac:dyDescent="0.3">
      <c r="A152" s="613" t="s">
        <v>1278</v>
      </c>
      <c r="B152" s="614" t="s">
        <v>1194</v>
      </c>
      <c r="C152" s="614" t="s">
        <v>956</v>
      </c>
      <c r="D152" s="614" t="s">
        <v>864</v>
      </c>
      <c r="E152" s="614" t="s">
        <v>1196</v>
      </c>
      <c r="F152" s="617"/>
      <c r="G152" s="617"/>
      <c r="H152" s="630">
        <v>0</v>
      </c>
      <c r="I152" s="617">
        <v>13</v>
      </c>
      <c r="J152" s="617">
        <v>1980.76</v>
      </c>
      <c r="K152" s="630">
        <v>1</v>
      </c>
      <c r="L152" s="617">
        <v>13</v>
      </c>
      <c r="M152" s="618">
        <v>1980.76</v>
      </c>
    </row>
    <row r="153" spans="1:13" ht="14.4" customHeight="1" thickBot="1" x14ac:dyDescent="0.35">
      <c r="A153" s="619" t="s">
        <v>1278</v>
      </c>
      <c r="B153" s="620" t="s">
        <v>1203</v>
      </c>
      <c r="C153" s="620" t="s">
        <v>930</v>
      </c>
      <c r="D153" s="620" t="s">
        <v>931</v>
      </c>
      <c r="E153" s="620" t="s">
        <v>932</v>
      </c>
      <c r="F153" s="623"/>
      <c r="G153" s="623"/>
      <c r="H153" s="631">
        <v>0</v>
      </c>
      <c r="I153" s="623">
        <v>1</v>
      </c>
      <c r="J153" s="623">
        <v>147.31</v>
      </c>
      <c r="K153" s="631">
        <v>1</v>
      </c>
      <c r="L153" s="623">
        <v>1</v>
      </c>
      <c r="M153" s="624">
        <v>147.31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0" customWidth="1"/>
    <col min="2" max="2" width="61.109375" style="330" customWidth="1"/>
    <col min="3" max="3" width="9.5546875" style="248" customWidth="1"/>
    <col min="4" max="4" width="9.5546875" style="331" customWidth="1"/>
    <col min="5" max="5" width="2.21875" style="331" customWidth="1"/>
    <col min="6" max="6" width="9.5546875" style="332" customWidth="1"/>
    <col min="7" max="7" width="9.5546875" style="329" customWidth="1"/>
    <col min="8" max="9" width="9.5546875" style="248" customWidth="1"/>
    <col min="10" max="10" width="0" style="248" hidden="1" customWidth="1"/>
    <col min="11" max="16384" width="8.88671875" style="248"/>
  </cols>
  <sheetData>
    <row r="1" spans="1:10" ht="18.600000000000001" customHeight="1" thickBot="1" x14ac:dyDescent="0.4">
      <c r="A1" s="489" t="s">
        <v>172</v>
      </c>
      <c r="B1" s="490"/>
      <c r="C1" s="490"/>
      <c r="D1" s="490"/>
      <c r="E1" s="490"/>
      <c r="F1" s="490"/>
      <c r="G1" s="471"/>
      <c r="H1" s="491"/>
      <c r="I1" s="491"/>
    </row>
    <row r="2" spans="1:10" ht="14.4" customHeight="1" thickBot="1" x14ac:dyDescent="0.35">
      <c r="A2" s="375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5"/>
      <c r="B3" s="328"/>
      <c r="C3" s="433">
        <v>2013</v>
      </c>
      <c r="D3" s="434">
        <v>2014</v>
      </c>
      <c r="E3" s="11"/>
      <c r="F3" s="484">
        <v>2015</v>
      </c>
      <c r="G3" s="485"/>
      <c r="H3" s="485"/>
      <c r="I3" s="486"/>
    </row>
    <row r="4" spans="1:10" ht="14.4" customHeight="1" thickBot="1" x14ac:dyDescent="0.35">
      <c r="A4" s="438" t="s">
        <v>0</v>
      </c>
      <c r="B4" s="439" t="s">
        <v>283</v>
      </c>
      <c r="C4" s="487" t="s">
        <v>88</v>
      </c>
      <c r="D4" s="488"/>
      <c r="E4" s="440"/>
      <c r="F4" s="435" t="s">
        <v>88</v>
      </c>
      <c r="G4" s="436" t="s">
        <v>89</v>
      </c>
      <c r="H4" s="436" t="s">
        <v>63</v>
      </c>
      <c r="I4" s="437" t="s">
        <v>90</v>
      </c>
    </row>
    <row r="5" spans="1:10" ht="14.4" customHeight="1" x14ac:dyDescent="0.3">
      <c r="A5" s="597" t="s">
        <v>323</v>
      </c>
      <c r="B5" s="598" t="s">
        <v>324</v>
      </c>
      <c r="C5" s="599" t="s">
        <v>325</v>
      </c>
      <c r="D5" s="599" t="s">
        <v>325</v>
      </c>
      <c r="E5" s="599"/>
      <c r="F5" s="599" t="s">
        <v>325</v>
      </c>
      <c r="G5" s="599" t="s">
        <v>325</v>
      </c>
      <c r="H5" s="599" t="s">
        <v>325</v>
      </c>
      <c r="I5" s="600" t="s">
        <v>325</v>
      </c>
      <c r="J5" s="601" t="s">
        <v>68</v>
      </c>
    </row>
    <row r="6" spans="1:10" ht="14.4" customHeight="1" x14ac:dyDescent="0.3">
      <c r="A6" s="597" t="s">
        <v>323</v>
      </c>
      <c r="B6" s="598" t="s">
        <v>1809</v>
      </c>
      <c r="C6" s="599">
        <v>2.7197900000000002</v>
      </c>
      <c r="D6" s="599">
        <v>3.37296</v>
      </c>
      <c r="E6" s="599"/>
      <c r="F6" s="599">
        <v>1.8768199999999999</v>
      </c>
      <c r="G6" s="599">
        <v>3.499999889758</v>
      </c>
      <c r="H6" s="599">
        <v>-1.6231798897580001</v>
      </c>
      <c r="I6" s="600">
        <v>0.53623430260444049</v>
      </c>
      <c r="J6" s="601" t="s">
        <v>1</v>
      </c>
    </row>
    <row r="7" spans="1:10" ht="14.4" customHeight="1" x14ac:dyDescent="0.3">
      <c r="A7" s="597" t="s">
        <v>323</v>
      </c>
      <c r="B7" s="598" t="s">
        <v>1810</v>
      </c>
      <c r="C7" s="599">
        <v>0</v>
      </c>
      <c r="D7" s="599">
        <v>87.200500000000005</v>
      </c>
      <c r="E7" s="599"/>
      <c r="F7" s="599">
        <v>100.15891999999999</v>
      </c>
      <c r="G7" s="599">
        <v>150.99999524386601</v>
      </c>
      <c r="H7" s="599">
        <v>-50.841075243866015</v>
      </c>
      <c r="I7" s="600">
        <v>0.6633041268527371</v>
      </c>
      <c r="J7" s="601" t="s">
        <v>1</v>
      </c>
    </row>
    <row r="8" spans="1:10" ht="14.4" customHeight="1" x14ac:dyDescent="0.3">
      <c r="A8" s="597" t="s">
        <v>323</v>
      </c>
      <c r="B8" s="598" t="s">
        <v>1811</v>
      </c>
      <c r="C8" s="599">
        <v>21.466249999999</v>
      </c>
      <c r="D8" s="599">
        <v>6.9570500000000006</v>
      </c>
      <c r="E8" s="599"/>
      <c r="F8" s="599">
        <v>0.94899999999999995</v>
      </c>
      <c r="G8" s="599">
        <v>5.4999998267630001</v>
      </c>
      <c r="H8" s="599">
        <v>-4.5509998267630003</v>
      </c>
      <c r="I8" s="600">
        <v>0.17254545998022869</v>
      </c>
      <c r="J8" s="601" t="s">
        <v>1</v>
      </c>
    </row>
    <row r="9" spans="1:10" ht="14.4" customHeight="1" x14ac:dyDescent="0.3">
      <c r="A9" s="597" t="s">
        <v>323</v>
      </c>
      <c r="B9" s="598" t="s">
        <v>1812</v>
      </c>
      <c r="C9" s="599" t="s">
        <v>325</v>
      </c>
      <c r="D9" s="599">
        <v>0</v>
      </c>
      <c r="E9" s="599"/>
      <c r="F9" s="599">
        <v>0</v>
      </c>
      <c r="G9" s="599">
        <v>0.99999996850200001</v>
      </c>
      <c r="H9" s="599">
        <v>-0.99999996850200001</v>
      </c>
      <c r="I9" s="600">
        <v>0</v>
      </c>
      <c r="J9" s="601" t="s">
        <v>1</v>
      </c>
    </row>
    <row r="10" spans="1:10" ht="14.4" customHeight="1" x14ac:dyDescent="0.3">
      <c r="A10" s="597" t="s">
        <v>323</v>
      </c>
      <c r="B10" s="598" t="s">
        <v>1813</v>
      </c>
      <c r="C10" s="599">
        <v>2.0979999999999999E-2</v>
      </c>
      <c r="D10" s="599">
        <v>0.16650000000000001</v>
      </c>
      <c r="E10" s="599"/>
      <c r="F10" s="599">
        <v>0.27888000000000002</v>
      </c>
      <c r="G10" s="599">
        <v>0.64097997980999999</v>
      </c>
      <c r="H10" s="599">
        <v>-0.36209997980999997</v>
      </c>
      <c r="I10" s="600">
        <v>0.43508379166954003</v>
      </c>
      <c r="J10" s="601" t="s">
        <v>1</v>
      </c>
    </row>
    <row r="11" spans="1:10" ht="14.4" customHeight="1" x14ac:dyDescent="0.3">
      <c r="A11" s="597" t="s">
        <v>323</v>
      </c>
      <c r="B11" s="598" t="s">
        <v>1814</v>
      </c>
      <c r="C11" s="599">
        <v>110.82586999999899</v>
      </c>
      <c r="D11" s="599">
        <v>116.18704000000001</v>
      </c>
      <c r="E11" s="599"/>
      <c r="F11" s="599">
        <v>120.25281000000001</v>
      </c>
      <c r="G11" s="599">
        <v>130.8489525062385</v>
      </c>
      <c r="H11" s="599">
        <v>-10.596142506238493</v>
      </c>
      <c r="I11" s="600">
        <v>0.91902004331495657</v>
      </c>
      <c r="J11" s="601" t="s">
        <v>1</v>
      </c>
    </row>
    <row r="12" spans="1:10" ht="14.4" customHeight="1" x14ac:dyDescent="0.3">
      <c r="A12" s="597" t="s">
        <v>323</v>
      </c>
      <c r="B12" s="598" t="s">
        <v>1815</v>
      </c>
      <c r="C12" s="599">
        <v>116.07705999999699</v>
      </c>
      <c r="D12" s="599">
        <v>152.57611</v>
      </c>
      <c r="E12" s="599"/>
      <c r="F12" s="599">
        <v>139.11739</v>
      </c>
      <c r="G12" s="599">
        <v>189.26575098759201</v>
      </c>
      <c r="H12" s="599">
        <v>-50.148360987592014</v>
      </c>
      <c r="I12" s="600">
        <v>0.73503731802549066</v>
      </c>
      <c r="J12" s="601" t="s">
        <v>1</v>
      </c>
    </row>
    <row r="13" spans="1:10" ht="14.4" customHeight="1" x14ac:dyDescent="0.3">
      <c r="A13" s="597" t="s">
        <v>323</v>
      </c>
      <c r="B13" s="598" t="s">
        <v>1816</v>
      </c>
      <c r="C13" s="599">
        <v>12.198</v>
      </c>
      <c r="D13" s="599">
        <v>25.439</v>
      </c>
      <c r="E13" s="599"/>
      <c r="F13" s="599">
        <v>14.096</v>
      </c>
      <c r="G13" s="599">
        <v>11.999999622029</v>
      </c>
      <c r="H13" s="599">
        <v>2.0960003779710004</v>
      </c>
      <c r="I13" s="600">
        <v>1.1746667036658291</v>
      </c>
      <c r="J13" s="601" t="s">
        <v>1</v>
      </c>
    </row>
    <row r="14" spans="1:10" ht="14.4" customHeight="1" x14ac:dyDescent="0.3">
      <c r="A14" s="597" t="s">
        <v>323</v>
      </c>
      <c r="B14" s="598" t="s">
        <v>1817</v>
      </c>
      <c r="C14" s="599">
        <v>140.819559999999</v>
      </c>
      <c r="D14" s="599">
        <v>147.72753999999998</v>
      </c>
      <c r="E14" s="599"/>
      <c r="F14" s="599">
        <v>144.46247</v>
      </c>
      <c r="G14" s="599">
        <v>188.74386061747998</v>
      </c>
      <c r="H14" s="599">
        <v>-44.281390617479985</v>
      </c>
      <c r="I14" s="600">
        <v>0.76538897491758207</v>
      </c>
      <c r="J14" s="601" t="s">
        <v>1</v>
      </c>
    </row>
    <row r="15" spans="1:10" ht="14.4" customHeight="1" x14ac:dyDescent="0.3">
      <c r="A15" s="597" t="s">
        <v>323</v>
      </c>
      <c r="B15" s="598" t="s">
        <v>1818</v>
      </c>
      <c r="C15" s="599">
        <v>3.817999999999</v>
      </c>
      <c r="D15" s="599">
        <v>5.4720299999999993</v>
      </c>
      <c r="E15" s="599"/>
      <c r="F15" s="599">
        <v>5.7069999999999999</v>
      </c>
      <c r="G15" s="599">
        <v>3.4999998897575004</v>
      </c>
      <c r="H15" s="599">
        <v>2.2070001102424994</v>
      </c>
      <c r="I15" s="600">
        <v>1.6305714799309359</v>
      </c>
      <c r="J15" s="601" t="s">
        <v>1</v>
      </c>
    </row>
    <row r="16" spans="1:10" ht="14.4" customHeight="1" x14ac:dyDescent="0.3">
      <c r="A16" s="597" t="s">
        <v>323</v>
      </c>
      <c r="B16" s="598" t="s">
        <v>1819</v>
      </c>
      <c r="C16" s="599">
        <v>57.486049999998997</v>
      </c>
      <c r="D16" s="599">
        <v>65.872610000000009</v>
      </c>
      <c r="E16" s="599"/>
      <c r="F16" s="599">
        <v>64.879419999999996</v>
      </c>
      <c r="G16" s="599">
        <v>77.800288203503499</v>
      </c>
      <c r="H16" s="599">
        <v>-12.920868203503503</v>
      </c>
      <c r="I16" s="600">
        <v>0.83392261774524312</v>
      </c>
      <c r="J16" s="601" t="s">
        <v>1</v>
      </c>
    </row>
    <row r="17" spans="1:10" ht="14.4" customHeight="1" x14ac:dyDescent="0.3">
      <c r="A17" s="597" t="s">
        <v>323</v>
      </c>
      <c r="B17" s="598" t="s">
        <v>1820</v>
      </c>
      <c r="C17" s="599">
        <v>0</v>
      </c>
      <c r="D17" s="599">
        <v>0</v>
      </c>
      <c r="E17" s="599"/>
      <c r="F17" s="599">
        <v>0.26778999999999997</v>
      </c>
      <c r="G17" s="599">
        <v>0.34734148124850001</v>
      </c>
      <c r="H17" s="599">
        <v>-7.9551481248500033E-2</v>
      </c>
      <c r="I17" s="600">
        <v>0.7709703978846506</v>
      </c>
      <c r="J17" s="601" t="s">
        <v>1</v>
      </c>
    </row>
    <row r="18" spans="1:10" ht="14.4" customHeight="1" x14ac:dyDescent="0.3">
      <c r="A18" s="597" t="s">
        <v>323</v>
      </c>
      <c r="B18" s="598" t="s">
        <v>1821</v>
      </c>
      <c r="C18" s="599" t="s">
        <v>325</v>
      </c>
      <c r="D18" s="599" t="s">
        <v>325</v>
      </c>
      <c r="E18" s="599"/>
      <c r="F18" s="599">
        <v>0.2782</v>
      </c>
      <c r="G18" s="599">
        <v>0</v>
      </c>
      <c r="H18" s="599">
        <v>0.2782</v>
      </c>
      <c r="I18" s="600" t="s">
        <v>325</v>
      </c>
      <c r="J18" s="601" t="s">
        <v>1</v>
      </c>
    </row>
    <row r="19" spans="1:10" ht="14.4" customHeight="1" x14ac:dyDescent="0.3">
      <c r="A19" s="597" t="s">
        <v>323</v>
      </c>
      <c r="B19" s="598" t="s">
        <v>1822</v>
      </c>
      <c r="C19" s="599">
        <v>386.62144999999799</v>
      </c>
      <c r="D19" s="599">
        <v>382.14510999999999</v>
      </c>
      <c r="E19" s="599"/>
      <c r="F19" s="599">
        <v>281.44308000000001</v>
      </c>
      <c r="G19" s="599">
        <v>457.18571234932602</v>
      </c>
      <c r="H19" s="599">
        <v>-175.74263234932602</v>
      </c>
      <c r="I19" s="600">
        <v>0.61559902769873798</v>
      </c>
      <c r="J19" s="601" t="s">
        <v>1</v>
      </c>
    </row>
    <row r="20" spans="1:10" ht="14.4" customHeight="1" x14ac:dyDescent="0.3">
      <c r="A20" s="597" t="s">
        <v>323</v>
      </c>
      <c r="B20" s="598" t="s">
        <v>333</v>
      </c>
      <c r="C20" s="599">
        <v>852.05300999998997</v>
      </c>
      <c r="D20" s="599">
        <v>993.11644999999999</v>
      </c>
      <c r="E20" s="599"/>
      <c r="F20" s="599">
        <v>873.7677799999999</v>
      </c>
      <c r="G20" s="599">
        <v>1221.3328805658741</v>
      </c>
      <c r="H20" s="599">
        <v>-347.56510056587422</v>
      </c>
      <c r="I20" s="600">
        <v>0.71542148246689419</v>
      </c>
      <c r="J20" s="601" t="s">
        <v>334</v>
      </c>
    </row>
    <row r="22" spans="1:10" ht="14.4" customHeight="1" x14ac:dyDescent="0.3">
      <c r="A22" s="597" t="s">
        <v>323</v>
      </c>
      <c r="B22" s="598" t="s">
        <v>324</v>
      </c>
      <c r="C22" s="599" t="s">
        <v>325</v>
      </c>
      <c r="D22" s="599" t="s">
        <v>325</v>
      </c>
      <c r="E22" s="599"/>
      <c r="F22" s="599" t="s">
        <v>325</v>
      </c>
      <c r="G22" s="599" t="s">
        <v>325</v>
      </c>
      <c r="H22" s="599" t="s">
        <v>325</v>
      </c>
      <c r="I22" s="600" t="s">
        <v>325</v>
      </c>
      <c r="J22" s="601" t="s">
        <v>68</v>
      </c>
    </row>
    <row r="23" spans="1:10" ht="14.4" customHeight="1" x14ac:dyDescent="0.3">
      <c r="A23" s="597" t="s">
        <v>340</v>
      </c>
      <c r="B23" s="598" t="s">
        <v>341</v>
      </c>
      <c r="C23" s="599" t="s">
        <v>325</v>
      </c>
      <c r="D23" s="599" t="s">
        <v>325</v>
      </c>
      <c r="E23" s="599"/>
      <c r="F23" s="599" t="s">
        <v>325</v>
      </c>
      <c r="G23" s="599" t="s">
        <v>325</v>
      </c>
      <c r="H23" s="599" t="s">
        <v>325</v>
      </c>
      <c r="I23" s="600" t="s">
        <v>325</v>
      </c>
      <c r="J23" s="601" t="s">
        <v>0</v>
      </c>
    </row>
    <row r="24" spans="1:10" ht="14.4" customHeight="1" x14ac:dyDescent="0.3">
      <c r="A24" s="597" t="s">
        <v>340</v>
      </c>
      <c r="B24" s="598" t="s">
        <v>1813</v>
      </c>
      <c r="C24" s="599">
        <v>0</v>
      </c>
      <c r="D24" s="599">
        <v>0.15246000000000001</v>
      </c>
      <c r="E24" s="599"/>
      <c r="F24" s="599">
        <v>0.27888000000000002</v>
      </c>
      <c r="G24" s="599">
        <v>0.6339599800315</v>
      </c>
      <c r="H24" s="599">
        <v>-0.35507998003149999</v>
      </c>
      <c r="I24" s="600">
        <v>0.43990158493307907</v>
      </c>
      <c r="J24" s="601" t="s">
        <v>1</v>
      </c>
    </row>
    <row r="25" spans="1:10" ht="14.4" customHeight="1" x14ac:dyDescent="0.3">
      <c r="A25" s="597" t="s">
        <v>340</v>
      </c>
      <c r="B25" s="598" t="s">
        <v>1814</v>
      </c>
      <c r="C25" s="599">
        <v>9.1708800000000004</v>
      </c>
      <c r="D25" s="599">
        <v>15.943849999999999</v>
      </c>
      <c r="E25" s="599"/>
      <c r="F25" s="599">
        <v>17.64593</v>
      </c>
      <c r="G25" s="599">
        <v>16.547208128962001</v>
      </c>
      <c r="H25" s="599">
        <v>1.0987218710379985</v>
      </c>
      <c r="I25" s="600">
        <v>1.0663992295543163</v>
      </c>
      <c r="J25" s="601" t="s">
        <v>1</v>
      </c>
    </row>
    <row r="26" spans="1:10" ht="14.4" customHeight="1" x14ac:dyDescent="0.3">
      <c r="A26" s="597" t="s">
        <v>340</v>
      </c>
      <c r="B26" s="598" t="s">
        <v>1815</v>
      </c>
      <c r="C26" s="599">
        <v>23.989019999999002</v>
      </c>
      <c r="D26" s="599">
        <v>39.160969999999999</v>
      </c>
      <c r="E26" s="599"/>
      <c r="F26" s="599">
        <v>22.341720000000002</v>
      </c>
      <c r="G26" s="599">
        <v>48.83063776182999</v>
      </c>
      <c r="H26" s="599">
        <v>-26.488917761829988</v>
      </c>
      <c r="I26" s="600">
        <v>0.45753488023177352</v>
      </c>
      <c r="J26" s="601" t="s">
        <v>1</v>
      </c>
    </row>
    <row r="27" spans="1:10" ht="14.4" customHeight="1" x14ac:dyDescent="0.3">
      <c r="A27" s="597" t="s">
        <v>340</v>
      </c>
      <c r="B27" s="598" t="s">
        <v>1816</v>
      </c>
      <c r="C27" s="599">
        <v>12.198</v>
      </c>
      <c r="D27" s="599">
        <v>25.439</v>
      </c>
      <c r="E27" s="599"/>
      <c r="F27" s="599">
        <v>14.096</v>
      </c>
      <c r="G27" s="599">
        <v>11.999999622029</v>
      </c>
      <c r="H27" s="599">
        <v>2.0960003779710004</v>
      </c>
      <c r="I27" s="600">
        <v>1.1746667036658291</v>
      </c>
      <c r="J27" s="601" t="s">
        <v>1</v>
      </c>
    </row>
    <row r="28" spans="1:10" ht="14.4" customHeight="1" x14ac:dyDescent="0.3">
      <c r="A28" s="597" t="s">
        <v>340</v>
      </c>
      <c r="B28" s="598" t="s">
        <v>1817</v>
      </c>
      <c r="C28" s="599">
        <v>14.094139999999999</v>
      </c>
      <c r="D28" s="599">
        <v>17.174320000000002</v>
      </c>
      <c r="E28" s="599"/>
      <c r="F28" s="599">
        <v>22.819479999999999</v>
      </c>
      <c r="G28" s="599">
        <v>19.825655869915</v>
      </c>
      <c r="H28" s="599">
        <v>2.9938241300849988</v>
      </c>
      <c r="I28" s="600">
        <v>1.1510075706815865</v>
      </c>
      <c r="J28" s="601" t="s">
        <v>1</v>
      </c>
    </row>
    <row r="29" spans="1:10" ht="14.4" customHeight="1" x14ac:dyDescent="0.3">
      <c r="A29" s="597" t="s">
        <v>340</v>
      </c>
      <c r="B29" s="598" t="s">
        <v>1818</v>
      </c>
      <c r="C29" s="599">
        <v>0.89699999999999991</v>
      </c>
      <c r="D29" s="599">
        <v>1.3912599999999999</v>
      </c>
      <c r="E29" s="599"/>
      <c r="F29" s="599">
        <v>1.9040000000000001</v>
      </c>
      <c r="G29" s="599">
        <v>1.0444288781335</v>
      </c>
      <c r="H29" s="599">
        <v>0.85957112186650009</v>
      </c>
      <c r="I29" s="600">
        <v>1.8230058933286493</v>
      </c>
      <c r="J29" s="601" t="s">
        <v>1</v>
      </c>
    </row>
    <row r="30" spans="1:10" ht="14.4" customHeight="1" x14ac:dyDescent="0.3">
      <c r="A30" s="597" t="s">
        <v>340</v>
      </c>
      <c r="B30" s="598" t="s">
        <v>1819</v>
      </c>
      <c r="C30" s="599">
        <v>5.9284100000000004</v>
      </c>
      <c r="D30" s="599">
        <v>9.8963000000000001</v>
      </c>
      <c r="E30" s="599"/>
      <c r="F30" s="599">
        <v>12.177379999999999</v>
      </c>
      <c r="G30" s="599">
        <v>12.050743195064999</v>
      </c>
      <c r="H30" s="599">
        <v>0.12663680493499996</v>
      </c>
      <c r="I30" s="600">
        <v>1.0105086302882016</v>
      </c>
      <c r="J30" s="601" t="s">
        <v>1</v>
      </c>
    </row>
    <row r="31" spans="1:10" ht="14.4" customHeight="1" x14ac:dyDescent="0.3">
      <c r="A31" s="597" t="s">
        <v>340</v>
      </c>
      <c r="B31" s="598" t="s">
        <v>1820</v>
      </c>
      <c r="C31" s="599">
        <v>0</v>
      </c>
      <c r="D31" s="599">
        <v>0</v>
      </c>
      <c r="E31" s="599"/>
      <c r="F31" s="599">
        <v>0.26778999999999997</v>
      </c>
      <c r="G31" s="599">
        <v>0.34734148124850001</v>
      </c>
      <c r="H31" s="599">
        <v>-7.9551481248500033E-2</v>
      </c>
      <c r="I31" s="600">
        <v>0.7709703978846506</v>
      </c>
      <c r="J31" s="601" t="s">
        <v>1</v>
      </c>
    </row>
    <row r="32" spans="1:10" ht="14.4" customHeight="1" x14ac:dyDescent="0.3">
      <c r="A32" s="597" t="s">
        <v>340</v>
      </c>
      <c r="B32" s="598" t="s">
        <v>1821</v>
      </c>
      <c r="C32" s="599" t="s">
        <v>325</v>
      </c>
      <c r="D32" s="599" t="s">
        <v>325</v>
      </c>
      <c r="E32" s="599"/>
      <c r="F32" s="599">
        <v>0.2782</v>
      </c>
      <c r="G32" s="599">
        <v>0</v>
      </c>
      <c r="H32" s="599">
        <v>0.2782</v>
      </c>
      <c r="I32" s="600" t="s">
        <v>325</v>
      </c>
      <c r="J32" s="601" t="s">
        <v>1</v>
      </c>
    </row>
    <row r="33" spans="1:10" ht="14.4" customHeight="1" x14ac:dyDescent="0.3">
      <c r="A33" s="597" t="s">
        <v>340</v>
      </c>
      <c r="B33" s="598" t="s">
        <v>1822</v>
      </c>
      <c r="C33" s="599">
        <v>0</v>
      </c>
      <c r="D33" s="599">
        <v>0</v>
      </c>
      <c r="E33" s="599"/>
      <c r="F33" s="599">
        <v>0</v>
      </c>
      <c r="G33" s="599">
        <v>0.55376042322300001</v>
      </c>
      <c r="H33" s="599">
        <v>-0.55376042322300001</v>
      </c>
      <c r="I33" s="600">
        <v>0</v>
      </c>
      <c r="J33" s="601" t="s">
        <v>1</v>
      </c>
    </row>
    <row r="34" spans="1:10" ht="14.4" customHeight="1" x14ac:dyDescent="0.3">
      <c r="A34" s="597" t="s">
        <v>340</v>
      </c>
      <c r="B34" s="598" t="s">
        <v>342</v>
      </c>
      <c r="C34" s="599">
        <v>66.277449999999007</v>
      </c>
      <c r="D34" s="599">
        <v>109.15816</v>
      </c>
      <c r="E34" s="599"/>
      <c r="F34" s="599">
        <v>91.809380000000004</v>
      </c>
      <c r="G34" s="599">
        <v>111.83373534043749</v>
      </c>
      <c r="H34" s="599">
        <v>-20.024355340437481</v>
      </c>
      <c r="I34" s="600">
        <v>0.82094530528305654</v>
      </c>
      <c r="J34" s="601" t="s">
        <v>338</v>
      </c>
    </row>
    <row r="35" spans="1:10" ht="14.4" customHeight="1" x14ac:dyDescent="0.3">
      <c r="A35" s="597" t="s">
        <v>325</v>
      </c>
      <c r="B35" s="598" t="s">
        <v>325</v>
      </c>
      <c r="C35" s="599" t="s">
        <v>325</v>
      </c>
      <c r="D35" s="599" t="s">
        <v>325</v>
      </c>
      <c r="E35" s="599"/>
      <c r="F35" s="599" t="s">
        <v>325</v>
      </c>
      <c r="G35" s="599" t="s">
        <v>325</v>
      </c>
      <c r="H35" s="599" t="s">
        <v>325</v>
      </c>
      <c r="I35" s="600" t="s">
        <v>325</v>
      </c>
      <c r="J35" s="601" t="s">
        <v>339</v>
      </c>
    </row>
    <row r="36" spans="1:10" ht="14.4" customHeight="1" x14ac:dyDescent="0.3">
      <c r="A36" s="597" t="s">
        <v>343</v>
      </c>
      <c r="B36" s="598" t="s">
        <v>344</v>
      </c>
      <c r="C36" s="599" t="s">
        <v>325</v>
      </c>
      <c r="D36" s="599" t="s">
        <v>325</v>
      </c>
      <c r="E36" s="599"/>
      <c r="F36" s="599" t="s">
        <v>325</v>
      </c>
      <c r="G36" s="599" t="s">
        <v>325</v>
      </c>
      <c r="H36" s="599" t="s">
        <v>325</v>
      </c>
      <c r="I36" s="600" t="s">
        <v>325</v>
      </c>
      <c r="J36" s="601" t="s">
        <v>0</v>
      </c>
    </row>
    <row r="37" spans="1:10" ht="14.4" customHeight="1" x14ac:dyDescent="0.3">
      <c r="A37" s="597" t="s">
        <v>343</v>
      </c>
      <c r="B37" s="598" t="s">
        <v>1809</v>
      </c>
      <c r="C37" s="599">
        <v>0</v>
      </c>
      <c r="D37" s="599" t="s">
        <v>325</v>
      </c>
      <c r="E37" s="599"/>
      <c r="F37" s="599" t="s">
        <v>325</v>
      </c>
      <c r="G37" s="599" t="s">
        <v>325</v>
      </c>
      <c r="H37" s="599" t="s">
        <v>325</v>
      </c>
      <c r="I37" s="600" t="s">
        <v>325</v>
      </c>
      <c r="J37" s="601" t="s">
        <v>1</v>
      </c>
    </row>
    <row r="38" spans="1:10" ht="14.4" customHeight="1" x14ac:dyDescent="0.3">
      <c r="A38" s="597" t="s">
        <v>343</v>
      </c>
      <c r="B38" s="598" t="s">
        <v>1810</v>
      </c>
      <c r="C38" s="599">
        <v>0</v>
      </c>
      <c r="D38" s="599">
        <v>87.200500000000005</v>
      </c>
      <c r="E38" s="599"/>
      <c r="F38" s="599">
        <v>100.15891999999999</v>
      </c>
      <c r="G38" s="599">
        <v>150.99999524386601</v>
      </c>
      <c r="H38" s="599">
        <v>-50.841075243866015</v>
      </c>
      <c r="I38" s="600">
        <v>0.6633041268527371</v>
      </c>
      <c r="J38" s="601" t="s">
        <v>1</v>
      </c>
    </row>
    <row r="39" spans="1:10" ht="14.4" customHeight="1" x14ac:dyDescent="0.3">
      <c r="A39" s="597" t="s">
        <v>343</v>
      </c>
      <c r="B39" s="598" t="s">
        <v>1811</v>
      </c>
      <c r="C39" s="599">
        <v>21.466249999999</v>
      </c>
      <c r="D39" s="599">
        <v>6.9570500000000006</v>
      </c>
      <c r="E39" s="599"/>
      <c r="F39" s="599">
        <v>0.94899999999999995</v>
      </c>
      <c r="G39" s="599">
        <v>5.4999998267630001</v>
      </c>
      <c r="H39" s="599">
        <v>-4.5509998267630003</v>
      </c>
      <c r="I39" s="600">
        <v>0.17254545998022869</v>
      </c>
      <c r="J39" s="601" t="s">
        <v>1</v>
      </c>
    </row>
    <row r="40" spans="1:10" ht="14.4" customHeight="1" x14ac:dyDescent="0.3">
      <c r="A40" s="597" t="s">
        <v>343</v>
      </c>
      <c r="B40" s="598" t="s">
        <v>1813</v>
      </c>
      <c r="C40" s="599">
        <v>0</v>
      </c>
      <c r="D40" s="599" t="s">
        <v>325</v>
      </c>
      <c r="E40" s="599"/>
      <c r="F40" s="599" t="s">
        <v>325</v>
      </c>
      <c r="G40" s="599" t="s">
        <v>325</v>
      </c>
      <c r="H40" s="599" t="s">
        <v>325</v>
      </c>
      <c r="I40" s="600" t="s">
        <v>325</v>
      </c>
      <c r="J40" s="601" t="s">
        <v>1</v>
      </c>
    </row>
    <row r="41" spans="1:10" ht="14.4" customHeight="1" x14ac:dyDescent="0.3">
      <c r="A41" s="597" t="s">
        <v>343</v>
      </c>
      <c r="B41" s="598" t="s">
        <v>1814</v>
      </c>
      <c r="C41" s="599">
        <v>22.065829999998996</v>
      </c>
      <c r="D41" s="599">
        <v>25.535240000000002</v>
      </c>
      <c r="E41" s="599"/>
      <c r="F41" s="599">
        <v>24.664289999999998</v>
      </c>
      <c r="G41" s="599">
        <v>25.319688281007998</v>
      </c>
      <c r="H41" s="599">
        <v>-0.65539828100800079</v>
      </c>
      <c r="I41" s="600">
        <v>0.97411507307143241</v>
      </c>
      <c r="J41" s="601" t="s">
        <v>1</v>
      </c>
    </row>
    <row r="42" spans="1:10" ht="14.4" customHeight="1" x14ac:dyDescent="0.3">
      <c r="A42" s="597" t="s">
        <v>343</v>
      </c>
      <c r="B42" s="598" t="s">
        <v>1815</v>
      </c>
      <c r="C42" s="599">
        <v>23.014699999999998</v>
      </c>
      <c r="D42" s="599">
        <v>20.692420000000002</v>
      </c>
      <c r="E42" s="599"/>
      <c r="F42" s="599">
        <v>8.3880800000000004</v>
      </c>
      <c r="G42" s="599">
        <v>22.868122637677001</v>
      </c>
      <c r="H42" s="599">
        <v>-14.480042637677</v>
      </c>
      <c r="I42" s="600">
        <v>0.36680230086662163</v>
      </c>
      <c r="J42" s="601" t="s">
        <v>1</v>
      </c>
    </row>
    <row r="43" spans="1:10" ht="14.4" customHeight="1" x14ac:dyDescent="0.3">
      <c r="A43" s="597" t="s">
        <v>343</v>
      </c>
      <c r="B43" s="598" t="s">
        <v>1817</v>
      </c>
      <c r="C43" s="599">
        <v>24.952659999999</v>
      </c>
      <c r="D43" s="599">
        <v>31.569719999999997</v>
      </c>
      <c r="E43" s="599"/>
      <c r="F43" s="599">
        <v>37.672969999999999</v>
      </c>
      <c r="G43" s="599">
        <v>37.651691417871497</v>
      </c>
      <c r="H43" s="599">
        <v>2.1278582128502421E-2</v>
      </c>
      <c r="I43" s="600">
        <v>1.0005651427951097</v>
      </c>
      <c r="J43" s="601" t="s">
        <v>1</v>
      </c>
    </row>
    <row r="44" spans="1:10" ht="14.4" customHeight="1" x14ac:dyDescent="0.3">
      <c r="A44" s="597" t="s">
        <v>343</v>
      </c>
      <c r="B44" s="598" t="s">
        <v>1818</v>
      </c>
      <c r="C44" s="599">
        <v>0.67899999999899996</v>
      </c>
      <c r="D44" s="599">
        <v>1.0589999999999997</v>
      </c>
      <c r="E44" s="599"/>
      <c r="F44" s="599">
        <v>1.204</v>
      </c>
      <c r="G44" s="599">
        <v>0.77472898615600005</v>
      </c>
      <c r="H44" s="599">
        <v>0.4292710138439999</v>
      </c>
      <c r="I44" s="600">
        <v>1.5540918456839068</v>
      </c>
      <c r="J44" s="601" t="s">
        <v>1</v>
      </c>
    </row>
    <row r="45" spans="1:10" ht="14.4" customHeight="1" x14ac:dyDescent="0.3">
      <c r="A45" s="597" t="s">
        <v>343</v>
      </c>
      <c r="B45" s="598" t="s">
        <v>1819</v>
      </c>
      <c r="C45" s="599">
        <v>10.159610000000001</v>
      </c>
      <c r="D45" s="599">
        <v>14.051909999999999</v>
      </c>
      <c r="E45" s="599"/>
      <c r="F45" s="599">
        <v>16.865099999999998</v>
      </c>
      <c r="G45" s="599">
        <v>16.962206303892501</v>
      </c>
      <c r="H45" s="599">
        <v>-9.710630389250241E-2</v>
      </c>
      <c r="I45" s="600">
        <v>0.99427513719897287</v>
      </c>
      <c r="J45" s="601" t="s">
        <v>1</v>
      </c>
    </row>
    <row r="46" spans="1:10" ht="14.4" customHeight="1" x14ac:dyDescent="0.3">
      <c r="A46" s="597" t="s">
        <v>343</v>
      </c>
      <c r="B46" s="598" t="s">
        <v>1822</v>
      </c>
      <c r="C46" s="599">
        <v>273.45290999999901</v>
      </c>
      <c r="D46" s="599">
        <v>239.21877000000001</v>
      </c>
      <c r="E46" s="599"/>
      <c r="F46" s="599">
        <v>67.439310000000006</v>
      </c>
      <c r="G46" s="599">
        <v>186.78580564820049</v>
      </c>
      <c r="H46" s="599">
        <v>-119.34649564820049</v>
      </c>
      <c r="I46" s="600">
        <v>0.36105157865698734</v>
      </c>
      <c r="J46" s="601" t="s">
        <v>1</v>
      </c>
    </row>
    <row r="47" spans="1:10" ht="14.4" customHeight="1" x14ac:dyDescent="0.3">
      <c r="A47" s="597" t="s">
        <v>343</v>
      </c>
      <c r="B47" s="598" t="s">
        <v>345</v>
      </c>
      <c r="C47" s="599">
        <v>375.79095999999498</v>
      </c>
      <c r="D47" s="599">
        <v>426.28460999999999</v>
      </c>
      <c r="E47" s="599"/>
      <c r="F47" s="599">
        <v>257.34167000000002</v>
      </c>
      <c r="G47" s="599">
        <v>446.86223834543449</v>
      </c>
      <c r="H47" s="599">
        <v>-189.52056834543447</v>
      </c>
      <c r="I47" s="600">
        <v>0.57588591721878535</v>
      </c>
      <c r="J47" s="601" t="s">
        <v>338</v>
      </c>
    </row>
    <row r="48" spans="1:10" ht="14.4" customHeight="1" x14ac:dyDescent="0.3">
      <c r="A48" s="597" t="s">
        <v>325</v>
      </c>
      <c r="B48" s="598" t="s">
        <v>325</v>
      </c>
      <c r="C48" s="599" t="s">
        <v>325</v>
      </c>
      <c r="D48" s="599" t="s">
        <v>325</v>
      </c>
      <c r="E48" s="599"/>
      <c r="F48" s="599" t="s">
        <v>325</v>
      </c>
      <c r="G48" s="599" t="s">
        <v>325</v>
      </c>
      <c r="H48" s="599" t="s">
        <v>325</v>
      </c>
      <c r="I48" s="600" t="s">
        <v>325</v>
      </c>
      <c r="J48" s="601" t="s">
        <v>339</v>
      </c>
    </row>
    <row r="49" spans="1:10" ht="14.4" customHeight="1" x14ac:dyDescent="0.3">
      <c r="A49" s="597" t="s">
        <v>346</v>
      </c>
      <c r="B49" s="598" t="s">
        <v>347</v>
      </c>
      <c r="C49" s="599" t="s">
        <v>325</v>
      </c>
      <c r="D49" s="599" t="s">
        <v>325</v>
      </c>
      <c r="E49" s="599"/>
      <c r="F49" s="599" t="s">
        <v>325</v>
      </c>
      <c r="G49" s="599" t="s">
        <v>325</v>
      </c>
      <c r="H49" s="599" t="s">
        <v>325</v>
      </c>
      <c r="I49" s="600" t="s">
        <v>325</v>
      </c>
      <c r="J49" s="601" t="s">
        <v>0</v>
      </c>
    </row>
    <row r="50" spans="1:10" ht="14.4" customHeight="1" x14ac:dyDescent="0.3">
      <c r="A50" s="597" t="s">
        <v>346</v>
      </c>
      <c r="B50" s="598" t="s">
        <v>1810</v>
      </c>
      <c r="C50" s="599">
        <v>0</v>
      </c>
      <c r="D50" s="599" t="s">
        <v>325</v>
      </c>
      <c r="E50" s="599"/>
      <c r="F50" s="599" t="s">
        <v>325</v>
      </c>
      <c r="G50" s="599" t="s">
        <v>325</v>
      </c>
      <c r="H50" s="599" t="s">
        <v>325</v>
      </c>
      <c r="I50" s="600" t="s">
        <v>325</v>
      </c>
      <c r="J50" s="601" t="s">
        <v>1</v>
      </c>
    </row>
    <row r="51" spans="1:10" ht="14.4" customHeight="1" x14ac:dyDescent="0.3">
      <c r="A51" s="597" t="s">
        <v>346</v>
      </c>
      <c r="B51" s="598" t="s">
        <v>1811</v>
      </c>
      <c r="C51" s="599">
        <v>0</v>
      </c>
      <c r="D51" s="599" t="s">
        <v>325</v>
      </c>
      <c r="E51" s="599"/>
      <c r="F51" s="599" t="s">
        <v>325</v>
      </c>
      <c r="G51" s="599" t="s">
        <v>325</v>
      </c>
      <c r="H51" s="599" t="s">
        <v>325</v>
      </c>
      <c r="I51" s="600" t="s">
        <v>325</v>
      </c>
      <c r="J51" s="601" t="s">
        <v>1</v>
      </c>
    </row>
    <row r="52" spans="1:10" ht="14.4" customHeight="1" x14ac:dyDescent="0.3">
      <c r="A52" s="597" t="s">
        <v>346</v>
      </c>
      <c r="B52" s="598" t="s">
        <v>1814</v>
      </c>
      <c r="C52" s="599">
        <v>54.927419999999998</v>
      </c>
      <c r="D52" s="599">
        <v>47.379100000000008</v>
      </c>
      <c r="E52" s="599"/>
      <c r="F52" s="599">
        <v>43.734790000000004</v>
      </c>
      <c r="G52" s="599">
        <v>43.982057513659498</v>
      </c>
      <c r="H52" s="599">
        <v>-0.2472675136594944</v>
      </c>
      <c r="I52" s="600">
        <v>0.99437799121647052</v>
      </c>
      <c r="J52" s="601" t="s">
        <v>1</v>
      </c>
    </row>
    <row r="53" spans="1:10" ht="14.4" customHeight="1" x14ac:dyDescent="0.3">
      <c r="A53" s="597" t="s">
        <v>346</v>
      </c>
      <c r="B53" s="598" t="s">
        <v>1815</v>
      </c>
      <c r="C53" s="599">
        <v>14.880999999999002</v>
      </c>
      <c r="D53" s="599">
        <v>3.4522000000000004</v>
      </c>
      <c r="E53" s="599"/>
      <c r="F53" s="599">
        <v>2.9934000000000003</v>
      </c>
      <c r="G53" s="599">
        <v>5.5669941158135003</v>
      </c>
      <c r="H53" s="599">
        <v>-2.5735941158135001</v>
      </c>
      <c r="I53" s="600">
        <v>0.53770489742336958</v>
      </c>
      <c r="J53" s="601" t="s">
        <v>1</v>
      </c>
    </row>
    <row r="54" spans="1:10" ht="14.4" customHeight="1" x14ac:dyDescent="0.3">
      <c r="A54" s="597" t="s">
        <v>346</v>
      </c>
      <c r="B54" s="598" t="s">
        <v>1817</v>
      </c>
      <c r="C54" s="599">
        <v>75.951030000000003</v>
      </c>
      <c r="D54" s="599">
        <v>65.920369999999991</v>
      </c>
      <c r="E54" s="599"/>
      <c r="F54" s="599">
        <v>48.088970000000003</v>
      </c>
      <c r="G54" s="599">
        <v>73.266515156552998</v>
      </c>
      <c r="H54" s="599">
        <v>-25.177545156552995</v>
      </c>
      <c r="I54" s="600">
        <v>0.65635672581458793</v>
      </c>
      <c r="J54" s="601" t="s">
        <v>1</v>
      </c>
    </row>
    <row r="55" spans="1:10" ht="14.4" customHeight="1" x14ac:dyDescent="0.3">
      <c r="A55" s="597" t="s">
        <v>346</v>
      </c>
      <c r="B55" s="598" t="s">
        <v>1818</v>
      </c>
      <c r="C55" s="599">
        <v>0.94299999999999995</v>
      </c>
      <c r="D55" s="599">
        <v>1.1549999999999998</v>
      </c>
      <c r="E55" s="599"/>
      <c r="F55" s="599">
        <v>1.29</v>
      </c>
      <c r="G55" s="599">
        <v>0.80109226835299996</v>
      </c>
      <c r="H55" s="599">
        <v>0.48890773164700008</v>
      </c>
      <c r="I55" s="600">
        <v>1.6103013984296297</v>
      </c>
      <c r="J55" s="601" t="s">
        <v>1</v>
      </c>
    </row>
    <row r="56" spans="1:10" ht="14.4" customHeight="1" x14ac:dyDescent="0.3">
      <c r="A56" s="597" t="s">
        <v>346</v>
      </c>
      <c r="B56" s="598" t="s">
        <v>1819</v>
      </c>
      <c r="C56" s="599">
        <v>25.067879999999001</v>
      </c>
      <c r="D56" s="599">
        <v>19.740650000000002</v>
      </c>
      <c r="E56" s="599"/>
      <c r="F56" s="599">
        <v>15.59624</v>
      </c>
      <c r="G56" s="599">
        <v>24.787339460487999</v>
      </c>
      <c r="H56" s="599">
        <v>-9.1910994604879992</v>
      </c>
      <c r="I56" s="600">
        <v>0.62920185624847003</v>
      </c>
      <c r="J56" s="601" t="s">
        <v>1</v>
      </c>
    </row>
    <row r="57" spans="1:10" ht="14.4" customHeight="1" x14ac:dyDescent="0.3">
      <c r="A57" s="597" t="s">
        <v>346</v>
      </c>
      <c r="B57" s="598" t="s">
        <v>1822</v>
      </c>
      <c r="C57" s="599">
        <v>71.26849</v>
      </c>
      <c r="D57" s="599">
        <v>79.358909999999995</v>
      </c>
      <c r="E57" s="599"/>
      <c r="F57" s="599">
        <v>90.876059999999995</v>
      </c>
      <c r="G57" s="599">
        <v>101.346151585244</v>
      </c>
      <c r="H57" s="599">
        <v>-10.470091585244006</v>
      </c>
      <c r="I57" s="600">
        <v>0.89668979609514399</v>
      </c>
      <c r="J57" s="601" t="s">
        <v>1</v>
      </c>
    </row>
    <row r="58" spans="1:10" ht="14.4" customHeight="1" x14ac:dyDescent="0.3">
      <c r="A58" s="597" t="s">
        <v>346</v>
      </c>
      <c r="B58" s="598" t="s">
        <v>348</v>
      </c>
      <c r="C58" s="599">
        <v>243.038819999998</v>
      </c>
      <c r="D58" s="599">
        <v>217.00622999999996</v>
      </c>
      <c r="E58" s="599"/>
      <c r="F58" s="599">
        <v>202.57945999999998</v>
      </c>
      <c r="G58" s="599">
        <v>249.750150100111</v>
      </c>
      <c r="H58" s="599">
        <v>-47.170690100111017</v>
      </c>
      <c r="I58" s="600">
        <v>0.81112848147957906</v>
      </c>
      <c r="J58" s="601" t="s">
        <v>338</v>
      </c>
    </row>
    <row r="59" spans="1:10" ht="14.4" customHeight="1" x14ac:dyDescent="0.3">
      <c r="A59" s="597" t="s">
        <v>325</v>
      </c>
      <c r="B59" s="598" t="s">
        <v>325</v>
      </c>
      <c r="C59" s="599" t="s">
        <v>325</v>
      </c>
      <c r="D59" s="599" t="s">
        <v>325</v>
      </c>
      <c r="E59" s="599"/>
      <c r="F59" s="599" t="s">
        <v>325</v>
      </c>
      <c r="G59" s="599" t="s">
        <v>325</v>
      </c>
      <c r="H59" s="599" t="s">
        <v>325</v>
      </c>
      <c r="I59" s="600" t="s">
        <v>325</v>
      </c>
      <c r="J59" s="601" t="s">
        <v>339</v>
      </c>
    </row>
    <row r="60" spans="1:10" ht="14.4" customHeight="1" x14ac:dyDescent="0.3">
      <c r="A60" s="597" t="s">
        <v>349</v>
      </c>
      <c r="B60" s="598" t="s">
        <v>350</v>
      </c>
      <c r="C60" s="599" t="s">
        <v>325</v>
      </c>
      <c r="D60" s="599" t="s">
        <v>325</v>
      </c>
      <c r="E60" s="599"/>
      <c r="F60" s="599" t="s">
        <v>325</v>
      </c>
      <c r="G60" s="599" t="s">
        <v>325</v>
      </c>
      <c r="H60" s="599" t="s">
        <v>325</v>
      </c>
      <c r="I60" s="600" t="s">
        <v>325</v>
      </c>
      <c r="J60" s="601" t="s">
        <v>0</v>
      </c>
    </row>
    <row r="61" spans="1:10" ht="14.4" customHeight="1" x14ac:dyDescent="0.3">
      <c r="A61" s="597" t="s">
        <v>349</v>
      </c>
      <c r="B61" s="598" t="s">
        <v>1809</v>
      </c>
      <c r="C61" s="599">
        <v>2.7197900000000002</v>
      </c>
      <c r="D61" s="599">
        <v>3.37296</v>
      </c>
      <c r="E61" s="599"/>
      <c r="F61" s="599">
        <v>1.8768199999999999</v>
      </c>
      <c r="G61" s="599">
        <v>3.499999889758</v>
      </c>
      <c r="H61" s="599">
        <v>-1.6231798897580001</v>
      </c>
      <c r="I61" s="600">
        <v>0.53623430260444049</v>
      </c>
      <c r="J61" s="601" t="s">
        <v>1</v>
      </c>
    </row>
    <row r="62" spans="1:10" ht="14.4" customHeight="1" x14ac:dyDescent="0.3">
      <c r="A62" s="597" t="s">
        <v>349</v>
      </c>
      <c r="B62" s="598" t="s">
        <v>1810</v>
      </c>
      <c r="C62" s="599">
        <v>0</v>
      </c>
      <c r="D62" s="599" t="s">
        <v>325</v>
      </c>
      <c r="E62" s="599"/>
      <c r="F62" s="599" t="s">
        <v>325</v>
      </c>
      <c r="G62" s="599" t="s">
        <v>325</v>
      </c>
      <c r="H62" s="599" t="s">
        <v>325</v>
      </c>
      <c r="I62" s="600" t="s">
        <v>325</v>
      </c>
      <c r="J62" s="601" t="s">
        <v>1</v>
      </c>
    </row>
    <row r="63" spans="1:10" ht="14.4" customHeight="1" x14ac:dyDescent="0.3">
      <c r="A63" s="597" t="s">
        <v>349</v>
      </c>
      <c r="B63" s="598" t="s">
        <v>1812</v>
      </c>
      <c r="C63" s="599" t="s">
        <v>325</v>
      </c>
      <c r="D63" s="599">
        <v>0</v>
      </c>
      <c r="E63" s="599"/>
      <c r="F63" s="599">
        <v>0</v>
      </c>
      <c r="G63" s="599">
        <v>0.99999996850200001</v>
      </c>
      <c r="H63" s="599">
        <v>-0.99999996850200001</v>
      </c>
      <c r="I63" s="600">
        <v>0</v>
      </c>
      <c r="J63" s="601" t="s">
        <v>1</v>
      </c>
    </row>
    <row r="64" spans="1:10" ht="14.4" customHeight="1" x14ac:dyDescent="0.3">
      <c r="A64" s="597" t="s">
        <v>349</v>
      </c>
      <c r="B64" s="598" t="s">
        <v>1813</v>
      </c>
      <c r="C64" s="599">
        <v>2.0979999999999999E-2</v>
      </c>
      <c r="D64" s="599">
        <v>1.404E-2</v>
      </c>
      <c r="E64" s="599"/>
      <c r="F64" s="599">
        <v>0</v>
      </c>
      <c r="G64" s="599">
        <v>7.0199997785000013E-3</v>
      </c>
      <c r="H64" s="599">
        <v>-7.0199997785000013E-3</v>
      </c>
      <c r="I64" s="600">
        <v>0</v>
      </c>
      <c r="J64" s="601" t="s">
        <v>1</v>
      </c>
    </row>
    <row r="65" spans="1:10" ht="14.4" customHeight="1" x14ac:dyDescent="0.3">
      <c r="A65" s="597" t="s">
        <v>349</v>
      </c>
      <c r="B65" s="598" t="s">
        <v>1814</v>
      </c>
      <c r="C65" s="599">
        <v>24.661739999999995</v>
      </c>
      <c r="D65" s="599">
        <v>27.328849999999999</v>
      </c>
      <c r="E65" s="599"/>
      <c r="F65" s="599">
        <v>34.207799999999999</v>
      </c>
      <c r="G65" s="599">
        <v>44.999998582609003</v>
      </c>
      <c r="H65" s="599">
        <v>-10.792198582609004</v>
      </c>
      <c r="I65" s="600">
        <v>0.76017335727695268</v>
      </c>
      <c r="J65" s="601" t="s">
        <v>1</v>
      </c>
    </row>
    <row r="66" spans="1:10" ht="14.4" customHeight="1" x14ac:dyDescent="0.3">
      <c r="A66" s="597" t="s">
        <v>349</v>
      </c>
      <c r="B66" s="598" t="s">
        <v>1815</v>
      </c>
      <c r="C66" s="599">
        <v>54.192339999998993</v>
      </c>
      <c r="D66" s="599">
        <v>89.270520000000005</v>
      </c>
      <c r="E66" s="599"/>
      <c r="F66" s="599">
        <v>105.39418999999999</v>
      </c>
      <c r="G66" s="599">
        <v>111.9999964722715</v>
      </c>
      <c r="H66" s="599">
        <v>-6.6058064722715102</v>
      </c>
      <c r="I66" s="600">
        <v>0.94101958321126422</v>
      </c>
      <c r="J66" s="601" t="s">
        <v>1</v>
      </c>
    </row>
    <row r="67" spans="1:10" ht="14.4" customHeight="1" x14ac:dyDescent="0.3">
      <c r="A67" s="597" t="s">
        <v>349</v>
      </c>
      <c r="B67" s="598" t="s">
        <v>1816</v>
      </c>
      <c r="C67" s="599">
        <v>0</v>
      </c>
      <c r="D67" s="599" t="s">
        <v>325</v>
      </c>
      <c r="E67" s="599"/>
      <c r="F67" s="599" t="s">
        <v>325</v>
      </c>
      <c r="G67" s="599" t="s">
        <v>325</v>
      </c>
      <c r="H67" s="599" t="s">
        <v>325</v>
      </c>
      <c r="I67" s="600" t="s">
        <v>325</v>
      </c>
      <c r="J67" s="601" t="s">
        <v>1</v>
      </c>
    </row>
    <row r="68" spans="1:10" ht="14.4" customHeight="1" x14ac:dyDescent="0.3">
      <c r="A68" s="597" t="s">
        <v>349</v>
      </c>
      <c r="B68" s="598" t="s">
        <v>1817</v>
      </c>
      <c r="C68" s="599">
        <v>25.821730000000002</v>
      </c>
      <c r="D68" s="599">
        <v>33.063130000000001</v>
      </c>
      <c r="E68" s="599"/>
      <c r="F68" s="599">
        <v>35.881049999999995</v>
      </c>
      <c r="G68" s="599">
        <v>57.999998173140497</v>
      </c>
      <c r="H68" s="599">
        <v>-22.118948173140502</v>
      </c>
      <c r="I68" s="600">
        <v>0.61863881258907216</v>
      </c>
      <c r="J68" s="601" t="s">
        <v>1</v>
      </c>
    </row>
    <row r="69" spans="1:10" ht="14.4" customHeight="1" x14ac:dyDescent="0.3">
      <c r="A69" s="597" t="s">
        <v>349</v>
      </c>
      <c r="B69" s="598" t="s">
        <v>1818</v>
      </c>
      <c r="C69" s="599">
        <v>1.2989999999999999</v>
      </c>
      <c r="D69" s="599">
        <v>1.8667699999999998</v>
      </c>
      <c r="E69" s="599"/>
      <c r="F69" s="599">
        <v>1.3089999999999999</v>
      </c>
      <c r="G69" s="599">
        <v>0.87974975711500014</v>
      </c>
      <c r="H69" s="599">
        <v>0.4292502428849998</v>
      </c>
      <c r="I69" s="600">
        <v>1.4879231161059459</v>
      </c>
      <c r="J69" s="601" t="s">
        <v>1</v>
      </c>
    </row>
    <row r="70" spans="1:10" ht="14.4" customHeight="1" x14ac:dyDescent="0.3">
      <c r="A70" s="597" t="s">
        <v>349</v>
      </c>
      <c r="B70" s="598" t="s">
        <v>1819</v>
      </c>
      <c r="C70" s="599">
        <v>16.33015</v>
      </c>
      <c r="D70" s="599">
        <v>22.18375</v>
      </c>
      <c r="E70" s="599"/>
      <c r="F70" s="599">
        <v>20.2407</v>
      </c>
      <c r="G70" s="599">
        <v>23.999999244057999</v>
      </c>
      <c r="H70" s="599">
        <v>-3.7592992440579991</v>
      </c>
      <c r="I70" s="600">
        <v>0.84336252656388144</v>
      </c>
      <c r="J70" s="601" t="s">
        <v>1</v>
      </c>
    </row>
    <row r="71" spans="1:10" ht="14.4" customHeight="1" x14ac:dyDescent="0.3">
      <c r="A71" s="597" t="s">
        <v>349</v>
      </c>
      <c r="B71" s="598" t="s">
        <v>1822</v>
      </c>
      <c r="C71" s="599">
        <v>41.900049999999005</v>
      </c>
      <c r="D71" s="599">
        <v>63.567430000000002</v>
      </c>
      <c r="E71" s="599"/>
      <c r="F71" s="599">
        <v>123.12771000000001</v>
      </c>
      <c r="G71" s="599">
        <v>168.4999946926585</v>
      </c>
      <c r="H71" s="599">
        <v>-45.372284692658496</v>
      </c>
      <c r="I71" s="600">
        <v>0.73072827227432935</v>
      </c>
      <c r="J71" s="601" t="s">
        <v>1</v>
      </c>
    </row>
    <row r="72" spans="1:10" ht="14.4" customHeight="1" x14ac:dyDescent="0.3">
      <c r="A72" s="597" t="s">
        <v>349</v>
      </c>
      <c r="B72" s="598" t="s">
        <v>351</v>
      </c>
      <c r="C72" s="599">
        <v>166.945779999998</v>
      </c>
      <c r="D72" s="599">
        <v>240.66745000000003</v>
      </c>
      <c r="E72" s="599"/>
      <c r="F72" s="599">
        <v>322.03727000000003</v>
      </c>
      <c r="G72" s="599">
        <v>412.88675677989102</v>
      </c>
      <c r="H72" s="599">
        <v>-90.849486779890981</v>
      </c>
      <c r="I72" s="600">
        <v>0.77996512291063225</v>
      </c>
      <c r="J72" s="601" t="s">
        <v>338</v>
      </c>
    </row>
    <row r="73" spans="1:10" ht="14.4" customHeight="1" x14ac:dyDescent="0.3">
      <c r="A73" s="597" t="s">
        <v>325</v>
      </c>
      <c r="B73" s="598" t="s">
        <v>325</v>
      </c>
      <c r="C73" s="599" t="s">
        <v>325</v>
      </c>
      <c r="D73" s="599" t="s">
        <v>325</v>
      </c>
      <c r="E73" s="599"/>
      <c r="F73" s="599" t="s">
        <v>325</v>
      </c>
      <c r="G73" s="599" t="s">
        <v>325</v>
      </c>
      <c r="H73" s="599" t="s">
        <v>325</v>
      </c>
      <c r="I73" s="600" t="s">
        <v>325</v>
      </c>
      <c r="J73" s="601" t="s">
        <v>339</v>
      </c>
    </row>
    <row r="74" spans="1:10" ht="14.4" customHeight="1" x14ac:dyDescent="0.3">
      <c r="A74" s="597" t="s">
        <v>323</v>
      </c>
      <c r="B74" s="598" t="s">
        <v>333</v>
      </c>
      <c r="C74" s="599">
        <v>852.05300999999019</v>
      </c>
      <c r="D74" s="599">
        <v>993.11644999999999</v>
      </c>
      <c r="E74" s="599"/>
      <c r="F74" s="599">
        <v>873.7677799999999</v>
      </c>
      <c r="G74" s="599">
        <v>1221.3328805658739</v>
      </c>
      <c r="H74" s="599">
        <v>-347.56510056587399</v>
      </c>
      <c r="I74" s="600">
        <v>0.7154214824668943</v>
      </c>
      <c r="J74" s="601" t="s">
        <v>334</v>
      </c>
    </row>
  </sheetData>
  <mergeCells count="3">
    <mergeCell ref="A1:I1"/>
    <mergeCell ref="F3:I3"/>
    <mergeCell ref="C4:D4"/>
  </mergeCells>
  <conditionalFormatting sqref="F21 F75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4">
    <cfRule type="expression" dxfId="29" priority="5">
      <formula>$H22&gt;0</formula>
    </cfRule>
  </conditionalFormatting>
  <conditionalFormatting sqref="A22:A74">
    <cfRule type="expression" dxfId="28" priority="2">
      <formula>AND($J22&lt;&gt;"mezeraKL",$J22&lt;&gt;"")</formula>
    </cfRule>
  </conditionalFormatting>
  <conditionalFormatting sqref="I22:I74">
    <cfRule type="expression" dxfId="27" priority="6">
      <formula>$I22&gt;1</formula>
    </cfRule>
  </conditionalFormatting>
  <conditionalFormatting sqref="B22:B74">
    <cfRule type="expression" dxfId="26" priority="1">
      <formula>OR($J22="NS",$J22="SumaNS",$J22="Účet")</formula>
    </cfRule>
  </conditionalFormatting>
  <conditionalFormatting sqref="A22:D74 F22:I74">
    <cfRule type="expression" dxfId="25" priority="8">
      <formula>AND($J22&lt;&gt;"",$J22&lt;&gt;"mezeraKL")</formula>
    </cfRule>
  </conditionalFormatting>
  <conditionalFormatting sqref="B22:D74 F22:I74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4 F22:I74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8" hidden="1" customWidth="1" outlineLevel="1"/>
    <col min="2" max="2" width="28.33203125" style="248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8"/>
  </cols>
  <sheetData>
    <row r="1" spans="1:11" ht="18.600000000000001" customHeight="1" thickBot="1" x14ac:dyDescent="0.4">
      <c r="A1" s="496" t="s">
        <v>2340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1" ht="14.4" customHeight="1" thickBot="1" x14ac:dyDescent="0.35">
      <c r="A2" s="375" t="s">
        <v>320</v>
      </c>
      <c r="B2" s="61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1"/>
      <c r="B3" s="61"/>
      <c r="C3" s="492"/>
      <c r="D3" s="493"/>
      <c r="E3" s="493"/>
      <c r="F3" s="493"/>
      <c r="G3" s="493"/>
      <c r="H3" s="260" t="s">
        <v>153</v>
      </c>
      <c r="I3" s="201">
        <f>IF(J3&lt;&gt;0,K3/J3,0)</f>
        <v>6.0058159588513558</v>
      </c>
      <c r="J3" s="201">
        <f>SUBTOTAL(9,J5:J1048576)</f>
        <v>145424</v>
      </c>
      <c r="K3" s="202">
        <f>SUBTOTAL(9,K5:K1048576)</f>
        <v>873389.77999999956</v>
      </c>
    </row>
    <row r="4" spans="1:11" s="330" customFormat="1" ht="14.4" customHeight="1" thickBot="1" x14ac:dyDescent="0.35">
      <c r="A4" s="705" t="s">
        <v>4</v>
      </c>
      <c r="B4" s="706" t="s">
        <v>5</v>
      </c>
      <c r="C4" s="706" t="s">
        <v>0</v>
      </c>
      <c r="D4" s="706" t="s">
        <v>6</v>
      </c>
      <c r="E4" s="706" t="s">
        <v>7</v>
      </c>
      <c r="F4" s="706" t="s">
        <v>1</v>
      </c>
      <c r="G4" s="706" t="s">
        <v>84</v>
      </c>
      <c r="H4" s="604" t="s">
        <v>11</v>
      </c>
      <c r="I4" s="605" t="s">
        <v>177</v>
      </c>
      <c r="J4" s="605" t="s">
        <v>13</v>
      </c>
      <c r="K4" s="606" t="s">
        <v>194</v>
      </c>
    </row>
    <row r="5" spans="1:11" ht="14.4" customHeight="1" x14ac:dyDescent="0.3">
      <c r="A5" s="688" t="s">
        <v>323</v>
      </c>
      <c r="B5" s="689" t="s">
        <v>1112</v>
      </c>
      <c r="C5" s="692" t="s">
        <v>340</v>
      </c>
      <c r="D5" s="707" t="s">
        <v>1113</v>
      </c>
      <c r="E5" s="692" t="s">
        <v>2316</v>
      </c>
      <c r="F5" s="707" t="s">
        <v>2317</v>
      </c>
      <c r="G5" s="692" t="s">
        <v>1823</v>
      </c>
      <c r="H5" s="692" t="s">
        <v>1824</v>
      </c>
      <c r="I5" s="223">
        <v>156.12</v>
      </c>
      <c r="J5" s="223">
        <v>1</v>
      </c>
      <c r="K5" s="702">
        <v>156.12</v>
      </c>
    </row>
    <row r="6" spans="1:11" ht="14.4" customHeight="1" x14ac:dyDescent="0.3">
      <c r="A6" s="613" t="s">
        <v>323</v>
      </c>
      <c r="B6" s="614" t="s">
        <v>1112</v>
      </c>
      <c r="C6" s="615" t="s">
        <v>340</v>
      </c>
      <c r="D6" s="616" t="s">
        <v>1113</v>
      </c>
      <c r="E6" s="615" t="s">
        <v>2316</v>
      </c>
      <c r="F6" s="616" t="s">
        <v>2317</v>
      </c>
      <c r="G6" s="615" t="s">
        <v>1825</v>
      </c>
      <c r="H6" s="615" t="s">
        <v>1826</v>
      </c>
      <c r="I6" s="617">
        <v>260.29500000000002</v>
      </c>
      <c r="J6" s="617">
        <v>2</v>
      </c>
      <c r="K6" s="618">
        <v>520.59</v>
      </c>
    </row>
    <row r="7" spans="1:11" ht="14.4" customHeight="1" x14ac:dyDescent="0.3">
      <c r="A7" s="613" t="s">
        <v>323</v>
      </c>
      <c r="B7" s="614" t="s">
        <v>1112</v>
      </c>
      <c r="C7" s="615" t="s">
        <v>340</v>
      </c>
      <c r="D7" s="616" t="s">
        <v>1113</v>
      </c>
      <c r="E7" s="615" t="s">
        <v>2316</v>
      </c>
      <c r="F7" s="616" t="s">
        <v>2317</v>
      </c>
      <c r="G7" s="615" t="s">
        <v>1827</v>
      </c>
      <c r="H7" s="615" t="s">
        <v>1828</v>
      </c>
      <c r="I7" s="617">
        <v>12.074999999999999</v>
      </c>
      <c r="J7" s="617">
        <v>40</v>
      </c>
      <c r="K7" s="618">
        <v>483</v>
      </c>
    </row>
    <row r="8" spans="1:11" ht="14.4" customHeight="1" x14ac:dyDescent="0.3">
      <c r="A8" s="613" t="s">
        <v>323</v>
      </c>
      <c r="B8" s="614" t="s">
        <v>1112</v>
      </c>
      <c r="C8" s="615" t="s">
        <v>340</v>
      </c>
      <c r="D8" s="616" t="s">
        <v>1113</v>
      </c>
      <c r="E8" s="615" t="s">
        <v>2316</v>
      </c>
      <c r="F8" s="616" t="s">
        <v>2317</v>
      </c>
      <c r="G8" s="615" t="s">
        <v>1829</v>
      </c>
      <c r="H8" s="615" t="s">
        <v>1830</v>
      </c>
      <c r="I8" s="617">
        <v>3.01</v>
      </c>
      <c r="J8" s="617">
        <v>160</v>
      </c>
      <c r="K8" s="618">
        <v>481.6</v>
      </c>
    </row>
    <row r="9" spans="1:11" ht="14.4" customHeight="1" x14ac:dyDescent="0.3">
      <c r="A9" s="613" t="s">
        <v>323</v>
      </c>
      <c r="B9" s="614" t="s">
        <v>1112</v>
      </c>
      <c r="C9" s="615" t="s">
        <v>340</v>
      </c>
      <c r="D9" s="616" t="s">
        <v>1113</v>
      </c>
      <c r="E9" s="615" t="s">
        <v>2316</v>
      </c>
      <c r="F9" s="616" t="s">
        <v>2317</v>
      </c>
      <c r="G9" s="615" t="s">
        <v>1831</v>
      </c>
      <c r="H9" s="615" t="s">
        <v>1832</v>
      </c>
      <c r="I9" s="617">
        <v>1.38</v>
      </c>
      <c r="J9" s="617">
        <v>200</v>
      </c>
      <c r="K9" s="618">
        <v>276</v>
      </c>
    </row>
    <row r="10" spans="1:11" ht="14.4" customHeight="1" x14ac:dyDescent="0.3">
      <c r="A10" s="613" t="s">
        <v>323</v>
      </c>
      <c r="B10" s="614" t="s">
        <v>1112</v>
      </c>
      <c r="C10" s="615" t="s">
        <v>340</v>
      </c>
      <c r="D10" s="616" t="s">
        <v>1113</v>
      </c>
      <c r="E10" s="615" t="s">
        <v>2316</v>
      </c>
      <c r="F10" s="616" t="s">
        <v>2317</v>
      </c>
      <c r="G10" s="615" t="s">
        <v>1833</v>
      </c>
      <c r="H10" s="615" t="s">
        <v>1834</v>
      </c>
      <c r="I10" s="617">
        <v>0.62</v>
      </c>
      <c r="J10" s="617">
        <v>1500</v>
      </c>
      <c r="K10" s="618">
        <v>930</v>
      </c>
    </row>
    <row r="11" spans="1:11" ht="14.4" customHeight="1" x14ac:dyDescent="0.3">
      <c r="A11" s="613" t="s">
        <v>323</v>
      </c>
      <c r="B11" s="614" t="s">
        <v>1112</v>
      </c>
      <c r="C11" s="615" t="s">
        <v>340</v>
      </c>
      <c r="D11" s="616" t="s">
        <v>1113</v>
      </c>
      <c r="E11" s="615" t="s">
        <v>2316</v>
      </c>
      <c r="F11" s="616" t="s">
        <v>2317</v>
      </c>
      <c r="G11" s="615" t="s">
        <v>1835</v>
      </c>
      <c r="H11" s="615" t="s">
        <v>1836</v>
      </c>
      <c r="I11" s="617">
        <v>27.94</v>
      </c>
      <c r="J11" s="617">
        <v>3</v>
      </c>
      <c r="K11" s="618">
        <v>83.82</v>
      </c>
    </row>
    <row r="12" spans="1:11" ht="14.4" customHeight="1" x14ac:dyDescent="0.3">
      <c r="A12" s="613" t="s">
        <v>323</v>
      </c>
      <c r="B12" s="614" t="s">
        <v>1112</v>
      </c>
      <c r="C12" s="615" t="s">
        <v>340</v>
      </c>
      <c r="D12" s="616" t="s">
        <v>1113</v>
      </c>
      <c r="E12" s="615" t="s">
        <v>2316</v>
      </c>
      <c r="F12" s="616" t="s">
        <v>2317</v>
      </c>
      <c r="G12" s="615" t="s">
        <v>1837</v>
      </c>
      <c r="H12" s="615" t="s">
        <v>1838</v>
      </c>
      <c r="I12" s="617">
        <v>1.18</v>
      </c>
      <c r="J12" s="617">
        <v>1000</v>
      </c>
      <c r="K12" s="618">
        <v>1180</v>
      </c>
    </row>
    <row r="13" spans="1:11" ht="14.4" customHeight="1" x14ac:dyDescent="0.3">
      <c r="A13" s="613" t="s">
        <v>323</v>
      </c>
      <c r="B13" s="614" t="s">
        <v>1112</v>
      </c>
      <c r="C13" s="615" t="s">
        <v>340</v>
      </c>
      <c r="D13" s="616" t="s">
        <v>1113</v>
      </c>
      <c r="E13" s="615" t="s">
        <v>2316</v>
      </c>
      <c r="F13" s="616" t="s">
        <v>2317</v>
      </c>
      <c r="G13" s="615" t="s">
        <v>1839</v>
      </c>
      <c r="H13" s="615" t="s">
        <v>1840</v>
      </c>
      <c r="I13" s="617">
        <v>13.16</v>
      </c>
      <c r="J13" s="617">
        <v>24</v>
      </c>
      <c r="K13" s="618">
        <v>315.74</v>
      </c>
    </row>
    <row r="14" spans="1:11" ht="14.4" customHeight="1" x14ac:dyDescent="0.3">
      <c r="A14" s="613" t="s">
        <v>323</v>
      </c>
      <c r="B14" s="614" t="s">
        <v>1112</v>
      </c>
      <c r="C14" s="615" t="s">
        <v>340</v>
      </c>
      <c r="D14" s="616" t="s">
        <v>1113</v>
      </c>
      <c r="E14" s="615" t="s">
        <v>2316</v>
      </c>
      <c r="F14" s="616" t="s">
        <v>2317</v>
      </c>
      <c r="G14" s="615" t="s">
        <v>1841</v>
      </c>
      <c r="H14" s="615" t="s">
        <v>1842</v>
      </c>
      <c r="I14" s="617">
        <v>26.37</v>
      </c>
      <c r="J14" s="617">
        <v>36</v>
      </c>
      <c r="K14" s="618">
        <v>949.31</v>
      </c>
    </row>
    <row r="15" spans="1:11" ht="14.4" customHeight="1" x14ac:dyDescent="0.3">
      <c r="A15" s="613" t="s">
        <v>323</v>
      </c>
      <c r="B15" s="614" t="s">
        <v>1112</v>
      </c>
      <c r="C15" s="615" t="s">
        <v>340</v>
      </c>
      <c r="D15" s="616" t="s">
        <v>1113</v>
      </c>
      <c r="E15" s="615" t="s">
        <v>2316</v>
      </c>
      <c r="F15" s="616" t="s">
        <v>2317</v>
      </c>
      <c r="G15" s="615" t="s">
        <v>1843</v>
      </c>
      <c r="H15" s="615" t="s">
        <v>1844</v>
      </c>
      <c r="I15" s="617">
        <v>191.13</v>
      </c>
      <c r="J15" s="617">
        <v>23</v>
      </c>
      <c r="K15" s="618">
        <v>4395.99</v>
      </c>
    </row>
    <row r="16" spans="1:11" ht="14.4" customHeight="1" x14ac:dyDescent="0.3">
      <c r="A16" s="613" t="s">
        <v>323</v>
      </c>
      <c r="B16" s="614" t="s">
        <v>1112</v>
      </c>
      <c r="C16" s="615" t="s">
        <v>340</v>
      </c>
      <c r="D16" s="616" t="s">
        <v>1113</v>
      </c>
      <c r="E16" s="615" t="s">
        <v>2316</v>
      </c>
      <c r="F16" s="616" t="s">
        <v>2317</v>
      </c>
      <c r="G16" s="615" t="s">
        <v>1845</v>
      </c>
      <c r="H16" s="615" t="s">
        <v>1846</v>
      </c>
      <c r="I16" s="617">
        <v>790.88</v>
      </c>
      <c r="J16" s="617">
        <v>3</v>
      </c>
      <c r="K16" s="618">
        <v>2372.64</v>
      </c>
    </row>
    <row r="17" spans="1:11" ht="14.4" customHeight="1" x14ac:dyDescent="0.3">
      <c r="A17" s="613" t="s">
        <v>323</v>
      </c>
      <c r="B17" s="614" t="s">
        <v>1112</v>
      </c>
      <c r="C17" s="615" t="s">
        <v>340</v>
      </c>
      <c r="D17" s="616" t="s">
        <v>1113</v>
      </c>
      <c r="E17" s="615" t="s">
        <v>2316</v>
      </c>
      <c r="F17" s="616" t="s">
        <v>2317</v>
      </c>
      <c r="G17" s="615" t="s">
        <v>1847</v>
      </c>
      <c r="H17" s="615" t="s">
        <v>1848</v>
      </c>
      <c r="I17" s="617">
        <v>0.31</v>
      </c>
      <c r="J17" s="617">
        <v>25</v>
      </c>
      <c r="K17" s="618">
        <v>7.75</v>
      </c>
    </row>
    <row r="18" spans="1:11" ht="14.4" customHeight="1" x14ac:dyDescent="0.3">
      <c r="A18" s="613" t="s">
        <v>323</v>
      </c>
      <c r="B18" s="614" t="s">
        <v>1112</v>
      </c>
      <c r="C18" s="615" t="s">
        <v>340</v>
      </c>
      <c r="D18" s="616" t="s">
        <v>1113</v>
      </c>
      <c r="E18" s="615" t="s">
        <v>2316</v>
      </c>
      <c r="F18" s="616" t="s">
        <v>2317</v>
      </c>
      <c r="G18" s="615" t="s">
        <v>1849</v>
      </c>
      <c r="H18" s="615" t="s">
        <v>1850</v>
      </c>
      <c r="I18" s="617">
        <v>7.1</v>
      </c>
      <c r="J18" s="617">
        <v>2</v>
      </c>
      <c r="K18" s="618">
        <v>14.2</v>
      </c>
    </row>
    <row r="19" spans="1:11" ht="14.4" customHeight="1" x14ac:dyDescent="0.3">
      <c r="A19" s="613" t="s">
        <v>323</v>
      </c>
      <c r="B19" s="614" t="s">
        <v>1112</v>
      </c>
      <c r="C19" s="615" t="s">
        <v>340</v>
      </c>
      <c r="D19" s="616" t="s">
        <v>1113</v>
      </c>
      <c r="E19" s="615" t="s">
        <v>2316</v>
      </c>
      <c r="F19" s="616" t="s">
        <v>2317</v>
      </c>
      <c r="G19" s="615" t="s">
        <v>1851</v>
      </c>
      <c r="H19" s="615" t="s">
        <v>1852</v>
      </c>
      <c r="I19" s="617">
        <v>8.2799999999999994</v>
      </c>
      <c r="J19" s="617">
        <v>1</v>
      </c>
      <c r="K19" s="618">
        <v>8.2799999999999994</v>
      </c>
    </row>
    <row r="20" spans="1:11" ht="14.4" customHeight="1" x14ac:dyDescent="0.3">
      <c r="A20" s="613" t="s">
        <v>323</v>
      </c>
      <c r="B20" s="614" t="s">
        <v>1112</v>
      </c>
      <c r="C20" s="615" t="s">
        <v>340</v>
      </c>
      <c r="D20" s="616" t="s">
        <v>1113</v>
      </c>
      <c r="E20" s="615" t="s">
        <v>2316</v>
      </c>
      <c r="F20" s="616" t="s">
        <v>2317</v>
      </c>
      <c r="G20" s="615" t="s">
        <v>1853</v>
      </c>
      <c r="H20" s="615" t="s">
        <v>1854</v>
      </c>
      <c r="I20" s="617">
        <v>5.92</v>
      </c>
      <c r="J20" s="617">
        <v>2</v>
      </c>
      <c r="K20" s="618">
        <v>11.83</v>
      </c>
    </row>
    <row r="21" spans="1:11" ht="14.4" customHeight="1" x14ac:dyDescent="0.3">
      <c r="A21" s="613" t="s">
        <v>323</v>
      </c>
      <c r="B21" s="614" t="s">
        <v>1112</v>
      </c>
      <c r="C21" s="615" t="s">
        <v>340</v>
      </c>
      <c r="D21" s="616" t="s">
        <v>1113</v>
      </c>
      <c r="E21" s="615" t="s">
        <v>2316</v>
      </c>
      <c r="F21" s="616" t="s">
        <v>2317</v>
      </c>
      <c r="G21" s="615" t="s">
        <v>1855</v>
      </c>
      <c r="H21" s="615" t="s">
        <v>1856</v>
      </c>
      <c r="I21" s="617">
        <v>2.67</v>
      </c>
      <c r="J21" s="617">
        <v>15</v>
      </c>
      <c r="K21" s="618">
        <v>40.07</v>
      </c>
    </row>
    <row r="22" spans="1:11" ht="14.4" customHeight="1" x14ac:dyDescent="0.3">
      <c r="A22" s="613" t="s">
        <v>323</v>
      </c>
      <c r="B22" s="614" t="s">
        <v>1112</v>
      </c>
      <c r="C22" s="615" t="s">
        <v>340</v>
      </c>
      <c r="D22" s="616" t="s">
        <v>1113</v>
      </c>
      <c r="E22" s="615" t="s">
        <v>2316</v>
      </c>
      <c r="F22" s="616" t="s">
        <v>2317</v>
      </c>
      <c r="G22" s="615" t="s">
        <v>1857</v>
      </c>
      <c r="H22" s="615" t="s">
        <v>1858</v>
      </c>
      <c r="I22" s="617">
        <v>5.28</v>
      </c>
      <c r="J22" s="617">
        <v>40</v>
      </c>
      <c r="K22" s="618">
        <v>211.2</v>
      </c>
    </row>
    <row r="23" spans="1:11" ht="14.4" customHeight="1" x14ac:dyDescent="0.3">
      <c r="A23" s="613" t="s">
        <v>323</v>
      </c>
      <c r="B23" s="614" t="s">
        <v>1112</v>
      </c>
      <c r="C23" s="615" t="s">
        <v>340</v>
      </c>
      <c r="D23" s="616" t="s">
        <v>1113</v>
      </c>
      <c r="E23" s="615" t="s">
        <v>2316</v>
      </c>
      <c r="F23" s="616" t="s">
        <v>2317</v>
      </c>
      <c r="G23" s="615" t="s">
        <v>1859</v>
      </c>
      <c r="H23" s="615" t="s">
        <v>1860</v>
      </c>
      <c r="I23" s="617">
        <v>0.62</v>
      </c>
      <c r="J23" s="617">
        <v>4800</v>
      </c>
      <c r="K23" s="618">
        <v>2976</v>
      </c>
    </row>
    <row r="24" spans="1:11" ht="14.4" customHeight="1" x14ac:dyDescent="0.3">
      <c r="A24" s="613" t="s">
        <v>323</v>
      </c>
      <c r="B24" s="614" t="s">
        <v>1112</v>
      </c>
      <c r="C24" s="615" t="s">
        <v>340</v>
      </c>
      <c r="D24" s="616" t="s">
        <v>1113</v>
      </c>
      <c r="E24" s="615" t="s">
        <v>2316</v>
      </c>
      <c r="F24" s="616" t="s">
        <v>2317</v>
      </c>
      <c r="G24" s="615" t="s">
        <v>1861</v>
      </c>
      <c r="H24" s="615" t="s">
        <v>1862</v>
      </c>
      <c r="I24" s="617">
        <v>111.59</v>
      </c>
      <c r="J24" s="617">
        <v>20</v>
      </c>
      <c r="K24" s="618">
        <v>2231.79</v>
      </c>
    </row>
    <row r="25" spans="1:11" ht="14.4" customHeight="1" x14ac:dyDescent="0.3">
      <c r="A25" s="613" t="s">
        <v>323</v>
      </c>
      <c r="B25" s="614" t="s">
        <v>1112</v>
      </c>
      <c r="C25" s="615" t="s">
        <v>340</v>
      </c>
      <c r="D25" s="616" t="s">
        <v>1113</v>
      </c>
      <c r="E25" s="615" t="s">
        <v>2318</v>
      </c>
      <c r="F25" s="616" t="s">
        <v>2319</v>
      </c>
      <c r="G25" s="615" t="s">
        <v>1863</v>
      </c>
      <c r="H25" s="615" t="s">
        <v>1864</v>
      </c>
      <c r="I25" s="617">
        <v>1.0925</v>
      </c>
      <c r="J25" s="617">
        <v>1100</v>
      </c>
      <c r="K25" s="618">
        <v>1201</v>
      </c>
    </row>
    <row r="26" spans="1:11" ht="14.4" customHeight="1" x14ac:dyDescent="0.3">
      <c r="A26" s="613" t="s">
        <v>323</v>
      </c>
      <c r="B26" s="614" t="s">
        <v>1112</v>
      </c>
      <c r="C26" s="615" t="s">
        <v>340</v>
      </c>
      <c r="D26" s="616" t="s">
        <v>1113</v>
      </c>
      <c r="E26" s="615" t="s">
        <v>2318</v>
      </c>
      <c r="F26" s="616" t="s">
        <v>2319</v>
      </c>
      <c r="G26" s="615" t="s">
        <v>1865</v>
      </c>
      <c r="H26" s="615" t="s">
        <v>1866</v>
      </c>
      <c r="I26" s="617">
        <v>1.68</v>
      </c>
      <c r="J26" s="617">
        <v>600</v>
      </c>
      <c r="K26" s="618">
        <v>1008</v>
      </c>
    </row>
    <row r="27" spans="1:11" ht="14.4" customHeight="1" x14ac:dyDescent="0.3">
      <c r="A27" s="613" t="s">
        <v>323</v>
      </c>
      <c r="B27" s="614" t="s">
        <v>1112</v>
      </c>
      <c r="C27" s="615" t="s">
        <v>340</v>
      </c>
      <c r="D27" s="616" t="s">
        <v>1113</v>
      </c>
      <c r="E27" s="615" t="s">
        <v>2318</v>
      </c>
      <c r="F27" s="616" t="s">
        <v>2319</v>
      </c>
      <c r="G27" s="615" t="s">
        <v>1867</v>
      </c>
      <c r="H27" s="615" t="s">
        <v>1868</v>
      </c>
      <c r="I27" s="617">
        <v>0.47499999999999998</v>
      </c>
      <c r="J27" s="617">
        <v>400</v>
      </c>
      <c r="K27" s="618">
        <v>190</v>
      </c>
    </row>
    <row r="28" spans="1:11" ht="14.4" customHeight="1" x14ac:dyDescent="0.3">
      <c r="A28" s="613" t="s">
        <v>323</v>
      </c>
      <c r="B28" s="614" t="s">
        <v>1112</v>
      </c>
      <c r="C28" s="615" t="s">
        <v>340</v>
      </c>
      <c r="D28" s="616" t="s">
        <v>1113</v>
      </c>
      <c r="E28" s="615" t="s">
        <v>2318</v>
      </c>
      <c r="F28" s="616" t="s">
        <v>2319</v>
      </c>
      <c r="G28" s="615" t="s">
        <v>1869</v>
      </c>
      <c r="H28" s="615" t="s">
        <v>1870</v>
      </c>
      <c r="I28" s="617">
        <v>0.67</v>
      </c>
      <c r="J28" s="617">
        <v>900</v>
      </c>
      <c r="K28" s="618">
        <v>603</v>
      </c>
    </row>
    <row r="29" spans="1:11" ht="14.4" customHeight="1" x14ac:dyDescent="0.3">
      <c r="A29" s="613" t="s">
        <v>323</v>
      </c>
      <c r="B29" s="614" t="s">
        <v>1112</v>
      </c>
      <c r="C29" s="615" t="s">
        <v>340</v>
      </c>
      <c r="D29" s="616" t="s">
        <v>1113</v>
      </c>
      <c r="E29" s="615" t="s">
        <v>2318</v>
      </c>
      <c r="F29" s="616" t="s">
        <v>2319</v>
      </c>
      <c r="G29" s="615" t="s">
        <v>1871</v>
      </c>
      <c r="H29" s="615" t="s">
        <v>1872</v>
      </c>
      <c r="I29" s="617">
        <v>22.549999999999997</v>
      </c>
      <c r="J29" s="617">
        <v>8</v>
      </c>
      <c r="K29" s="618">
        <v>180.34</v>
      </c>
    </row>
    <row r="30" spans="1:11" ht="14.4" customHeight="1" x14ac:dyDescent="0.3">
      <c r="A30" s="613" t="s">
        <v>323</v>
      </c>
      <c r="B30" s="614" t="s">
        <v>1112</v>
      </c>
      <c r="C30" s="615" t="s">
        <v>340</v>
      </c>
      <c r="D30" s="616" t="s">
        <v>1113</v>
      </c>
      <c r="E30" s="615" t="s">
        <v>2318</v>
      </c>
      <c r="F30" s="616" t="s">
        <v>2319</v>
      </c>
      <c r="G30" s="615" t="s">
        <v>1873</v>
      </c>
      <c r="H30" s="615" t="s">
        <v>1874</v>
      </c>
      <c r="I30" s="617">
        <v>206.05</v>
      </c>
      <c r="J30" s="617">
        <v>3</v>
      </c>
      <c r="K30" s="618">
        <v>618.15</v>
      </c>
    </row>
    <row r="31" spans="1:11" ht="14.4" customHeight="1" x14ac:dyDescent="0.3">
      <c r="A31" s="613" t="s">
        <v>323</v>
      </c>
      <c r="B31" s="614" t="s">
        <v>1112</v>
      </c>
      <c r="C31" s="615" t="s">
        <v>340</v>
      </c>
      <c r="D31" s="616" t="s">
        <v>1113</v>
      </c>
      <c r="E31" s="615" t="s">
        <v>2318</v>
      </c>
      <c r="F31" s="616" t="s">
        <v>2319</v>
      </c>
      <c r="G31" s="615" t="s">
        <v>1875</v>
      </c>
      <c r="H31" s="615" t="s">
        <v>1876</v>
      </c>
      <c r="I31" s="617">
        <v>1.9</v>
      </c>
      <c r="J31" s="617">
        <v>50</v>
      </c>
      <c r="K31" s="618">
        <v>95</v>
      </c>
    </row>
    <row r="32" spans="1:11" ht="14.4" customHeight="1" x14ac:dyDescent="0.3">
      <c r="A32" s="613" t="s">
        <v>323</v>
      </c>
      <c r="B32" s="614" t="s">
        <v>1112</v>
      </c>
      <c r="C32" s="615" t="s">
        <v>340</v>
      </c>
      <c r="D32" s="616" t="s">
        <v>1113</v>
      </c>
      <c r="E32" s="615" t="s">
        <v>2318</v>
      </c>
      <c r="F32" s="616" t="s">
        <v>2319</v>
      </c>
      <c r="G32" s="615" t="s">
        <v>1877</v>
      </c>
      <c r="H32" s="615" t="s">
        <v>1878</v>
      </c>
      <c r="I32" s="617">
        <v>2.375</v>
      </c>
      <c r="J32" s="617">
        <v>100</v>
      </c>
      <c r="K32" s="618">
        <v>237.5</v>
      </c>
    </row>
    <row r="33" spans="1:11" ht="14.4" customHeight="1" x14ac:dyDescent="0.3">
      <c r="A33" s="613" t="s">
        <v>323</v>
      </c>
      <c r="B33" s="614" t="s">
        <v>1112</v>
      </c>
      <c r="C33" s="615" t="s">
        <v>340</v>
      </c>
      <c r="D33" s="616" t="s">
        <v>1113</v>
      </c>
      <c r="E33" s="615" t="s">
        <v>2318</v>
      </c>
      <c r="F33" s="616" t="s">
        <v>2319</v>
      </c>
      <c r="G33" s="615" t="s">
        <v>1879</v>
      </c>
      <c r="H33" s="615" t="s">
        <v>1880</v>
      </c>
      <c r="I33" s="617">
        <v>1.9849999999999999</v>
      </c>
      <c r="J33" s="617">
        <v>100</v>
      </c>
      <c r="K33" s="618">
        <v>198.5</v>
      </c>
    </row>
    <row r="34" spans="1:11" ht="14.4" customHeight="1" x14ac:dyDescent="0.3">
      <c r="A34" s="613" t="s">
        <v>323</v>
      </c>
      <c r="B34" s="614" t="s">
        <v>1112</v>
      </c>
      <c r="C34" s="615" t="s">
        <v>340</v>
      </c>
      <c r="D34" s="616" t="s">
        <v>1113</v>
      </c>
      <c r="E34" s="615" t="s">
        <v>2318</v>
      </c>
      <c r="F34" s="616" t="s">
        <v>2319</v>
      </c>
      <c r="G34" s="615" t="s">
        <v>1881</v>
      </c>
      <c r="H34" s="615" t="s">
        <v>1882</v>
      </c>
      <c r="I34" s="617">
        <v>3.1</v>
      </c>
      <c r="J34" s="617">
        <v>50</v>
      </c>
      <c r="K34" s="618">
        <v>155</v>
      </c>
    </row>
    <row r="35" spans="1:11" ht="14.4" customHeight="1" x14ac:dyDescent="0.3">
      <c r="A35" s="613" t="s">
        <v>323</v>
      </c>
      <c r="B35" s="614" t="s">
        <v>1112</v>
      </c>
      <c r="C35" s="615" t="s">
        <v>340</v>
      </c>
      <c r="D35" s="616" t="s">
        <v>1113</v>
      </c>
      <c r="E35" s="615" t="s">
        <v>2318</v>
      </c>
      <c r="F35" s="616" t="s">
        <v>2319</v>
      </c>
      <c r="G35" s="615" t="s">
        <v>1883</v>
      </c>
      <c r="H35" s="615" t="s">
        <v>1884</v>
      </c>
      <c r="I35" s="617">
        <v>1.4000000000000002E-2</v>
      </c>
      <c r="J35" s="617">
        <v>250</v>
      </c>
      <c r="K35" s="618">
        <v>3.5</v>
      </c>
    </row>
    <row r="36" spans="1:11" ht="14.4" customHeight="1" x14ac:dyDescent="0.3">
      <c r="A36" s="613" t="s">
        <v>323</v>
      </c>
      <c r="B36" s="614" t="s">
        <v>1112</v>
      </c>
      <c r="C36" s="615" t="s">
        <v>340</v>
      </c>
      <c r="D36" s="616" t="s">
        <v>1113</v>
      </c>
      <c r="E36" s="615" t="s">
        <v>2318</v>
      </c>
      <c r="F36" s="616" t="s">
        <v>2319</v>
      </c>
      <c r="G36" s="615" t="s">
        <v>1885</v>
      </c>
      <c r="H36" s="615" t="s">
        <v>1886</v>
      </c>
      <c r="I36" s="617">
        <v>2.1666666666666665</v>
      </c>
      <c r="J36" s="617">
        <v>150</v>
      </c>
      <c r="K36" s="618">
        <v>325</v>
      </c>
    </row>
    <row r="37" spans="1:11" ht="14.4" customHeight="1" x14ac:dyDescent="0.3">
      <c r="A37" s="613" t="s">
        <v>323</v>
      </c>
      <c r="B37" s="614" t="s">
        <v>1112</v>
      </c>
      <c r="C37" s="615" t="s">
        <v>340</v>
      </c>
      <c r="D37" s="616" t="s">
        <v>1113</v>
      </c>
      <c r="E37" s="615" t="s">
        <v>2318</v>
      </c>
      <c r="F37" s="616" t="s">
        <v>2319</v>
      </c>
      <c r="G37" s="615" t="s">
        <v>1887</v>
      </c>
      <c r="H37" s="615" t="s">
        <v>1888</v>
      </c>
      <c r="I37" s="617">
        <v>2.605</v>
      </c>
      <c r="J37" s="617">
        <v>200</v>
      </c>
      <c r="K37" s="618">
        <v>521</v>
      </c>
    </row>
    <row r="38" spans="1:11" ht="14.4" customHeight="1" x14ac:dyDescent="0.3">
      <c r="A38" s="613" t="s">
        <v>323</v>
      </c>
      <c r="B38" s="614" t="s">
        <v>1112</v>
      </c>
      <c r="C38" s="615" t="s">
        <v>340</v>
      </c>
      <c r="D38" s="616" t="s">
        <v>1113</v>
      </c>
      <c r="E38" s="615" t="s">
        <v>2318</v>
      </c>
      <c r="F38" s="616" t="s">
        <v>2319</v>
      </c>
      <c r="G38" s="615" t="s">
        <v>1889</v>
      </c>
      <c r="H38" s="615" t="s">
        <v>1890</v>
      </c>
      <c r="I38" s="617">
        <v>29.9</v>
      </c>
      <c r="J38" s="617">
        <v>20</v>
      </c>
      <c r="K38" s="618">
        <v>598</v>
      </c>
    </row>
    <row r="39" spans="1:11" ht="14.4" customHeight="1" x14ac:dyDescent="0.3">
      <c r="A39" s="613" t="s">
        <v>323</v>
      </c>
      <c r="B39" s="614" t="s">
        <v>1112</v>
      </c>
      <c r="C39" s="615" t="s">
        <v>340</v>
      </c>
      <c r="D39" s="616" t="s">
        <v>1113</v>
      </c>
      <c r="E39" s="615" t="s">
        <v>2318</v>
      </c>
      <c r="F39" s="616" t="s">
        <v>2319</v>
      </c>
      <c r="G39" s="615" t="s">
        <v>1891</v>
      </c>
      <c r="H39" s="615" t="s">
        <v>1892</v>
      </c>
      <c r="I39" s="617">
        <v>6.05</v>
      </c>
      <c r="J39" s="617">
        <v>15</v>
      </c>
      <c r="K39" s="618">
        <v>90.75</v>
      </c>
    </row>
    <row r="40" spans="1:11" ht="14.4" customHeight="1" x14ac:dyDescent="0.3">
      <c r="A40" s="613" t="s">
        <v>323</v>
      </c>
      <c r="B40" s="614" t="s">
        <v>1112</v>
      </c>
      <c r="C40" s="615" t="s">
        <v>340</v>
      </c>
      <c r="D40" s="616" t="s">
        <v>1113</v>
      </c>
      <c r="E40" s="615" t="s">
        <v>2318</v>
      </c>
      <c r="F40" s="616" t="s">
        <v>2319</v>
      </c>
      <c r="G40" s="615" t="s">
        <v>1893</v>
      </c>
      <c r="H40" s="615" t="s">
        <v>1894</v>
      </c>
      <c r="I40" s="617">
        <v>2.9</v>
      </c>
      <c r="J40" s="617">
        <v>300</v>
      </c>
      <c r="K40" s="618">
        <v>870</v>
      </c>
    </row>
    <row r="41" spans="1:11" ht="14.4" customHeight="1" x14ac:dyDescent="0.3">
      <c r="A41" s="613" t="s">
        <v>323</v>
      </c>
      <c r="B41" s="614" t="s">
        <v>1112</v>
      </c>
      <c r="C41" s="615" t="s">
        <v>340</v>
      </c>
      <c r="D41" s="616" t="s">
        <v>1113</v>
      </c>
      <c r="E41" s="615" t="s">
        <v>2318</v>
      </c>
      <c r="F41" s="616" t="s">
        <v>2319</v>
      </c>
      <c r="G41" s="615" t="s">
        <v>1895</v>
      </c>
      <c r="H41" s="615" t="s">
        <v>1896</v>
      </c>
      <c r="I41" s="617">
        <v>5.13</v>
      </c>
      <c r="J41" s="617">
        <v>40</v>
      </c>
      <c r="K41" s="618">
        <v>205.2</v>
      </c>
    </row>
    <row r="42" spans="1:11" ht="14.4" customHeight="1" x14ac:dyDescent="0.3">
      <c r="A42" s="613" t="s">
        <v>323</v>
      </c>
      <c r="B42" s="614" t="s">
        <v>1112</v>
      </c>
      <c r="C42" s="615" t="s">
        <v>340</v>
      </c>
      <c r="D42" s="616" t="s">
        <v>1113</v>
      </c>
      <c r="E42" s="615" t="s">
        <v>2318</v>
      </c>
      <c r="F42" s="616" t="s">
        <v>2319</v>
      </c>
      <c r="G42" s="615" t="s">
        <v>1897</v>
      </c>
      <c r="H42" s="615" t="s">
        <v>1898</v>
      </c>
      <c r="I42" s="617">
        <v>7.95</v>
      </c>
      <c r="J42" s="617">
        <v>40</v>
      </c>
      <c r="K42" s="618">
        <v>318</v>
      </c>
    </row>
    <row r="43" spans="1:11" ht="14.4" customHeight="1" x14ac:dyDescent="0.3">
      <c r="A43" s="613" t="s">
        <v>323</v>
      </c>
      <c r="B43" s="614" t="s">
        <v>1112</v>
      </c>
      <c r="C43" s="615" t="s">
        <v>340</v>
      </c>
      <c r="D43" s="616" t="s">
        <v>1113</v>
      </c>
      <c r="E43" s="615" t="s">
        <v>2318</v>
      </c>
      <c r="F43" s="616" t="s">
        <v>2319</v>
      </c>
      <c r="G43" s="615" t="s">
        <v>1899</v>
      </c>
      <c r="H43" s="615" t="s">
        <v>1900</v>
      </c>
      <c r="I43" s="617">
        <v>84.91</v>
      </c>
      <c r="J43" s="617">
        <v>20</v>
      </c>
      <c r="K43" s="618">
        <v>1698.11</v>
      </c>
    </row>
    <row r="44" spans="1:11" ht="14.4" customHeight="1" x14ac:dyDescent="0.3">
      <c r="A44" s="613" t="s">
        <v>323</v>
      </c>
      <c r="B44" s="614" t="s">
        <v>1112</v>
      </c>
      <c r="C44" s="615" t="s">
        <v>340</v>
      </c>
      <c r="D44" s="616" t="s">
        <v>1113</v>
      </c>
      <c r="E44" s="615" t="s">
        <v>2318</v>
      </c>
      <c r="F44" s="616" t="s">
        <v>2319</v>
      </c>
      <c r="G44" s="615" t="s">
        <v>1901</v>
      </c>
      <c r="H44" s="615" t="s">
        <v>1902</v>
      </c>
      <c r="I44" s="617">
        <v>17.97</v>
      </c>
      <c r="J44" s="617">
        <v>50</v>
      </c>
      <c r="K44" s="618">
        <v>898.73</v>
      </c>
    </row>
    <row r="45" spans="1:11" ht="14.4" customHeight="1" x14ac:dyDescent="0.3">
      <c r="A45" s="613" t="s">
        <v>323</v>
      </c>
      <c r="B45" s="614" t="s">
        <v>1112</v>
      </c>
      <c r="C45" s="615" t="s">
        <v>340</v>
      </c>
      <c r="D45" s="616" t="s">
        <v>1113</v>
      </c>
      <c r="E45" s="615" t="s">
        <v>2318</v>
      </c>
      <c r="F45" s="616" t="s">
        <v>2319</v>
      </c>
      <c r="G45" s="615" t="s">
        <v>1903</v>
      </c>
      <c r="H45" s="615" t="s">
        <v>1904</v>
      </c>
      <c r="I45" s="617">
        <v>17.983333333333334</v>
      </c>
      <c r="J45" s="617">
        <v>150</v>
      </c>
      <c r="K45" s="618">
        <v>2697.5</v>
      </c>
    </row>
    <row r="46" spans="1:11" ht="14.4" customHeight="1" x14ac:dyDescent="0.3">
      <c r="A46" s="613" t="s">
        <v>323</v>
      </c>
      <c r="B46" s="614" t="s">
        <v>1112</v>
      </c>
      <c r="C46" s="615" t="s">
        <v>340</v>
      </c>
      <c r="D46" s="616" t="s">
        <v>1113</v>
      </c>
      <c r="E46" s="615" t="s">
        <v>2318</v>
      </c>
      <c r="F46" s="616" t="s">
        <v>2319</v>
      </c>
      <c r="G46" s="615" t="s">
        <v>1905</v>
      </c>
      <c r="H46" s="615" t="s">
        <v>1906</v>
      </c>
      <c r="I46" s="617">
        <v>12.105</v>
      </c>
      <c r="J46" s="617">
        <v>20</v>
      </c>
      <c r="K46" s="618">
        <v>242.1</v>
      </c>
    </row>
    <row r="47" spans="1:11" ht="14.4" customHeight="1" x14ac:dyDescent="0.3">
      <c r="A47" s="613" t="s">
        <v>323</v>
      </c>
      <c r="B47" s="614" t="s">
        <v>1112</v>
      </c>
      <c r="C47" s="615" t="s">
        <v>340</v>
      </c>
      <c r="D47" s="616" t="s">
        <v>1113</v>
      </c>
      <c r="E47" s="615" t="s">
        <v>2318</v>
      </c>
      <c r="F47" s="616" t="s">
        <v>2319</v>
      </c>
      <c r="G47" s="615" t="s">
        <v>1907</v>
      </c>
      <c r="H47" s="615" t="s">
        <v>1908</v>
      </c>
      <c r="I47" s="617">
        <v>25.53</v>
      </c>
      <c r="J47" s="617">
        <v>10</v>
      </c>
      <c r="K47" s="618">
        <v>255.3</v>
      </c>
    </row>
    <row r="48" spans="1:11" ht="14.4" customHeight="1" x14ac:dyDescent="0.3">
      <c r="A48" s="613" t="s">
        <v>323</v>
      </c>
      <c r="B48" s="614" t="s">
        <v>1112</v>
      </c>
      <c r="C48" s="615" t="s">
        <v>340</v>
      </c>
      <c r="D48" s="616" t="s">
        <v>1113</v>
      </c>
      <c r="E48" s="615" t="s">
        <v>2318</v>
      </c>
      <c r="F48" s="616" t="s">
        <v>2319</v>
      </c>
      <c r="G48" s="615" t="s">
        <v>1909</v>
      </c>
      <c r="H48" s="615" t="s">
        <v>1910</v>
      </c>
      <c r="I48" s="617">
        <v>2.5099999999999998</v>
      </c>
      <c r="J48" s="617">
        <v>200</v>
      </c>
      <c r="K48" s="618">
        <v>502</v>
      </c>
    </row>
    <row r="49" spans="1:11" ht="14.4" customHeight="1" x14ac:dyDescent="0.3">
      <c r="A49" s="613" t="s">
        <v>323</v>
      </c>
      <c r="B49" s="614" t="s">
        <v>1112</v>
      </c>
      <c r="C49" s="615" t="s">
        <v>340</v>
      </c>
      <c r="D49" s="616" t="s">
        <v>1113</v>
      </c>
      <c r="E49" s="615" t="s">
        <v>2318</v>
      </c>
      <c r="F49" s="616" t="s">
        <v>2319</v>
      </c>
      <c r="G49" s="615" t="s">
        <v>1911</v>
      </c>
      <c r="H49" s="615" t="s">
        <v>1912</v>
      </c>
      <c r="I49" s="617">
        <v>13.21</v>
      </c>
      <c r="J49" s="617">
        <v>10</v>
      </c>
      <c r="K49" s="618">
        <v>132.1</v>
      </c>
    </row>
    <row r="50" spans="1:11" ht="14.4" customHeight="1" x14ac:dyDescent="0.3">
      <c r="A50" s="613" t="s">
        <v>323</v>
      </c>
      <c r="B50" s="614" t="s">
        <v>1112</v>
      </c>
      <c r="C50" s="615" t="s">
        <v>340</v>
      </c>
      <c r="D50" s="616" t="s">
        <v>1113</v>
      </c>
      <c r="E50" s="615" t="s">
        <v>2318</v>
      </c>
      <c r="F50" s="616" t="s">
        <v>2319</v>
      </c>
      <c r="G50" s="615" t="s">
        <v>1913</v>
      </c>
      <c r="H50" s="615" t="s">
        <v>1914</v>
      </c>
      <c r="I50" s="617">
        <v>13.205</v>
      </c>
      <c r="J50" s="617">
        <v>20</v>
      </c>
      <c r="K50" s="618">
        <v>264.10000000000002</v>
      </c>
    </row>
    <row r="51" spans="1:11" ht="14.4" customHeight="1" x14ac:dyDescent="0.3">
      <c r="A51" s="613" t="s">
        <v>323</v>
      </c>
      <c r="B51" s="614" t="s">
        <v>1112</v>
      </c>
      <c r="C51" s="615" t="s">
        <v>340</v>
      </c>
      <c r="D51" s="616" t="s">
        <v>1113</v>
      </c>
      <c r="E51" s="615" t="s">
        <v>2318</v>
      </c>
      <c r="F51" s="616" t="s">
        <v>2319</v>
      </c>
      <c r="G51" s="615" t="s">
        <v>1915</v>
      </c>
      <c r="H51" s="615" t="s">
        <v>1916</v>
      </c>
      <c r="I51" s="617">
        <v>13.2</v>
      </c>
      <c r="J51" s="617">
        <v>10</v>
      </c>
      <c r="K51" s="618">
        <v>132</v>
      </c>
    </row>
    <row r="52" spans="1:11" ht="14.4" customHeight="1" x14ac:dyDescent="0.3">
      <c r="A52" s="613" t="s">
        <v>323</v>
      </c>
      <c r="B52" s="614" t="s">
        <v>1112</v>
      </c>
      <c r="C52" s="615" t="s">
        <v>340</v>
      </c>
      <c r="D52" s="616" t="s">
        <v>1113</v>
      </c>
      <c r="E52" s="615" t="s">
        <v>2318</v>
      </c>
      <c r="F52" s="616" t="s">
        <v>2319</v>
      </c>
      <c r="G52" s="615" t="s">
        <v>1917</v>
      </c>
      <c r="H52" s="615" t="s">
        <v>1918</v>
      </c>
      <c r="I52" s="617">
        <v>1.28</v>
      </c>
      <c r="J52" s="617">
        <v>75</v>
      </c>
      <c r="K52" s="618">
        <v>96</v>
      </c>
    </row>
    <row r="53" spans="1:11" ht="14.4" customHeight="1" x14ac:dyDescent="0.3">
      <c r="A53" s="613" t="s">
        <v>323</v>
      </c>
      <c r="B53" s="614" t="s">
        <v>1112</v>
      </c>
      <c r="C53" s="615" t="s">
        <v>340</v>
      </c>
      <c r="D53" s="616" t="s">
        <v>1113</v>
      </c>
      <c r="E53" s="615" t="s">
        <v>2318</v>
      </c>
      <c r="F53" s="616" t="s">
        <v>2319</v>
      </c>
      <c r="G53" s="615" t="s">
        <v>1919</v>
      </c>
      <c r="H53" s="615" t="s">
        <v>1920</v>
      </c>
      <c r="I53" s="617">
        <v>21.234999999999999</v>
      </c>
      <c r="J53" s="617">
        <v>80</v>
      </c>
      <c r="K53" s="618">
        <v>1698.7</v>
      </c>
    </row>
    <row r="54" spans="1:11" ht="14.4" customHeight="1" x14ac:dyDescent="0.3">
      <c r="A54" s="613" t="s">
        <v>323</v>
      </c>
      <c r="B54" s="614" t="s">
        <v>1112</v>
      </c>
      <c r="C54" s="615" t="s">
        <v>340</v>
      </c>
      <c r="D54" s="616" t="s">
        <v>1113</v>
      </c>
      <c r="E54" s="615" t="s">
        <v>2318</v>
      </c>
      <c r="F54" s="616" t="s">
        <v>2319</v>
      </c>
      <c r="G54" s="615" t="s">
        <v>1921</v>
      </c>
      <c r="H54" s="615" t="s">
        <v>1922</v>
      </c>
      <c r="I54" s="617">
        <v>21.24</v>
      </c>
      <c r="J54" s="617">
        <v>10</v>
      </c>
      <c r="K54" s="618">
        <v>212.4</v>
      </c>
    </row>
    <row r="55" spans="1:11" ht="14.4" customHeight="1" x14ac:dyDescent="0.3">
      <c r="A55" s="613" t="s">
        <v>323</v>
      </c>
      <c r="B55" s="614" t="s">
        <v>1112</v>
      </c>
      <c r="C55" s="615" t="s">
        <v>340</v>
      </c>
      <c r="D55" s="616" t="s">
        <v>1113</v>
      </c>
      <c r="E55" s="615" t="s">
        <v>2318</v>
      </c>
      <c r="F55" s="616" t="s">
        <v>2319</v>
      </c>
      <c r="G55" s="615" t="s">
        <v>1923</v>
      </c>
      <c r="H55" s="615" t="s">
        <v>1924</v>
      </c>
      <c r="I55" s="617">
        <v>4.03</v>
      </c>
      <c r="J55" s="617">
        <v>39</v>
      </c>
      <c r="K55" s="618">
        <v>157.16999999999999</v>
      </c>
    </row>
    <row r="56" spans="1:11" ht="14.4" customHeight="1" x14ac:dyDescent="0.3">
      <c r="A56" s="613" t="s">
        <v>323</v>
      </c>
      <c r="B56" s="614" t="s">
        <v>1112</v>
      </c>
      <c r="C56" s="615" t="s">
        <v>340</v>
      </c>
      <c r="D56" s="616" t="s">
        <v>1113</v>
      </c>
      <c r="E56" s="615" t="s">
        <v>2318</v>
      </c>
      <c r="F56" s="616" t="s">
        <v>2319</v>
      </c>
      <c r="G56" s="615" t="s">
        <v>1925</v>
      </c>
      <c r="H56" s="615" t="s">
        <v>1926</v>
      </c>
      <c r="I56" s="617">
        <v>2.6</v>
      </c>
      <c r="J56" s="617">
        <v>40</v>
      </c>
      <c r="K56" s="618">
        <v>104</v>
      </c>
    </row>
    <row r="57" spans="1:11" ht="14.4" customHeight="1" x14ac:dyDescent="0.3">
      <c r="A57" s="613" t="s">
        <v>323</v>
      </c>
      <c r="B57" s="614" t="s">
        <v>1112</v>
      </c>
      <c r="C57" s="615" t="s">
        <v>340</v>
      </c>
      <c r="D57" s="616" t="s">
        <v>1113</v>
      </c>
      <c r="E57" s="615" t="s">
        <v>2318</v>
      </c>
      <c r="F57" s="616" t="s">
        <v>2319</v>
      </c>
      <c r="G57" s="615" t="s">
        <v>1927</v>
      </c>
      <c r="H57" s="615" t="s">
        <v>1928</v>
      </c>
      <c r="I57" s="617">
        <v>2.6</v>
      </c>
      <c r="J57" s="617">
        <v>40</v>
      </c>
      <c r="K57" s="618">
        <v>104</v>
      </c>
    </row>
    <row r="58" spans="1:11" ht="14.4" customHeight="1" x14ac:dyDescent="0.3">
      <c r="A58" s="613" t="s">
        <v>323</v>
      </c>
      <c r="B58" s="614" t="s">
        <v>1112</v>
      </c>
      <c r="C58" s="615" t="s">
        <v>340</v>
      </c>
      <c r="D58" s="616" t="s">
        <v>1113</v>
      </c>
      <c r="E58" s="615" t="s">
        <v>2318</v>
      </c>
      <c r="F58" s="616" t="s">
        <v>2319</v>
      </c>
      <c r="G58" s="615" t="s">
        <v>1929</v>
      </c>
      <c r="H58" s="615" t="s">
        <v>1930</v>
      </c>
      <c r="I58" s="617">
        <v>2.62</v>
      </c>
      <c r="J58" s="617">
        <v>20</v>
      </c>
      <c r="K58" s="618">
        <v>52.4</v>
      </c>
    </row>
    <row r="59" spans="1:11" ht="14.4" customHeight="1" x14ac:dyDescent="0.3">
      <c r="A59" s="613" t="s">
        <v>323</v>
      </c>
      <c r="B59" s="614" t="s">
        <v>1112</v>
      </c>
      <c r="C59" s="615" t="s">
        <v>340</v>
      </c>
      <c r="D59" s="616" t="s">
        <v>1113</v>
      </c>
      <c r="E59" s="615" t="s">
        <v>2318</v>
      </c>
      <c r="F59" s="616" t="s">
        <v>2319</v>
      </c>
      <c r="G59" s="615" t="s">
        <v>1931</v>
      </c>
      <c r="H59" s="615" t="s">
        <v>1932</v>
      </c>
      <c r="I59" s="617">
        <v>2.2880000000000003</v>
      </c>
      <c r="J59" s="617">
        <v>210</v>
      </c>
      <c r="K59" s="618">
        <v>480.8</v>
      </c>
    </row>
    <row r="60" spans="1:11" ht="14.4" customHeight="1" x14ac:dyDescent="0.3">
      <c r="A60" s="613" t="s">
        <v>323</v>
      </c>
      <c r="B60" s="614" t="s">
        <v>1112</v>
      </c>
      <c r="C60" s="615" t="s">
        <v>340</v>
      </c>
      <c r="D60" s="616" t="s">
        <v>1113</v>
      </c>
      <c r="E60" s="615" t="s">
        <v>2318</v>
      </c>
      <c r="F60" s="616" t="s">
        <v>2319</v>
      </c>
      <c r="G60" s="615" t="s">
        <v>1933</v>
      </c>
      <c r="H60" s="615" t="s">
        <v>1934</v>
      </c>
      <c r="I60" s="617">
        <v>5.0199999999999996</v>
      </c>
      <c r="J60" s="617">
        <v>50</v>
      </c>
      <c r="K60" s="618">
        <v>251.08</v>
      </c>
    </row>
    <row r="61" spans="1:11" ht="14.4" customHeight="1" x14ac:dyDescent="0.3">
      <c r="A61" s="613" t="s">
        <v>323</v>
      </c>
      <c r="B61" s="614" t="s">
        <v>1112</v>
      </c>
      <c r="C61" s="615" t="s">
        <v>340</v>
      </c>
      <c r="D61" s="616" t="s">
        <v>1113</v>
      </c>
      <c r="E61" s="615" t="s">
        <v>2318</v>
      </c>
      <c r="F61" s="616" t="s">
        <v>2319</v>
      </c>
      <c r="G61" s="615" t="s">
        <v>1935</v>
      </c>
      <c r="H61" s="615" t="s">
        <v>1936</v>
      </c>
      <c r="I61" s="617">
        <v>17.98</v>
      </c>
      <c r="J61" s="617">
        <v>50</v>
      </c>
      <c r="K61" s="618">
        <v>899.03</v>
      </c>
    </row>
    <row r="62" spans="1:11" ht="14.4" customHeight="1" x14ac:dyDescent="0.3">
      <c r="A62" s="613" t="s">
        <v>323</v>
      </c>
      <c r="B62" s="614" t="s">
        <v>1112</v>
      </c>
      <c r="C62" s="615" t="s">
        <v>340</v>
      </c>
      <c r="D62" s="616" t="s">
        <v>1113</v>
      </c>
      <c r="E62" s="615" t="s">
        <v>2318</v>
      </c>
      <c r="F62" s="616" t="s">
        <v>2319</v>
      </c>
      <c r="G62" s="615" t="s">
        <v>1937</v>
      </c>
      <c r="H62" s="615" t="s">
        <v>1938</v>
      </c>
      <c r="I62" s="617">
        <v>60.5</v>
      </c>
      <c r="J62" s="617">
        <v>25</v>
      </c>
      <c r="K62" s="618">
        <v>1512.5</v>
      </c>
    </row>
    <row r="63" spans="1:11" ht="14.4" customHeight="1" x14ac:dyDescent="0.3">
      <c r="A63" s="613" t="s">
        <v>323</v>
      </c>
      <c r="B63" s="614" t="s">
        <v>1112</v>
      </c>
      <c r="C63" s="615" t="s">
        <v>340</v>
      </c>
      <c r="D63" s="616" t="s">
        <v>1113</v>
      </c>
      <c r="E63" s="615" t="s">
        <v>2318</v>
      </c>
      <c r="F63" s="616" t="s">
        <v>2319</v>
      </c>
      <c r="G63" s="615" t="s">
        <v>1939</v>
      </c>
      <c r="H63" s="615" t="s">
        <v>1940</v>
      </c>
      <c r="I63" s="617">
        <v>9.1999999999999993</v>
      </c>
      <c r="J63" s="617">
        <v>200</v>
      </c>
      <c r="K63" s="618">
        <v>1840</v>
      </c>
    </row>
    <row r="64" spans="1:11" ht="14.4" customHeight="1" x14ac:dyDescent="0.3">
      <c r="A64" s="613" t="s">
        <v>323</v>
      </c>
      <c r="B64" s="614" t="s">
        <v>1112</v>
      </c>
      <c r="C64" s="615" t="s">
        <v>340</v>
      </c>
      <c r="D64" s="616" t="s">
        <v>1113</v>
      </c>
      <c r="E64" s="615" t="s">
        <v>2318</v>
      </c>
      <c r="F64" s="616" t="s">
        <v>2319</v>
      </c>
      <c r="G64" s="615" t="s">
        <v>1941</v>
      </c>
      <c r="H64" s="615" t="s">
        <v>1942</v>
      </c>
      <c r="I64" s="617">
        <v>240.88</v>
      </c>
      <c r="J64" s="617">
        <v>2</v>
      </c>
      <c r="K64" s="618">
        <v>481.76</v>
      </c>
    </row>
    <row r="65" spans="1:11" ht="14.4" customHeight="1" x14ac:dyDescent="0.3">
      <c r="A65" s="613" t="s">
        <v>323</v>
      </c>
      <c r="B65" s="614" t="s">
        <v>1112</v>
      </c>
      <c r="C65" s="615" t="s">
        <v>340</v>
      </c>
      <c r="D65" s="616" t="s">
        <v>1113</v>
      </c>
      <c r="E65" s="615" t="s">
        <v>2318</v>
      </c>
      <c r="F65" s="616" t="s">
        <v>2319</v>
      </c>
      <c r="G65" s="615" t="s">
        <v>1943</v>
      </c>
      <c r="H65" s="615" t="s">
        <v>1944</v>
      </c>
      <c r="I65" s="617">
        <v>1.06</v>
      </c>
      <c r="J65" s="617">
        <v>200</v>
      </c>
      <c r="K65" s="618">
        <v>212</v>
      </c>
    </row>
    <row r="66" spans="1:11" ht="14.4" customHeight="1" x14ac:dyDescent="0.3">
      <c r="A66" s="613" t="s">
        <v>323</v>
      </c>
      <c r="B66" s="614" t="s">
        <v>1112</v>
      </c>
      <c r="C66" s="615" t="s">
        <v>340</v>
      </c>
      <c r="D66" s="616" t="s">
        <v>1113</v>
      </c>
      <c r="E66" s="615" t="s">
        <v>2320</v>
      </c>
      <c r="F66" s="616" t="s">
        <v>2321</v>
      </c>
      <c r="G66" s="615" t="s">
        <v>1945</v>
      </c>
      <c r="H66" s="615" t="s">
        <v>1946</v>
      </c>
      <c r="I66" s="617">
        <v>267.79000000000002</v>
      </c>
      <c r="J66" s="617">
        <v>1</v>
      </c>
      <c r="K66" s="618">
        <v>267.79000000000002</v>
      </c>
    </row>
    <row r="67" spans="1:11" ht="14.4" customHeight="1" x14ac:dyDescent="0.3">
      <c r="A67" s="613" t="s">
        <v>323</v>
      </c>
      <c r="B67" s="614" t="s">
        <v>1112</v>
      </c>
      <c r="C67" s="615" t="s">
        <v>340</v>
      </c>
      <c r="D67" s="616" t="s">
        <v>1113</v>
      </c>
      <c r="E67" s="615" t="s">
        <v>2322</v>
      </c>
      <c r="F67" s="616" t="s">
        <v>2323</v>
      </c>
      <c r="G67" s="615" t="s">
        <v>1947</v>
      </c>
      <c r="H67" s="615" t="s">
        <v>1948</v>
      </c>
      <c r="I67" s="617">
        <v>2299</v>
      </c>
      <c r="J67" s="617">
        <v>4</v>
      </c>
      <c r="K67" s="618">
        <v>9196</v>
      </c>
    </row>
    <row r="68" spans="1:11" ht="14.4" customHeight="1" x14ac:dyDescent="0.3">
      <c r="A68" s="613" t="s">
        <v>323</v>
      </c>
      <c r="B68" s="614" t="s">
        <v>1112</v>
      </c>
      <c r="C68" s="615" t="s">
        <v>340</v>
      </c>
      <c r="D68" s="616" t="s">
        <v>1113</v>
      </c>
      <c r="E68" s="615" t="s">
        <v>2322</v>
      </c>
      <c r="F68" s="616" t="s">
        <v>2323</v>
      </c>
      <c r="G68" s="615" t="s">
        <v>1949</v>
      </c>
      <c r="H68" s="615" t="s">
        <v>1950</v>
      </c>
      <c r="I68" s="617">
        <v>8.1649999999999991</v>
      </c>
      <c r="J68" s="617">
        <v>600</v>
      </c>
      <c r="K68" s="618">
        <v>4900</v>
      </c>
    </row>
    <row r="69" spans="1:11" ht="14.4" customHeight="1" x14ac:dyDescent="0.3">
      <c r="A69" s="613" t="s">
        <v>323</v>
      </c>
      <c r="B69" s="614" t="s">
        <v>1112</v>
      </c>
      <c r="C69" s="615" t="s">
        <v>340</v>
      </c>
      <c r="D69" s="616" t="s">
        <v>1113</v>
      </c>
      <c r="E69" s="615" t="s">
        <v>2324</v>
      </c>
      <c r="F69" s="616" t="s">
        <v>2325</v>
      </c>
      <c r="G69" s="615" t="s">
        <v>1951</v>
      </c>
      <c r="H69" s="615" t="s">
        <v>1952</v>
      </c>
      <c r="I69" s="617">
        <v>46.03</v>
      </c>
      <c r="J69" s="617">
        <v>36</v>
      </c>
      <c r="K69" s="618">
        <v>1657.08</v>
      </c>
    </row>
    <row r="70" spans="1:11" ht="14.4" customHeight="1" x14ac:dyDescent="0.3">
      <c r="A70" s="613" t="s">
        <v>323</v>
      </c>
      <c r="B70" s="614" t="s">
        <v>1112</v>
      </c>
      <c r="C70" s="615" t="s">
        <v>340</v>
      </c>
      <c r="D70" s="616" t="s">
        <v>1113</v>
      </c>
      <c r="E70" s="615" t="s">
        <v>2324</v>
      </c>
      <c r="F70" s="616" t="s">
        <v>2325</v>
      </c>
      <c r="G70" s="615" t="s">
        <v>1953</v>
      </c>
      <c r="H70" s="615" t="s">
        <v>1954</v>
      </c>
      <c r="I70" s="617">
        <v>69.916666666666671</v>
      </c>
      <c r="J70" s="617">
        <v>120</v>
      </c>
      <c r="K70" s="618">
        <v>8389.75</v>
      </c>
    </row>
    <row r="71" spans="1:11" ht="14.4" customHeight="1" x14ac:dyDescent="0.3">
      <c r="A71" s="613" t="s">
        <v>323</v>
      </c>
      <c r="B71" s="614" t="s">
        <v>1112</v>
      </c>
      <c r="C71" s="615" t="s">
        <v>340</v>
      </c>
      <c r="D71" s="616" t="s">
        <v>1113</v>
      </c>
      <c r="E71" s="615" t="s">
        <v>2324</v>
      </c>
      <c r="F71" s="616" t="s">
        <v>2325</v>
      </c>
      <c r="G71" s="615" t="s">
        <v>1955</v>
      </c>
      <c r="H71" s="615" t="s">
        <v>1956</v>
      </c>
      <c r="I71" s="617">
        <v>81.069999999999993</v>
      </c>
      <c r="J71" s="617">
        <v>36</v>
      </c>
      <c r="K71" s="618">
        <v>2918.7</v>
      </c>
    </row>
    <row r="72" spans="1:11" ht="14.4" customHeight="1" x14ac:dyDescent="0.3">
      <c r="A72" s="613" t="s">
        <v>323</v>
      </c>
      <c r="B72" s="614" t="s">
        <v>1112</v>
      </c>
      <c r="C72" s="615" t="s">
        <v>340</v>
      </c>
      <c r="D72" s="616" t="s">
        <v>1113</v>
      </c>
      <c r="E72" s="615" t="s">
        <v>2324</v>
      </c>
      <c r="F72" s="616" t="s">
        <v>2325</v>
      </c>
      <c r="G72" s="615" t="s">
        <v>1957</v>
      </c>
      <c r="H72" s="615" t="s">
        <v>1958</v>
      </c>
      <c r="I72" s="617">
        <v>67.42</v>
      </c>
      <c r="J72" s="617">
        <v>48</v>
      </c>
      <c r="K72" s="618">
        <v>3236.16</v>
      </c>
    </row>
    <row r="73" spans="1:11" ht="14.4" customHeight="1" x14ac:dyDescent="0.3">
      <c r="A73" s="613" t="s">
        <v>323</v>
      </c>
      <c r="B73" s="614" t="s">
        <v>1112</v>
      </c>
      <c r="C73" s="615" t="s">
        <v>340</v>
      </c>
      <c r="D73" s="616" t="s">
        <v>1113</v>
      </c>
      <c r="E73" s="615" t="s">
        <v>2324</v>
      </c>
      <c r="F73" s="616" t="s">
        <v>2325</v>
      </c>
      <c r="G73" s="615" t="s">
        <v>1959</v>
      </c>
      <c r="H73" s="615" t="s">
        <v>1960</v>
      </c>
      <c r="I73" s="617">
        <v>30.2</v>
      </c>
      <c r="J73" s="617">
        <v>108</v>
      </c>
      <c r="K73" s="618">
        <v>3261.63</v>
      </c>
    </row>
    <row r="74" spans="1:11" ht="14.4" customHeight="1" x14ac:dyDescent="0.3">
      <c r="A74" s="613" t="s">
        <v>323</v>
      </c>
      <c r="B74" s="614" t="s">
        <v>1112</v>
      </c>
      <c r="C74" s="615" t="s">
        <v>340</v>
      </c>
      <c r="D74" s="616" t="s">
        <v>1113</v>
      </c>
      <c r="E74" s="615" t="s">
        <v>2324</v>
      </c>
      <c r="F74" s="616" t="s">
        <v>2325</v>
      </c>
      <c r="G74" s="615" t="s">
        <v>1961</v>
      </c>
      <c r="H74" s="615" t="s">
        <v>1962</v>
      </c>
      <c r="I74" s="617">
        <v>69.92</v>
      </c>
      <c r="J74" s="617">
        <v>48</v>
      </c>
      <c r="K74" s="618">
        <v>3356.16</v>
      </c>
    </row>
    <row r="75" spans="1:11" ht="14.4" customHeight="1" x14ac:dyDescent="0.3">
      <c r="A75" s="613" t="s">
        <v>323</v>
      </c>
      <c r="B75" s="614" t="s">
        <v>1112</v>
      </c>
      <c r="C75" s="615" t="s">
        <v>340</v>
      </c>
      <c r="D75" s="616" t="s">
        <v>1113</v>
      </c>
      <c r="E75" s="615" t="s">
        <v>2326</v>
      </c>
      <c r="F75" s="616" t="s">
        <v>2327</v>
      </c>
      <c r="G75" s="615" t="s">
        <v>1963</v>
      </c>
      <c r="H75" s="615" t="s">
        <v>1964</v>
      </c>
      <c r="I75" s="617">
        <v>0.30499999999999999</v>
      </c>
      <c r="J75" s="617">
        <v>1100</v>
      </c>
      <c r="K75" s="618">
        <v>335</v>
      </c>
    </row>
    <row r="76" spans="1:11" ht="14.4" customHeight="1" x14ac:dyDescent="0.3">
      <c r="A76" s="613" t="s">
        <v>323</v>
      </c>
      <c r="B76" s="614" t="s">
        <v>1112</v>
      </c>
      <c r="C76" s="615" t="s">
        <v>340</v>
      </c>
      <c r="D76" s="616" t="s">
        <v>1113</v>
      </c>
      <c r="E76" s="615" t="s">
        <v>2326</v>
      </c>
      <c r="F76" s="616" t="s">
        <v>2327</v>
      </c>
      <c r="G76" s="615" t="s">
        <v>1965</v>
      </c>
      <c r="H76" s="615" t="s">
        <v>1966</v>
      </c>
      <c r="I76" s="617">
        <v>0.30499999999999999</v>
      </c>
      <c r="J76" s="617">
        <v>1900</v>
      </c>
      <c r="K76" s="618">
        <v>579</v>
      </c>
    </row>
    <row r="77" spans="1:11" ht="14.4" customHeight="1" x14ac:dyDescent="0.3">
      <c r="A77" s="613" t="s">
        <v>323</v>
      </c>
      <c r="B77" s="614" t="s">
        <v>1112</v>
      </c>
      <c r="C77" s="615" t="s">
        <v>340</v>
      </c>
      <c r="D77" s="616" t="s">
        <v>1113</v>
      </c>
      <c r="E77" s="615" t="s">
        <v>2326</v>
      </c>
      <c r="F77" s="616" t="s">
        <v>2327</v>
      </c>
      <c r="G77" s="615" t="s">
        <v>1967</v>
      </c>
      <c r="H77" s="615" t="s">
        <v>1968</v>
      </c>
      <c r="I77" s="617">
        <v>0.48</v>
      </c>
      <c r="J77" s="617">
        <v>200</v>
      </c>
      <c r="K77" s="618">
        <v>96</v>
      </c>
    </row>
    <row r="78" spans="1:11" ht="14.4" customHeight="1" x14ac:dyDescent="0.3">
      <c r="A78" s="613" t="s">
        <v>323</v>
      </c>
      <c r="B78" s="614" t="s">
        <v>1112</v>
      </c>
      <c r="C78" s="615" t="s">
        <v>340</v>
      </c>
      <c r="D78" s="616" t="s">
        <v>1113</v>
      </c>
      <c r="E78" s="615" t="s">
        <v>2326</v>
      </c>
      <c r="F78" s="616" t="s">
        <v>2327</v>
      </c>
      <c r="G78" s="615" t="s">
        <v>1969</v>
      </c>
      <c r="H78" s="615" t="s">
        <v>1970</v>
      </c>
      <c r="I78" s="617">
        <v>1.7833333333333332</v>
      </c>
      <c r="J78" s="617">
        <v>300</v>
      </c>
      <c r="K78" s="618">
        <v>535</v>
      </c>
    </row>
    <row r="79" spans="1:11" ht="14.4" customHeight="1" x14ac:dyDescent="0.3">
      <c r="A79" s="613" t="s">
        <v>323</v>
      </c>
      <c r="B79" s="614" t="s">
        <v>1112</v>
      </c>
      <c r="C79" s="615" t="s">
        <v>340</v>
      </c>
      <c r="D79" s="616" t="s">
        <v>1113</v>
      </c>
      <c r="E79" s="615" t="s">
        <v>2326</v>
      </c>
      <c r="F79" s="616" t="s">
        <v>2327</v>
      </c>
      <c r="G79" s="615" t="s">
        <v>1971</v>
      </c>
      <c r="H79" s="615" t="s">
        <v>1972</v>
      </c>
      <c r="I79" s="617">
        <v>1.7949999999999999</v>
      </c>
      <c r="J79" s="617">
        <v>200</v>
      </c>
      <c r="K79" s="618">
        <v>359</v>
      </c>
    </row>
    <row r="80" spans="1:11" ht="14.4" customHeight="1" x14ac:dyDescent="0.3">
      <c r="A80" s="613" t="s">
        <v>323</v>
      </c>
      <c r="B80" s="614" t="s">
        <v>1112</v>
      </c>
      <c r="C80" s="615" t="s">
        <v>340</v>
      </c>
      <c r="D80" s="616" t="s">
        <v>1113</v>
      </c>
      <c r="E80" s="615" t="s">
        <v>2328</v>
      </c>
      <c r="F80" s="616" t="s">
        <v>2329</v>
      </c>
      <c r="G80" s="615" t="s">
        <v>1973</v>
      </c>
      <c r="H80" s="615" t="s">
        <v>1974</v>
      </c>
      <c r="I80" s="617">
        <v>7.51</v>
      </c>
      <c r="J80" s="617">
        <v>50</v>
      </c>
      <c r="K80" s="618">
        <v>375.5</v>
      </c>
    </row>
    <row r="81" spans="1:11" ht="14.4" customHeight="1" x14ac:dyDescent="0.3">
      <c r="A81" s="613" t="s">
        <v>323</v>
      </c>
      <c r="B81" s="614" t="s">
        <v>1112</v>
      </c>
      <c r="C81" s="615" t="s">
        <v>340</v>
      </c>
      <c r="D81" s="616" t="s">
        <v>1113</v>
      </c>
      <c r="E81" s="615" t="s">
        <v>2328</v>
      </c>
      <c r="F81" s="616" t="s">
        <v>2329</v>
      </c>
      <c r="G81" s="615" t="s">
        <v>1975</v>
      </c>
      <c r="H81" s="615" t="s">
        <v>1976</v>
      </c>
      <c r="I81" s="617">
        <v>0.71</v>
      </c>
      <c r="J81" s="617">
        <v>7600</v>
      </c>
      <c r="K81" s="618">
        <v>5411.88</v>
      </c>
    </row>
    <row r="82" spans="1:11" ht="14.4" customHeight="1" x14ac:dyDescent="0.3">
      <c r="A82" s="613" t="s">
        <v>323</v>
      </c>
      <c r="B82" s="614" t="s">
        <v>1112</v>
      </c>
      <c r="C82" s="615" t="s">
        <v>340</v>
      </c>
      <c r="D82" s="616" t="s">
        <v>1113</v>
      </c>
      <c r="E82" s="615" t="s">
        <v>2328</v>
      </c>
      <c r="F82" s="616" t="s">
        <v>2329</v>
      </c>
      <c r="G82" s="615" t="s">
        <v>1977</v>
      </c>
      <c r="H82" s="615" t="s">
        <v>1978</v>
      </c>
      <c r="I82" s="617">
        <v>0.71</v>
      </c>
      <c r="J82" s="617">
        <v>9000</v>
      </c>
      <c r="K82" s="618">
        <v>6390</v>
      </c>
    </row>
    <row r="83" spans="1:11" ht="14.4" customHeight="1" x14ac:dyDescent="0.3">
      <c r="A83" s="613" t="s">
        <v>323</v>
      </c>
      <c r="B83" s="614" t="s">
        <v>1112</v>
      </c>
      <c r="C83" s="615" t="s">
        <v>340</v>
      </c>
      <c r="D83" s="616" t="s">
        <v>1113</v>
      </c>
      <c r="E83" s="615" t="s">
        <v>2330</v>
      </c>
      <c r="F83" s="616" t="s">
        <v>2331</v>
      </c>
      <c r="G83" s="615" t="s">
        <v>1979</v>
      </c>
      <c r="H83" s="615" t="s">
        <v>1980</v>
      </c>
      <c r="I83" s="617">
        <v>139.44</v>
      </c>
      <c r="J83" s="617">
        <v>1</v>
      </c>
      <c r="K83" s="618">
        <v>139.44</v>
      </c>
    </row>
    <row r="84" spans="1:11" ht="14.4" customHeight="1" x14ac:dyDescent="0.3">
      <c r="A84" s="613" t="s">
        <v>323</v>
      </c>
      <c r="B84" s="614" t="s">
        <v>1112</v>
      </c>
      <c r="C84" s="615" t="s">
        <v>340</v>
      </c>
      <c r="D84" s="616" t="s">
        <v>1113</v>
      </c>
      <c r="E84" s="615" t="s">
        <v>2330</v>
      </c>
      <c r="F84" s="616" t="s">
        <v>2331</v>
      </c>
      <c r="G84" s="615" t="s">
        <v>1981</v>
      </c>
      <c r="H84" s="615" t="s">
        <v>1982</v>
      </c>
      <c r="I84" s="617">
        <v>139.44</v>
      </c>
      <c r="J84" s="617">
        <v>1</v>
      </c>
      <c r="K84" s="618">
        <v>139.44</v>
      </c>
    </row>
    <row r="85" spans="1:11" ht="14.4" customHeight="1" x14ac:dyDescent="0.3">
      <c r="A85" s="613" t="s">
        <v>323</v>
      </c>
      <c r="B85" s="614" t="s">
        <v>1112</v>
      </c>
      <c r="C85" s="615" t="s">
        <v>340</v>
      </c>
      <c r="D85" s="616" t="s">
        <v>1113</v>
      </c>
      <c r="E85" s="615" t="s">
        <v>2332</v>
      </c>
      <c r="F85" s="616" t="s">
        <v>2333</v>
      </c>
      <c r="G85" s="615" t="s">
        <v>1983</v>
      </c>
      <c r="H85" s="615" t="s">
        <v>1984</v>
      </c>
      <c r="I85" s="617">
        <v>13.91</v>
      </c>
      <c r="J85" s="617">
        <v>20</v>
      </c>
      <c r="K85" s="618">
        <v>278.2</v>
      </c>
    </row>
    <row r="86" spans="1:11" ht="14.4" customHeight="1" x14ac:dyDescent="0.3">
      <c r="A86" s="613" t="s">
        <v>323</v>
      </c>
      <c r="B86" s="614" t="s">
        <v>1112</v>
      </c>
      <c r="C86" s="615" t="s">
        <v>343</v>
      </c>
      <c r="D86" s="616" t="s">
        <v>1114</v>
      </c>
      <c r="E86" s="615" t="s">
        <v>2316</v>
      </c>
      <c r="F86" s="616" t="s">
        <v>2317</v>
      </c>
      <c r="G86" s="615" t="s">
        <v>1823</v>
      </c>
      <c r="H86" s="615" t="s">
        <v>1824</v>
      </c>
      <c r="I86" s="617">
        <v>156.11000000000001</v>
      </c>
      <c r="J86" s="617">
        <v>1</v>
      </c>
      <c r="K86" s="618">
        <v>156.11000000000001</v>
      </c>
    </row>
    <row r="87" spans="1:11" ht="14.4" customHeight="1" x14ac:dyDescent="0.3">
      <c r="A87" s="613" t="s">
        <v>323</v>
      </c>
      <c r="B87" s="614" t="s">
        <v>1112</v>
      </c>
      <c r="C87" s="615" t="s">
        <v>343</v>
      </c>
      <c r="D87" s="616" t="s">
        <v>1114</v>
      </c>
      <c r="E87" s="615" t="s">
        <v>2316</v>
      </c>
      <c r="F87" s="616" t="s">
        <v>2317</v>
      </c>
      <c r="G87" s="615" t="s">
        <v>1985</v>
      </c>
      <c r="H87" s="615" t="s">
        <v>1986</v>
      </c>
      <c r="I87" s="617">
        <v>166.74</v>
      </c>
      <c r="J87" s="617">
        <v>1</v>
      </c>
      <c r="K87" s="618">
        <v>166.74</v>
      </c>
    </row>
    <row r="88" spans="1:11" ht="14.4" customHeight="1" x14ac:dyDescent="0.3">
      <c r="A88" s="613" t="s">
        <v>323</v>
      </c>
      <c r="B88" s="614" t="s">
        <v>1112</v>
      </c>
      <c r="C88" s="615" t="s">
        <v>343</v>
      </c>
      <c r="D88" s="616" t="s">
        <v>1114</v>
      </c>
      <c r="E88" s="615" t="s">
        <v>2316</v>
      </c>
      <c r="F88" s="616" t="s">
        <v>2317</v>
      </c>
      <c r="G88" s="615" t="s">
        <v>1825</v>
      </c>
      <c r="H88" s="615" t="s">
        <v>1826</v>
      </c>
      <c r="I88" s="617">
        <v>260.3</v>
      </c>
      <c r="J88" s="617">
        <v>1</v>
      </c>
      <c r="K88" s="618">
        <v>260.3</v>
      </c>
    </row>
    <row r="89" spans="1:11" ht="14.4" customHeight="1" x14ac:dyDescent="0.3">
      <c r="A89" s="613" t="s">
        <v>323</v>
      </c>
      <c r="B89" s="614" t="s">
        <v>1112</v>
      </c>
      <c r="C89" s="615" t="s">
        <v>343</v>
      </c>
      <c r="D89" s="616" t="s">
        <v>1114</v>
      </c>
      <c r="E89" s="615" t="s">
        <v>2316</v>
      </c>
      <c r="F89" s="616" t="s">
        <v>2317</v>
      </c>
      <c r="G89" s="615" t="s">
        <v>1827</v>
      </c>
      <c r="H89" s="615" t="s">
        <v>1828</v>
      </c>
      <c r="I89" s="617">
        <v>15.77</v>
      </c>
      <c r="J89" s="617">
        <v>20</v>
      </c>
      <c r="K89" s="618">
        <v>315.39999999999998</v>
      </c>
    </row>
    <row r="90" spans="1:11" ht="14.4" customHeight="1" x14ac:dyDescent="0.3">
      <c r="A90" s="613" t="s">
        <v>323</v>
      </c>
      <c r="B90" s="614" t="s">
        <v>1112</v>
      </c>
      <c r="C90" s="615" t="s">
        <v>343</v>
      </c>
      <c r="D90" s="616" t="s">
        <v>1114</v>
      </c>
      <c r="E90" s="615" t="s">
        <v>2316</v>
      </c>
      <c r="F90" s="616" t="s">
        <v>2317</v>
      </c>
      <c r="G90" s="615" t="s">
        <v>1987</v>
      </c>
      <c r="H90" s="615" t="s">
        <v>1988</v>
      </c>
      <c r="I90" s="617">
        <v>2.96</v>
      </c>
      <c r="J90" s="617">
        <v>20</v>
      </c>
      <c r="K90" s="618">
        <v>59.2</v>
      </c>
    </row>
    <row r="91" spans="1:11" ht="14.4" customHeight="1" x14ac:dyDescent="0.3">
      <c r="A91" s="613" t="s">
        <v>323</v>
      </c>
      <c r="B91" s="614" t="s">
        <v>1112</v>
      </c>
      <c r="C91" s="615" t="s">
        <v>343</v>
      </c>
      <c r="D91" s="616" t="s">
        <v>1114</v>
      </c>
      <c r="E91" s="615" t="s">
        <v>2316</v>
      </c>
      <c r="F91" s="616" t="s">
        <v>2317</v>
      </c>
      <c r="G91" s="615" t="s">
        <v>1989</v>
      </c>
      <c r="H91" s="615" t="s">
        <v>1990</v>
      </c>
      <c r="I91" s="617">
        <v>42.935000000000002</v>
      </c>
      <c r="J91" s="617">
        <v>5</v>
      </c>
      <c r="K91" s="618">
        <v>211.4</v>
      </c>
    </row>
    <row r="92" spans="1:11" ht="14.4" customHeight="1" x14ac:dyDescent="0.3">
      <c r="A92" s="613" t="s">
        <v>323</v>
      </c>
      <c r="B92" s="614" t="s">
        <v>1112</v>
      </c>
      <c r="C92" s="615" t="s">
        <v>343</v>
      </c>
      <c r="D92" s="616" t="s">
        <v>1114</v>
      </c>
      <c r="E92" s="615" t="s">
        <v>2316</v>
      </c>
      <c r="F92" s="616" t="s">
        <v>2317</v>
      </c>
      <c r="G92" s="615" t="s">
        <v>1991</v>
      </c>
      <c r="H92" s="615" t="s">
        <v>1992</v>
      </c>
      <c r="I92" s="617">
        <v>0.88</v>
      </c>
      <c r="J92" s="617">
        <v>500</v>
      </c>
      <c r="K92" s="618">
        <v>440</v>
      </c>
    </row>
    <row r="93" spans="1:11" ht="14.4" customHeight="1" x14ac:dyDescent="0.3">
      <c r="A93" s="613" t="s">
        <v>323</v>
      </c>
      <c r="B93" s="614" t="s">
        <v>1112</v>
      </c>
      <c r="C93" s="615" t="s">
        <v>343</v>
      </c>
      <c r="D93" s="616" t="s">
        <v>1114</v>
      </c>
      <c r="E93" s="615" t="s">
        <v>2316</v>
      </c>
      <c r="F93" s="616" t="s">
        <v>2317</v>
      </c>
      <c r="G93" s="615" t="s">
        <v>1993</v>
      </c>
      <c r="H93" s="615" t="s">
        <v>1994</v>
      </c>
      <c r="I93" s="617">
        <v>15.430000000000001</v>
      </c>
      <c r="J93" s="617">
        <v>670</v>
      </c>
      <c r="K93" s="618">
        <v>10485.5</v>
      </c>
    </row>
    <row r="94" spans="1:11" ht="14.4" customHeight="1" x14ac:dyDescent="0.3">
      <c r="A94" s="613" t="s">
        <v>323</v>
      </c>
      <c r="B94" s="614" t="s">
        <v>1112</v>
      </c>
      <c r="C94" s="615" t="s">
        <v>343</v>
      </c>
      <c r="D94" s="616" t="s">
        <v>1114</v>
      </c>
      <c r="E94" s="615" t="s">
        <v>2316</v>
      </c>
      <c r="F94" s="616" t="s">
        <v>2317</v>
      </c>
      <c r="G94" s="615" t="s">
        <v>1833</v>
      </c>
      <c r="H94" s="615" t="s">
        <v>1834</v>
      </c>
      <c r="I94" s="617">
        <v>0.59</v>
      </c>
      <c r="J94" s="617">
        <v>1500</v>
      </c>
      <c r="K94" s="618">
        <v>885</v>
      </c>
    </row>
    <row r="95" spans="1:11" ht="14.4" customHeight="1" x14ac:dyDescent="0.3">
      <c r="A95" s="613" t="s">
        <v>323</v>
      </c>
      <c r="B95" s="614" t="s">
        <v>1112</v>
      </c>
      <c r="C95" s="615" t="s">
        <v>343</v>
      </c>
      <c r="D95" s="616" t="s">
        <v>1114</v>
      </c>
      <c r="E95" s="615" t="s">
        <v>2316</v>
      </c>
      <c r="F95" s="616" t="s">
        <v>2317</v>
      </c>
      <c r="G95" s="615" t="s">
        <v>1995</v>
      </c>
      <c r="H95" s="615" t="s">
        <v>1996</v>
      </c>
      <c r="I95" s="617">
        <v>13.02</v>
      </c>
      <c r="J95" s="617">
        <v>3</v>
      </c>
      <c r="K95" s="618">
        <v>39.06</v>
      </c>
    </row>
    <row r="96" spans="1:11" ht="14.4" customHeight="1" x14ac:dyDescent="0.3">
      <c r="A96" s="613" t="s">
        <v>323</v>
      </c>
      <c r="B96" s="614" t="s">
        <v>1112</v>
      </c>
      <c r="C96" s="615" t="s">
        <v>343</v>
      </c>
      <c r="D96" s="616" t="s">
        <v>1114</v>
      </c>
      <c r="E96" s="615" t="s">
        <v>2316</v>
      </c>
      <c r="F96" s="616" t="s">
        <v>2317</v>
      </c>
      <c r="G96" s="615" t="s">
        <v>1835</v>
      </c>
      <c r="H96" s="615" t="s">
        <v>1836</v>
      </c>
      <c r="I96" s="617">
        <v>29.335000000000001</v>
      </c>
      <c r="J96" s="617">
        <v>10</v>
      </c>
      <c r="K96" s="618">
        <v>293.36</v>
      </c>
    </row>
    <row r="97" spans="1:11" ht="14.4" customHeight="1" x14ac:dyDescent="0.3">
      <c r="A97" s="613" t="s">
        <v>323</v>
      </c>
      <c r="B97" s="614" t="s">
        <v>1112</v>
      </c>
      <c r="C97" s="615" t="s">
        <v>343</v>
      </c>
      <c r="D97" s="616" t="s">
        <v>1114</v>
      </c>
      <c r="E97" s="615" t="s">
        <v>2316</v>
      </c>
      <c r="F97" s="616" t="s">
        <v>2317</v>
      </c>
      <c r="G97" s="615" t="s">
        <v>1997</v>
      </c>
      <c r="H97" s="615" t="s">
        <v>1998</v>
      </c>
      <c r="I97" s="617">
        <v>23.05</v>
      </c>
      <c r="J97" s="617">
        <v>2</v>
      </c>
      <c r="K97" s="618">
        <v>46.1</v>
      </c>
    </row>
    <row r="98" spans="1:11" ht="14.4" customHeight="1" x14ac:dyDescent="0.3">
      <c r="A98" s="613" t="s">
        <v>323</v>
      </c>
      <c r="B98" s="614" t="s">
        <v>1112</v>
      </c>
      <c r="C98" s="615" t="s">
        <v>343</v>
      </c>
      <c r="D98" s="616" t="s">
        <v>1114</v>
      </c>
      <c r="E98" s="615" t="s">
        <v>2316</v>
      </c>
      <c r="F98" s="616" t="s">
        <v>2317</v>
      </c>
      <c r="G98" s="615" t="s">
        <v>1839</v>
      </c>
      <c r="H98" s="615" t="s">
        <v>1840</v>
      </c>
      <c r="I98" s="617">
        <v>13.16</v>
      </c>
      <c r="J98" s="617">
        <v>24</v>
      </c>
      <c r="K98" s="618">
        <v>315.83999999999997</v>
      </c>
    </row>
    <row r="99" spans="1:11" ht="14.4" customHeight="1" x14ac:dyDescent="0.3">
      <c r="A99" s="613" t="s">
        <v>323</v>
      </c>
      <c r="B99" s="614" t="s">
        <v>1112</v>
      </c>
      <c r="C99" s="615" t="s">
        <v>343</v>
      </c>
      <c r="D99" s="616" t="s">
        <v>1114</v>
      </c>
      <c r="E99" s="615" t="s">
        <v>2316</v>
      </c>
      <c r="F99" s="616" t="s">
        <v>2317</v>
      </c>
      <c r="G99" s="615" t="s">
        <v>1841</v>
      </c>
      <c r="H99" s="615" t="s">
        <v>1842</v>
      </c>
      <c r="I99" s="617">
        <v>26.37</v>
      </c>
      <c r="J99" s="617">
        <v>96</v>
      </c>
      <c r="K99" s="618">
        <v>2531.48</v>
      </c>
    </row>
    <row r="100" spans="1:11" ht="14.4" customHeight="1" x14ac:dyDescent="0.3">
      <c r="A100" s="613" t="s">
        <v>323</v>
      </c>
      <c r="B100" s="614" t="s">
        <v>1112</v>
      </c>
      <c r="C100" s="615" t="s">
        <v>343</v>
      </c>
      <c r="D100" s="616" t="s">
        <v>1114</v>
      </c>
      <c r="E100" s="615" t="s">
        <v>2316</v>
      </c>
      <c r="F100" s="616" t="s">
        <v>2317</v>
      </c>
      <c r="G100" s="615" t="s">
        <v>1999</v>
      </c>
      <c r="H100" s="615" t="s">
        <v>2000</v>
      </c>
      <c r="I100" s="617">
        <v>0.85250000000000004</v>
      </c>
      <c r="J100" s="617">
        <v>400</v>
      </c>
      <c r="K100" s="618">
        <v>341</v>
      </c>
    </row>
    <row r="101" spans="1:11" ht="14.4" customHeight="1" x14ac:dyDescent="0.3">
      <c r="A101" s="613" t="s">
        <v>323</v>
      </c>
      <c r="B101" s="614" t="s">
        <v>1112</v>
      </c>
      <c r="C101" s="615" t="s">
        <v>343</v>
      </c>
      <c r="D101" s="616" t="s">
        <v>1114</v>
      </c>
      <c r="E101" s="615" t="s">
        <v>2316</v>
      </c>
      <c r="F101" s="616" t="s">
        <v>2317</v>
      </c>
      <c r="G101" s="615" t="s">
        <v>2001</v>
      </c>
      <c r="H101" s="615" t="s">
        <v>2002</v>
      </c>
      <c r="I101" s="617">
        <v>2.87</v>
      </c>
      <c r="J101" s="617">
        <v>100</v>
      </c>
      <c r="K101" s="618">
        <v>287</v>
      </c>
    </row>
    <row r="102" spans="1:11" ht="14.4" customHeight="1" x14ac:dyDescent="0.3">
      <c r="A102" s="613" t="s">
        <v>323</v>
      </c>
      <c r="B102" s="614" t="s">
        <v>1112</v>
      </c>
      <c r="C102" s="615" t="s">
        <v>343</v>
      </c>
      <c r="D102" s="616" t="s">
        <v>1114</v>
      </c>
      <c r="E102" s="615" t="s">
        <v>2316</v>
      </c>
      <c r="F102" s="616" t="s">
        <v>2317</v>
      </c>
      <c r="G102" s="615" t="s">
        <v>1857</v>
      </c>
      <c r="H102" s="615" t="s">
        <v>1858</v>
      </c>
      <c r="I102" s="617">
        <v>5.27</v>
      </c>
      <c r="J102" s="617">
        <v>50</v>
      </c>
      <c r="K102" s="618">
        <v>263.5</v>
      </c>
    </row>
    <row r="103" spans="1:11" ht="14.4" customHeight="1" x14ac:dyDescent="0.3">
      <c r="A103" s="613" t="s">
        <v>323</v>
      </c>
      <c r="B103" s="614" t="s">
        <v>1112</v>
      </c>
      <c r="C103" s="615" t="s">
        <v>343</v>
      </c>
      <c r="D103" s="616" t="s">
        <v>1114</v>
      </c>
      <c r="E103" s="615" t="s">
        <v>2316</v>
      </c>
      <c r="F103" s="616" t="s">
        <v>2317</v>
      </c>
      <c r="G103" s="615" t="s">
        <v>1859</v>
      </c>
      <c r="H103" s="615" t="s">
        <v>1860</v>
      </c>
      <c r="I103" s="617">
        <v>0.62</v>
      </c>
      <c r="J103" s="617">
        <v>9600</v>
      </c>
      <c r="K103" s="618">
        <v>5966.2</v>
      </c>
    </row>
    <row r="104" spans="1:11" ht="14.4" customHeight="1" x14ac:dyDescent="0.3">
      <c r="A104" s="613" t="s">
        <v>323</v>
      </c>
      <c r="B104" s="614" t="s">
        <v>1112</v>
      </c>
      <c r="C104" s="615" t="s">
        <v>343</v>
      </c>
      <c r="D104" s="616" t="s">
        <v>1114</v>
      </c>
      <c r="E104" s="615" t="s">
        <v>2316</v>
      </c>
      <c r="F104" s="616" t="s">
        <v>2317</v>
      </c>
      <c r="G104" s="615" t="s">
        <v>2003</v>
      </c>
      <c r="H104" s="615" t="s">
        <v>2004</v>
      </c>
      <c r="I104" s="617">
        <v>97.04</v>
      </c>
      <c r="J104" s="617">
        <v>5</v>
      </c>
      <c r="K104" s="618">
        <v>485.2</v>
      </c>
    </row>
    <row r="105" spans="1:11" ht="14.4" customHeight="1" x14ac:dyDescent="0.3">
      <c r="A105" s="613" t="s">
        <v>323</v>
      </c>
      <c r="B105" s="614" t="s">
        <v>1112</v>
      </c>
      <c r="C105" s="615" t="s">
        <v>343</v>
      </c>
      <c r="D105" s="616" t="s">
        <v>1114</v>
      </c>
      <c r="E105" s="615" t="s">
        <v>2316</v>
      </c>
      <c r="F105" s="616" t="s">
        <v>2317</v>
      </c>
      <c r="G105" s="615" t="s">
        <v>1861</v>
      </c>
      <c r="H105" s="615" t="s">
        <v>1862</v>
      </c>
      <c r="I105" s="617">
        <v>111.59</v>
      </c>
      <c r="J105" s="617">
        <v>10</v>
      </c>
      <c r="K105" s="618">
        <v>1115.9000000000001</v>
      </c>
    </row>
    <row r="106" spans="1:11" ht="14.4" customHeight="1" x14ac:dyDescent="0.3">
      <c r="A106" s="613" t="s">
        <v>323</v>
      </c>
      <c r="B106" s="614" t="s">
        <v>1112</v>
      </c>
      <c r="C106" s="615" t="s">
        <v>343</v>
      </c>
      <c r="D106" s="616" t="s">
        <v>1114</v>
      </c>
      <c r="E106" s="615" t="s">
        <v>2318</v>
      </c>
      <c r="F106" s="616" t="s">
        <v>2319</v>
      </c>
      <c r="G106" s="615" t="s">
        <v>2005</v>
      </c>
      <c r="H106" s="615" t="s">
        <v>2006</v>
      </c>
      <c r="I106" s="617">
        <v>2.9674999999999998</v>
      </c>
      <c r="J106" s="617">
        <v>400</v>
      </c>
      <c r="K106" s="618">
        <v>1187</v>
      </c>
    </row>
    <row r="107" spans="1:11" ht="14.4" customHeight="1" x14ac:dyDescent="0.3">
      <c r="A107" s="613" t="s">
        <v>323</v>
      </c>
      <c r="B107" s="614" t="s">
        <v>1112</v>
      </c>
      <c r="C107" s="615" t="s">
        <v>343</v>
      </c>
      <c r="D107" s="616" t="s">
        <v>1114</v>
      </c>
      <c r="E107" s="615" t="s">
        <v>2318</v>
      </c>
      <c r="F107" s="616" t="s">
        <v>2319</v>
      </c>
      <c r="G107" s="615" t="s">
        <v>1865</v>
      </c>
      <c r="H107" s="615" t="s">
        <v>1866</v>
      </c>
      <c r="I107" s="617">
        <v>1.67</v>
      </c>
      <c r="J107" s="617">
        <v>200</v>
      </c>
      <c r="K107" s="618">
        <v>334</v>
      </c>
    </row>
    <row r="108" spans="1:11" ht="14.4" customHeight="1" x14ac:dyDescent="0.3">
      <c r="A108" s="613" t="s">
        <v>323</v>
      </c>
      <c r="B108" s="614" t="s">
        <v>1112</v>
      </c>
      <c r="C108" s="615" t="s">
        <v>343</v>
      </c>
      <c r="D108" s="616" t="s">
        <v>1114</v>
      </c>
      <c r="E108" s="615" t="s">
        <v>2318</v>
      </c>
      <c r="F108" s="616" t="s">
        <v>2319</v>
      </c>
      <c r="G108" s="615" t="s">
        <v>1867</v>
      </c>
      <c r="H108" s="615" t="s">
        <v>1868</v>
      </c>
      <c r="I108" s="617">
        <v>0.47500000000000003</v>
      </c>
      <c r="J108" s="617">
        <v>3200</v>
      </c>
      <c r="K108" s="618">
        <v>1520</v>
      </c>
    </row>
    <row r="109" spans="1:11" ht="14.4" customHeight="1" x14ac:dyDescent="0.3">
      <c r="A109" s="613" t="s">
        <v>323</v>
      </c>
      <c r="B109" s="614" t="s">
        <v>1112</v>
      </c>
      <c r="C109" s="615" t="s">
        <v>343</v>
      </c>
      <c r="D109" s="616" t="s">
        <v>1114</v>
      </c>
      <c r="E109" s="615" t="s">
        <v>2318</v>
      </c>
      <c r="F109" s="616" t="s">
        <v>2319</v>
      </c>
      <c r="G109" s="615" t="s">
        <v>1869</v>
      </c>
      <c r="H109" s="615" t="s">
        <v>1870</v>
      </c>
      <c r="I109" s="617">
        <v>0.67</v>
      </c>
      <c r="J109" s="617">
        <v>1700</v>
      </c>
      <c r="K109" s="618">
        <v>1139</v>
      </c>
    </row>
    <row r="110" spans="1:11" ht="14.4" customHeight="1" x14ac:dyDescent="0.3">
      <c r="A110" s="613" t="s">
        <v>323</v>
      </c>
      <c r="B110" s="614" t="s">
        <v>1112</v>
      </c>
      <c r="C110" s="615" t="s">
        <v>343</v>
      </c>
      <c r="D110" s="616" t="s">
        <v>1114</v>
      </c>
      <c r="E110" s="615" t="s">
        <v>2318</v>
      </c>
      <c r="F110" s="616" t="s">
        <v>2319</v>
      </c>
      <c r="G110" s="615" t="s">
        <v>2007</v>
      </c>
      <c r="H110" s="615" t="s">
        <v>2008</v>
      </c>
      <c r="I110" s="617">
        <v>4.2333333333333334</v>
      </c>
      <c r="J110" s="617">
        <v>150</v>
      </c>
      <c r="K110" s="618">
        <v>635.4</v>
      </c>
    </row>
    <row r="111" spans="1:11" ht="14.4" customHeight="1" x14ac:dyDescent="0.3">
      <c r="A111" s="613" t="s">
        <v>323</v>
      </c>
      <c r="B111" s="614" t="s">
        <v>1112</v>
      </c>
      <c r="C111" s="615" t="s">
        <v>343</v>
      </c>
      <c r="D111" s="616" t="s">
        <v>1114</v>
      </c>
      <c r="E111" s="615" t="s">
        <v>2318</v>
      </c>
      <c r="F111" s="616" t="s">
        <v>2319</v>
      </c>
      <c r="G111" s="615" t="s">
        <v>2009</v>
      </c>
      <c r="H111" s="615" t="s">
        <v>2010</v>
      </c>
      <c r="I111" s="617">
        <v>33.880000000000003</v>
      </c>
      <c r="J111" s="617">
        <v>4</v>
      </c>
      <c r="K111" s="618">
        <v>135.52000000000001</v>
      </c>
    </row>
    <row r="112" spans="1:11" ht="14.4" customHeight="1" x14ac:dyDescent="0.3">
      <c r="A112" s="613" t="s">
        <v>323</v>
      </c>
      <c r="B112" s="614" t="s">
        <v>1112</v>
      </c>
      <c r="C112" s="615" t="s">
        <v>343</v>
      </c>
      <c r="D112" s="616" t="s">
        <v>1114</v>
      </c>
      <c r="E112" s="615" t="s">
        <v>2318</v>
      </c>
      <c r="F112" s="616" t="s">
        <v>2319</v>
      </c>
      <c r="G112" s="615" t="s">
        <v>1893</v>
      </c>
      <c r="H112" s="615" t="s">
        <v>1894</v>
      </c>
      <c r="I112" s="617">
        <v>2.9066666666666667</v>
      </c>
      <c r="J112" s="617">
        <v>400</v>
      </c>
      <c r="K112" s="618">
        <v>1163</v>
      </c>
    </row>
    <row r="113" spans="1:11" ht="14.4" customHeight="1" x14ac:dyDescent="0.3">
      <c r="A113" s="613" t="s">
        <v>323</v>
      </c>
      <c r="B113" s="614" t="s">
        <v>1112</v>
      </c>
      <c r="C113" s="615" t="s">
        <v>343</v>
      </c>
      <c r="D113" s="616" t="s">
        <v>1114</v>
      </c>
      <c r="E113" s="615" t="s">
        <v>2318</v>
      </c>
      <c r="F113" s="616" t="s">
        <v>2319</v>
      </c>
      <c r="G113" s="615" t="s">
        <v>1895</v>
      </c>
      <c r="H113" s="615" t="s">
        <v>1896</v>
      </c>
      <c r="I113" s="617">
        <v>5.14</v>
      </c>
      <c r="J113" s="617">
        <v>40</v>
      </c>
      <c r="K113" s="618">
        <v>205.6</v>
      </c>
    </row>
    <row r="114" spans="1:11" ht="14.4" customHeight="1" x14ac:dyDescent="0.3">
      <c r="A114" s="613" t="s">
        <v>323</v>
      </c>
      <c r="B114" s="614" t="s">
        <v>1112</v>
      </c>
      <c r="C114" s="615" t="s">
        <v>343</v>
      </c>
      <c r="D114" s="616" t="s">
        <v>1114</v>
      </c>
      <c r="E114" s="615" t="s">
        <v>2318</v>
      </c>
      <c r="F114" s="616" t="s">
        <v>2319</v>
      </c>
      <c r="G114" s="615" t="s">
        <v>2011</v>
      </c>
      <c r="H114" s="615" t="s">
        <v>2012</v>
      </c>
      <c r="I114" s="617">
        <v>127.05</v>
      </c>
      <c r="J114" s="617">
        <v>1</v>
      </c>
      <c r="K114" s="618">
        <v>127.05</v>
      </c>
    </row>
    <row r="115" spans="1:11" ht="14.4" customHeight="1" x14ac:dyDescent="0.3">
      <c r="A115" s="613" t="s">
        <v>323</v>
      </c>
      <c r="B115" s="614" t="s">
        <v>1112</v>
      </c>
      <c r="C115" s="615" t="s">
        <v>343</v>
      </c>
      <c r="D115" s="616" t="s">
        <v>1114</v>
      </c>
      <c r="E115" s="615" t="s">
        <v>2318</v>
      </c>
      <c r="F115" s="616" t="s">
        <v>2319</v>
      </c>
      <c r="G115" s="615" t="s">
        <v>1905</v>
      </c>
      <c r="H115" s="615" t="s">
        <v>1906</v>
      </c>
      <c r="I115" s="617">
        <v>12.103999999999999</v>
      </c>
      <c r="J115" s="617">
        <v>50</v>
      </c>
      <c r="K115" s="618">
        <v>605.20000000000005</v>
      </c>
    </row>
    <row r="116" spans="1:11" ht="14.4" customHeight="1" x14ac:dyDescent="0.3">
      <c r="A116" s="613" t="s">
        <v>323</v>
      </c>
      <c r="B116" s="614" t="s">
        <v>1112</v>
      </c>
      <c r="C116" s="615" t="s">
        <v>343</v>
      </c>
      <c r="D116" s="616" t="s">
        <v>1114</v>
      </c>
      <c r="E116" s="615" t="s">
        <v>2318</v>
      </c>
      <c r="F116" s="616" t="s">
        <v>2319</v>
      </c>
      <c r="G116" s="615" t="s">
        <v>1907</v>
      </c>
      <c r="H116" s="615" t="s">
        <v>1908</v>
      </c>
      <c r="I116" s="617">
        <v>25.54</v>
      </c>
      <c r="J116" s="617">
        <v>10</v>
      </c>
      <c r="K116" s="618">
        <v>255.4</v>
      </c>
    </row>
    <row r="117" spans="1:11" ht="14.4" customHeight="1" x14ac:dyDescent="0.3">
      <c r="A117" s="613" t="s">
        <v>323</v>
      </c>
      <c r="B117" s="614" t="s">
        <v>1112</v>
      </c>
      <c r="C117" s="615" t="s">
        <v>343</v>
      </c>
      <c r="D117" s="616" t="s">
        <v>1114</v>
      </c>
      <c r="E117" s="615" t="s">
        <v>2318</v>
      </c>
      <c r="F117" s="616" t="s">
        <v>2319</v>
      </c>
      <c r="G117" s="615" t="s">
        <v>2013</v>
      </c>
      <c r="H117" s="615" t="s">
        <v>2014</v>
      </c>
      <c r="I117" s="617">
        <v>1.23</v>
      </c>
      <c r="J117" s="617">
        <v>100</v>
      </c>
      <c r="K117" s="618">
        <v>123</v>
      </c>
    </row>
    <row r="118" spans="1:11" ht="14.4" customHeight="1" x14ac:dyDescent="0.3">
      <c r="A118" s="613" t="s">
        <v>323</v>
      </c>
      <c r="B118" s="614" t="s">
        <v>1112</v>
      </c>
      <c r="C118" s="615" t="s">
        <v>343</v>
      </c>
      <c r="D118" s="616" t="s">
        <v>1114</v>
      </c>
      <c r="E118" s="615" t="s">
        <v>2318</v>
      </c>
      <c r="F118" s="616" t="s">
        <v>2319</v>
      </c>
      <c r="G118" s="615" t="s">
        <v>1943</v>
      </c>
      <c r="H118" s="615" t="s">
        <v>1944</v>
      </c>
      <c r="I118" s="617">
        <v>1.0550000000000002</v>
      </c>
      <c r="J118" s="617">
        <v>300</v>
      </c>
      <c r="K118" s="618">
        <v>316</v>
      </c>
    </row>
    <row r="119" spans="1:11" ht="14.4" customHeight="1" x14ac:dyDescent="0.3">
      <c r="A119" s="613" t="s">
        <v>323</v>
      </c>
      <c r="B119" s="614" t="s">
        <v>1112</v>
      </c>
      <c r="C119" s="615" t="s">
        <v>343</v>
      </c>
      <c r="D119" s="616" t="s">
        <v>1114</v>
      </c>
      <c r="E119" s="615" t="s">
        <v>2318</v>
      </c>
      <c r="F119" s="616" t="s">
        <v>2319</v>
      </c>
      <c r="G119" s="615" t="s">
        <v>2015</v>
      </c>
      <c r="H119" s="615" t="s">
        <v>2016</v>
      </c>
      <c r="I119" s="617">
        <v>12.84</v>
      </c>
      <c r="J119" s="617">
        <v>50</v>
      </c>
      <c r="K119" s="618">
        <v>641.91</v>
      </c>
    </row>
    <row r="120" spans="1:11" ht="14.4" customHeight="1" x14ac:dyDescent="0.3">
      <c r="A120" s="613" t="s">
        <v>323</v>
      </c>
      <c r="B120" s="614" t="s">
        <v>1112</v>
      </c>
      <c r="C120" s="615" t="s">
        <v>343</v>
      </c>
      <c r="D120" s="616" t="s">
        <v>1114</v>
      </c>
      <c r="E120" s="615" t="s">
        <v>2334</v>
      </c>
      <c r="F120" s="616" t="s">
        <v>2335</v>
      </c>
      <c r="G120" s="615" t="s">
        <v>2017</v>
      </c>
      <c r="H120" s="615" t="s">
        <v>2018</v>
      </c>
      <c r="I120" s="617">
        <v>6.33</v>
      </c>
      <c r="J120" s="617">
        <v>150</v>
      </c>
      <c r="K120" s="618">
        <v>949</v>
      </c>
    </row>
    <row r="121" spans="1:11" ht="14.4" customHeight="1" x14ac:dyDescent="0.3">
      <c r="A121" s="613" t="s">
        <v>323</v>
      </c>
      <c r="B121" s="614" t="s">
        <v>1112</v>
      </c>
      <c r="C121" s="615" t="s">
        <v>343</v>
      </c>
      <c r="D121" s="616" t="s">
        <v>1114</v>
      </c>
      <c r="E121" s="615" t="s">
        <v>2336</v>
      </c>
      <c r="F121" s="616" t="s">
        <v>2337</v>
      </c>
      <c r="G121" s="615" t="s">
        <v>2019</v>
      </c>
      <c r="H121" s="615" t="s">
        <v>2020</v>
      </c>
      <c r="I121" s="617">
        <v>3979.0150000000003</v>
      </c>
      <c r="J121" s="617">
        <v>4</v>
      </c>
      <c r="K121" s="618">
        <v>15916.05</v>
      </c>
    </row>
    <row r="122" spans="1:11" ht="14.4" customHeight="1" x14ac:dyDescent="0.3">
      <c r="A122" s="613" t="s">
        <v>323</v>
      </c>
      <c r="B122" s="614" t="s">
        <v>1112</v>
      </c>
      <c r="C122" s="615" t="s">
        <v>343</v>
      </c>
      <c r="D122" s="616" t="s">
        <v>1114</v>
      </c>
      <c r="E122" s="615" t="s">
        <v>2336</v>
      </c>
      <c r="F122" s="616" t="s">
        <v>2337</v>
      </c>
      <c r="G122" s="615" t="s">
        <v>2021</v>
      </c>
      <c r="H122" s="615" t="s">
        <v>2022</v>
      </c>
      <c r="I122" s="617">
        <v>271.7</v>
      </c>
      <c r="J122" s="617">
        <v>2</v>
      </c>
      <c r="K122" s="618">
        <v>543.4</v>
      </c>
    </row>
    <row r="123" spans="1:11" ht="14.4" customHeight="1" x14ac:dyDescent="0.3">
      <c r="A123" s="613" t="s">
        <v>323</v>
      </c>
      <c r="B123" s="614" t="s">
        <v>1112</v>
      </c>
      <c r="C123" s="615" t="s">
        <v>343</v>
      </c>
      <c r="D123" s="616" t="s">
        <v>1114</v>
      </c>
      <c r="E123" s="615" t="s">
        <v>2336</v>
      </c>
      <c r="F123" s="616" t="s">
        <v>2337</v>
      </c>
      <c r="G123" s="615" t="s">
        <v>2023</v>
      </c>
      <c r="H123" s="615" t="s">
        <v>2024</v>
      </c>
      <c r="I123" s="617">
        <v>350.6</v>
      </c>
      <c r="J123" s="617">
        <v>1</v>
      </c>
      <c r="K123" s="618">
        <v>350.6</v>
      </c>
    </row>
    <row r="124" spans="1:11" ht="14.4" customHeight="1" x14ac:dyDescent="0.3">
      <c r="A124" s="613" t="s">
        <v>323</v>
      </c>
      <c r="B124" s="614" t="s">
        <v>1112</v>
      </c>
      <c r="C124" s="615" t="s">
        <v>343</v>
      </c>
      <c r="D124" s="616" t="s">
        <v>1114</v>
      </c>
      <c r="E124" s="615" t="s">
        <v>2336</v>
      </c>
      <c r="F124" s="616" t="s">
        <v>2337</v>
      </c>
      <c r="G124" s="615" t="s">
        <v>2025</v>
      </c>
      <c r="H124" s="615" t="s">
        <v>2026</v>
      </c>
      <c r="I124" s="617">
        <v>4114</v>
      </c>
      <c r="J124" s="617">
        <v>2</v>
      </c>
      <c r="K124" s="618">
        <v>8228</v>
      </c>
    </row>
    <row r="125" spans="1:11" ht="14.4" customHeight="1" x14ac:dyDescent="0.3">
      <c r="A125" s="613" t="s">
        <v>323</v>
      </c>
      <c r="B125" s="614" t="s">
        <v>1112</v>
      </c>
      <c r="C125" s="615" t="s">
        <v>343</v>
      </c>
      <c r="D125" s="616" t="s">
        <v>1114</v>
      </c>
      <c r="E125" s="615" t="s">
        <v>2336</v>
      </c>
      <c r="F125" s="616" t="s">
        <v>2337</v>
      </c>
      <c r="G125" s="615" t="s">
        <v>2027</v>
      </c>
      <c r="H125" s="615" t="s">
        <v>2028</v>
      </c>
      <c r="I125" s="617">
        <v>3242</v>
      </c>
      <c r="J125" s="617">
        <v>1</v>
      </c>
      <c r="K125" s="618">
        <v>3242</v>
      </c>
    </row>
    <row r="126" spans="1:11" ht="14.4" customHeight="1" x14ac:dyDescent="0.3">
      <c r="A126" s="613" t="s">
        <v>323</v>
      </c>
      <c r="B126" s="614" t="s">
        <v>1112</v>
      </c>
      <c r="C126" s="615" t="s">
        <v>343</v>
      </c>
      <c r="D126" s="616" t="s">
        <v>1114</v>
      </c>
      <c r="E126" s="615" t="s">
        <v>2336</v>
      </c>
      <c r="F126" s="616" t="s">
        <v>2337</v>
      </c>
      <c r="G126" s="615" t="s">
        <v>2029</v>
      </c>
      <c r="H126" s="615" t="s">
        <v>2030</v>
      </c>
      <c r="I126" s="617">
        <v>118.58</v>
      </c>
      <c r="J126" s="617">
        <v>20</v>
      </c>
      <c r="K126" s="618">
        <v>2371.6</v>
      </c>
    </row>
    <row r="127" spans="1:11" ht="14.4" customHeight="1" x14ac:dyDescent="0.3">
      <c r="A127" s="613" t="s">
        <v>323</v>
      </c>
      <c r="B127" s="614" t="s">
        <v>1112</v>
      </c>
      <c r="C127" s="615" t="s">
        <v>343</v>
      </c>
      <c r="D127" s="616" t="s">
        <v>1114</v>
      </c>
      <c r="E127" s="615" t="s">
        <v>2336</v>
      </c>
      <c r="F127" s="616" t="s">
        <v>2337</v>
      </c>
      <c r="G127" s="615" t="s">
        <v>2031</v>
      </c>
      <c r="H127" s="615" t="s">
        <v>2032</v>
      </c>
      <c r="I127" s="617">
        <v>695.45</v>
      </c>
      <c r="J127" s="617">
        <v>5</v>
      </c>
      <c r="K127" s="618">
        <v>3477.25</v>
      </c>
    </row>
    <row r="128" spans="1:11" ht="14.4" customHeight="1" x14ac:dyDescent="0.3">
      <c r="A128" s="613" t="s">
        <v>323</v>
      </c>
      <c r="B128" s="614" t="s">
        <v>1112</v>
      </c>
      <c r="C128" s="615" t="s">
        <v>343</v>
      </c>
      <c r="D128" s="616" t="s">
        <v>1114</v>
      </c>
      <c r="E128" s="615" t="s">
        <v>2336</v>
      </c>
      <c r="F128" s="616" t="s">
        <v>2337</v>
      </c>
      <c r="G128" s="615" t="s">
        <v>2033</v>
      </c>
      <c r="H128" s="615" t="s">
        <v>2034</v>
      </c>
      <c r="I128" s="617">
        <v>149</v>
      </c>
      <c r="J128" s="617">
        <v>4</v>
      </c>
      <c r="K128" s="618">
        <v>596</v>
      </c>
    </row>
    <row r="129" spans="1:11" ht="14.4" customHeight="1" x14ac:dyDescent="0.3">
      <c r="A129" s="613" t="s">
        <v>323</v>
      </c>
      <c r="B129" s="614" t="s">
        <v>1112</v>
      </c>
      <c r="C129" s="615" t="s">
        <v>343</v>
      </c>
      <c r="D129" s="616" t="s">
        <v>1114</v>
      </c>
      <c r="E129" s="615" t="s">
        <v>2336</v>
      </c>
      <c r="F129" s="616" t="s">
        <v>2337</v>
      </c>
      <c r="G129" s="615" t="s">
        <v>2035</v>
      </c>
      <c r="H129" s="615" t="s">
        <v>2036</v>
      </c>
      <c r="I129" s="617">
        <v>1018.7049999999999</v>
      </c>
      <c r="J129" s="617">
        <v>2</v>
      </c>
      <c r="K129" s="618">
        <v>2037.4099999999999</v>
      </c>
    </row>
    <row r="130" spans="1:11" ht="14.4" customHeight="1" x14ac:dyDescent="0.3">
      <c r="A130" s="613" t="s">
        <v>323</v>
      </c>
      <c r="B130" s="614" t="s">
        <v>1112</v>
      </c>
      <c r="C130" s="615" t="s">
        <v>343</v>
      </c>
      <c r="D130" s="616" t="s">
        <v>1114</v>
      </c>
      <c r="E130" s="615" t="s">
        <v>2336</v>
      </c>
      <c r="F130" s="616" t="s">
        <v>2337</v>
      </c>
      <c r="G130" s="615" t="s">
        <v>2035</v>
      </c>
      <c r="H130" s="615" t="s">
        <v>2037</v>
      </c>
      <c r="I130" s="617">
        <v>1029.3899999999999</v>
      </c>
      <c r="J130" s="617">
        <v>4</v>
      </c>
      <c r="K130" s="618">
        <v>4117.5599999999995</v>
      </c>
    </row>
    <row r="131" spans="1:11" ht="14.4" customHeight="1" x14ac:dyDescent="0.3">
      <c r="A131" s="613" t="s">
        <v>323</v>
      </c>
      <c r="B131" s="614" t="s">
        <v>1112</v>
      </c>
      <c r="C131" s="615" t="s">
        <v>343</v>
      </c>
      <c r="D131" s="616" t="s">
        <v>1114</v>
      </c>
      <c r="E131" s="615" t="s">
        <v>2336</v>
      </c>
      <c r="F131" s="616" t="s">
        <v>2337</v>
      </c>
      <c r="G131" s="615" t="s">
        <v>2038</v>
      </c>
      <c r="H131" s="615" t="s">
        <v>2039</v>
      </c>
      <c r="I131" s="617">
        <v>482.79</v>
      </c>
      <c r="J131" s="617">
        <v>3</v>
      </c>
      <c r="K131" s="618">
        <v>1448.3700000000001</v>
      </c>
    </row>
    <row r="132" spans="1:11" ht="14.4" customHeight="1" x14ac:dyDescent="0.3">
      <c r="A132" s="613" t="s">
        <v>323</v>
      </c>
      <c r="B132" s="614" t="s">
        <v>1112</v>
      </c>
      <c r="C132" s="615" t="s">
        <v>343</v>
      </c>
      <c r="D132" s="616" t="s">
        <v>1114</v>
      </c>
      <c r="E132" s="615" t="s">
        <v>2336</v>
      </c>
      <c r="F132" s="616" t="s">
        <v>2337</v>
      </c>
      <c r="G132" s="615" t="s">
        <v>2040</v>
      </c>
      <c r="H132" s="615" t="s">
        <v>2041</v>
      </c>
      <c r="I132" s="617">
        <v>4179.9949999999999</v>
      </c>
      <c r="J132" s="617">
        <v>2</v>
      </c>
      <c r="K132" s="618">
        <v>8359.99</v>
      </c>
    </row>
    <row r="133" spans="1:11" ht="14.4" customHeight="1" x14ac:dyDescent="0.3">
      <c r="A133" s="613" t="s">
        <v>323</v>
      </c>
      <c r="B133" s="614" t="s">
        <v>1112</v>
      </c>
      <c r="C133" s="615" t="s">
        <v>343</v>
      </c>
      <c r="D133" s="616" t="s">
        <v>1114</v>
      </c>
      <c r="E133" s="615" t="s">
        <v>2336</v>
      </c>
      <c r="F133" s="616" t="s">
        <v>2337</v>
      </c>
      <c r="G133" s="615" t="s">
        <v>2042</v>
      </c>
      <c r="H133" s="615" t="s">
        <v>2043</v>
      </c>
      <c r="I133" s="617">
        <v>3927.75</v>
      </c>
      <c r="J133" s="617">
        <v>2</v>
      </c>
      <c r="K133" s="618">
        <v>7855.5</v>
      </c>
    </row>
    <row r="134" spans="1:11" ht="14.4" customHeight="1" x14ac:dyDescent="0.3">
      <c r="A134" s="613" t="s">
        <v>323</v>
      </c>
      <c r="B134" s="614" t="s">
        <v>1112</v>
      </c>
      <c r="C134" s="615" t="s">
        <v>343</v>
      </c>
      <c r="D134" s="616" t="s">
        <v>1114</v>
      </c>
      <c r="E134" s="615" t="s">
        <v>2336</v>
      </c>
      <c r="F134" s="616" t="s">
        <v>2337</v>
      </c>
      <c r="G134" s="615" t="s">
        <v>2044</v>
      </c>
      <c r="H134" s="615" t="s">
        <v>2045</v>
      </c>
      <c r="I134" s="617">
        <v>4046</v>
      </c>
      <c r="J134" s="617">
        <v>1</v>
      </c>
      <c r="K134" s="618">
        <v>4046</v>
      </c>
    </row>
    <row r="135" spans="1:11" ht="14.4" customHeight="1" x14ac:dyDescent="0.3">
      <c r="A135" s="613" t="s">
        <v>323</v>
      </c>
      <c r="B135" s="614" t="s">
        <v>1112</v>
      </c>
      <c r="C135" s="615" t="s">
        <v>343</v>
      </c>
      <c r="D135" s="616" t="s">
        <v>1114</v>
      </c>
      <c r="E135" s="615" t="s">
        <v>2336</v>
      </c>
      <c r="F135" s="616" t="s">
        <v>2337</v>
      </c>
      <c r="G135" s="615" t="s">
        <v>2046</v>
      </c>
      <c r="H135" s="615" t="s">
        <v>2047</v>
      </c>
      <c r="I135" s="617">
        <v>1725</v>
      </c>
      <c r="J135" s="617">
        <v>4</v>
      </c>
      <c r="K135" s="618">
        <v>6900</v>
      </c>
    </row>
    <row r="136" spans="1:11" ht="14.4" customHeight="1" x14ac:dyDescent="0.3">
      <c r="A136" s="613" t="s">
        <v>323</v>
      </c>
      <c r="B136" s="614" t="s">
        <v>1112</v>
      </c>
      <c r="C136" s="615" t="s">
        <v>343</v>
      </c>
      <c r="D136" s="616" t="s">
        <v>1114</v>
      </c>
      <c r="E136" s="615" t="s">
        <v>2336</v>
      </c>
      <c r="F136" s="616" t="s">
        <v>2337</v>
      </c>
      <c r="G136" s="615" t="s">
        <v>2048</v>
      </c>
      <c r="H136" s="615" t="s">
        <v>2049</v>
      </c>
      <c r="I136" s="617">
        <v>2201</v>
      </c>
      <c r="J136" s="617">
        <v>2</v>
      </c>
      <c r="K136" s="618">
        <v>4402</v>
      </c>
    </row>
    <row r="137" spans="1:11" ht="14.4" customHeight="1" x14ac:dyDescent="0.3">
      <c r="A137" s="613" t="s">
        <v>323</v>
      </c>
      <c r="B137" s="614" t="s">
        <v>1112</v>
      </c>
      <c r="C137" s="615" t="s">
        <v>343</v>
      </c>
      <c r="D137" s="616" t="s">
        <v>1114</v>
      </c>
      <c r="E137" s="615" t="s">
        <v>2336</v>
      </c>
      <c r="F137" s="616" t="s">
        <v>2337</v>
      </c>
      <c r="G137" s="615" t="s">
        <v>2050</v>
      </c>
      <c r="H137" s="615" t="s">
        <v>2051</v>
      </c>
      <c r="I137" s="617">
        <v>3898.9933333333333</v>
      </c>
      <c r="J137" s="617">
        <v>5</v>
      </c>
      <c r="K137" s="618">
        <v>19462.59</v>
      </c>
    </row>
    <row r="138" spans="1:11" ht="14.4" customHeight="1" x14ac:dyDescent="0.3">
      <c r="A138" s="613" t="s">
        <v>323</v>
      </c>
      <c r="B138" s="614" t="s">
        <v>1112</v>
      </c>
      <c r="C138" s="615" t="s">
        <v>343</v>
      </c>
      <c r="D138" s="616" t="s">
        <v>1114</v>
      </c>
      <c r="E138" s="615" t="s">
        <v>2336</v>
      </c>
      <c r="F138" s="616" t="s">
        <v>2337</v>
      </c>
      <c r="G138" s="615" t="s">
        <v>2052</v>
      </c>
      <c r="H138" s="615" t="s">
        <v>2053</v>
      </c>
      <c r="I138" s="617">
        <v>3909.7000000000003</v>
      </c>
      <c r="J138" s="617">
        <v>3</v>
      </c>
      <c r="K138" s="618">
        <v>11729.1</v>
      </c>
    </row>
    <row r="139" spans="1:11" ht="14.4" customHeight="1" x14ac:dyDescent="0.3">
      <c r="A139" s="613" t="s">
        <v>323</v>
      </c>
      <c r="B139" s="614" t="s">
        <v>1112</v>
      </c>
      <c r="C139" s="615" t="s">
        <v>343</v>
      </c>
      <c r="D139" s="616" t="s">
        <v>1114</v>
      </c>
      <c r="E139" s="615" t="s">
        <v>2336</v>
      </c>
      <c r="F139" s="616" t="s">
        <v>2337</v>
      </c>
      <c r="G139" s="615" t="s">
        <v>2054</v>
      </c>
      <c r="H139" s="615" t="s">
        <v>2055</v>
      </c>
      <c r="I139" s="617">
        <v>2897.51</v>
      </c>
      <c r="J139" s="617">
        <v>1</v>
      </c>
      <c r="K139" s="618">
        <v>2897.51</v>
      </c>
    </row>
    <row r="140" spans="1:11" ht="14.4" customHeight="1" x14ac:dyDescent="0.3">
      <c r="A140" s="613" t="s">
        <v>323</v>
      </c>
      <c r="B140" s="614" t="s">
        <v>1112</v>
      </c>
      <c r="C140" s="615" t="s">
        <v>343</v>
      </c>
      <c r="D140" s="616" t="s">
        <v>1114</v>
      </c>
      <c r="E140" s="615" t="s">
        <v>2336</v>
      </c>
      <c r="F140" s="616" t="s">
        <v>2337</v>
      </c>
      <c r="G140" s="615" t="s">
        <v>2056</v>
      </c>
      <c r="H140" s="615" t="s">
        <v>2057</v>
      </c>
      <c r="I140" s="617">
        <v>545.99</v>
      </c>
      <c r="J140" s="617">
        <v>1</v>
      </c>
      <c r="K140" s="618">
        <v>545.99</v>
      </c>
    </row>
    <row r="141" spans="1:11" ht="14.4" customHeight="1" x14ac:dyDescent="0.3">
      <c r="A141" s="613" t="s">
        <v>323</v>
      </c>
      <c r="B141" s="614" t="s">
        <v>1112</v>
      </c>
      <c r="C141" s="615" t="s">
        <v>343</v>
      </c>
      <c r="D141" s="616" t="s">
        <v>1114</v>
      </c>
      <c r="E141" s="615" t="s">
        <v>2336</v>
      </c>
      <c r="F141" s="616" t="s">
        <v>2337</v>
      </c>
      <c r="G141" s="615" t="s">
        <v>2058</v>
      </c>
      <c r="H141" s="615" t="s">
        <v>2059</v>
      </c>
      <c r="I141" s="617">
        <v>2897.51</v>
      </c>
      <c r="J141" s="617">
        <v>1</v>
      </c>
      <c r="K141" s="618">
        <v>2897.51</v>
      </c>
    </row>
    <row r="142" spans="1:11" ht="14.4" customHeight="1" x14ac:dyDescent="0.3">
      <c r="A142" s="613" t="s">
        <v>323</v>
      </c>
      <c r="B142" s="614" t="s">
        <v>1112</v>
      </c>
      <c r="C142" s="615" t="s">
        <v>343</v>
      </c>
      <c r="D142" s="616" t="s">
        <v>1114</v>
      </c>
      <c r="E142" s="615" t="s">
        <v>2336</v>
      </c>
      <c r="F142" s="616" t="s">
        <v>2337</v>
      </c>
      <c r="G142" s="615" t="s">
        <v>2060</v>
      </c>
      <c r="H142" s="615" t="s">
        <v>2061</v>
      </c>
      <c r="I142" s="617">
        <v>2897.7550000000001</v>
      </c>
      <c r="J142" s="617">
        <v>2</v>
      </c>
      <c r="K142" s="618">
        <v>5795.51</v>
      </c>
    </row>
    <row r="143" spans="1:11" ht="14.4" customHeight="1" x14ac:dyDescent="0.3">
      <c r="A143" s="613" t="s">
        <v>323</v>
      </c>
      <c r="B143" s="614" t="s">
        <v>1112</v>
      </c>
      <c r="C143" s="615" t="s">
        <v>343</v>
      </c>
      <c r="D143" s="616" t="s">
        <v>1114</v>
      </c>
      <c r="E143" s="615" t="s">
        <v>2336</v>
      </c>
      <c r="F143" s="616" t="s">
        <v>2337</v>
      </c>
      <c r="G143" s="615" t="s">
        <v>2062</v>
      </c>
      <c r="H143" s="615" t="s">
        <v>2063</v>
      </c>
      <c r="I143" s="617">
        <v>59.85</v>
      </c>
      <c r="J143" s="617">
        <v>5</v>
      </c>
      <c r="K143" s="618">
        <v>299.25</v>
      </c>
    </row>
    <row r="144" spans="1:11" ht="14.4" customHeight="1" x14ac:dyDescent="0.3">
      <c r="A144" s="613" t="s">
        <v>323</v>
      </c>
      <c r="B144" s="614" t="s">
        <v>1112</v>
      </c>
      <c r="C144" s="615" t="s">
        <v>343</v>
      </c>
      <c r="D144" s="616" t="s">
        <v>1114</v>
      </c>
      <c r="E144" s="615" t="s">
        <v>2336</v>
      </c>
      <c r="F144" s="616" t="s">
        <v>2337</v>
      </c>
      <c r="G144" s="615" t="s">
        <v>2064</v>
      </c>
      <c r="H144" s="615" t="s">
        <v>2065</v>
      </c>
      <c r="I144" s="617">
        <v>2897.51</v>
      </c>
      <c r="J144" s="617">
        <v>1</v>
      </c>
      <c r="K144" s="618">
        <v>2897.51</v>
      </c>
    </row>
    <row r="145" spans="1:11" ht="14.4" customHeight="1" x14ac:dyDescent="0.3">
      <c r="A145" s="613" t="s">
        <v>323</v>
      </c>
      <c r="B145" s="614" t="s">
        <v>1112</v>
      </c>
      <c r="C145" s="615" t="s">
        <v>343</v>
      </c>
      <c r="D145" s="616" t="s">
        <v>1114</v>
      </c>
      <c r="E145" s="615" t="s">
        <v>2336</v>
      </c>
      <c r="F145" s="616" t="s">
        <v>2337</v>
      </c>
      <c r="G145" s="615" t="s">
        <v>2066</v>
      </c>
      <c r="H145" s="615" t="s">
        <v>2067</v>
      </c>
      <c r="I145" s="617">
        <v>3888.14</v>
      </c>
      <c r="J145" s="617">
        <v>2</v>
      </c>
      <c r="K145" s="618">
        <v>7776.29</v>
      </c>
    </row>
    <row r="146" spans="1:11" ht="14.4" customHeight="1" x14ac:dyDescent="0.3">
      <c r="A146" s="613" t="s">
        <v>323</v>
      </c>
      <c r="B146" s="614" t="s">
        <v>1112</v>
      </c>
      <c r="C146" s="615" t="s">
        <v>343</v>
      </c>
      <c r="D146" s="616" t="s">
        <v>1114</v>
      </c>
      <c r="E146" s="615" t="s">
        <v>2336</v>
      </c>
      <c r="F146" s="616" t="s">
        <v>2337</v>
      </c>
      <c r="G146" s="615" t="s">
        <v>2068</v>
      </c>
      <c r="H146" s="615" t="s">
        <v>2069</v>
      </c>
      <c r="I146" s="617">
        <v>3050</v>
      </c>
      <c r="J146" s="617">
        <v>1</v>
      </c>
      <c r="K146" s="618">
        <v>3050</v>
      </c>
    </row>
    <row r="147" spans="1:11" ht="14.4" customHeight="1" x14ac:dyDescent="0.3">
      <c r="A147" s="613" t="s">
        <v>323</v>
      </c>
      <c r="B147" s="614" t="s">
        <v>1112</v>
      </c>
      <c r="C147" s="615" t="s">
        <v>343</v>
      </c>
      <c r="D147" s="616" t="s">
        <v>1114</v>
      </c>
      <c r="E147" s="615" t="s">
        <v>2336</v>
      </c>
      <c r="F147" s="616" t="s">
        <v>2337</v>
      </c>
      <c r="G147" s="615" t="s">
        <v>2070</v>
      </c>
      <c r="H147" s="615" t="s">
        <v>2071</v>
      </c>
      <c r="I147" s="617">
        <v>3906.5</v>
      </c>
      <c r="J147" s="617">
        <v>1</v>
      </c>
      <c r="K147" s="618">
        <v>3906.5</v>
      </c>
    </row>
    <row r="148" spans="1:11" ht="14.4" customHeight="1" x14ac:dyDescent="0.3">
      <c r="A148" s="613" t="s">
        <v>323</v>
      </c>
      <c r="B148" s="614" t="s">
        <v>1112</v>
      </c>
      <c r="C148" s="615" t="s">
        <v>343</v>
      </c>
      <c r="D148" s="616" t="s">
        <v>1114</v>
      </c>
      <c r="E148" s="615" t="s">
        <v>2336</v>
      </c>
      <c r="F148" s="616" t="s">
        <v>2337</v>
      </c>
      <c r="G148" s="615" t="s">
        <v>2072</v>
      </c>
      <c r="H148" s="615" t="s">
        <v>2073</v>
      </c>
      <c r="I148" s="617">
        <v>3105</v>
      </c>
      <c r="J148" s="617">
        <v>2</v>
      </c>
      <c r="K148" s="618">
        <v>6210</v>
      </c>
    </row>
    <row r="149" spans="1:11" ht="14.4" customHeight="1" x14ac:dyDescent="0.3">
      <c r="A149" s="613" t="s">
        <v>323</v>
      </c>
      <c r="B149" s="614" t="s">
        <v>1112</v>
      </c>
      <c r="C149" s="615" t="s">
        <v>343</v>
      </c>
      <c r="D149" s="616" t="s">
        <v>1114</v>
      </c>
      <c r="E149" s="615" t="s">
        <v>2336</v>
      </c>
      <c r="F149" s="616" t="s">
        <v>2337</v>
      </c>
      <c r="G149" s="615" t="s">
        <v>2074</v>
      </c>
      <c r="H149" s="615" t="s">
        <v>2075</v>
      </c>
      <c r="I149" s="617">
        <v>2435</v>
      </c>
      <c r="J149" s="617">
        <v>1</v>
      </c>
      <c r="K149" s="618">
        <v>2435</v>
      </c>
    </row>
    <row r="150" spans="1:11" ht="14.4" customHeight="1" x14ac:dyDescent="0.3">
      <c r="A150" s="613" t="s">
        <v>323</v>
      </c>
      <c r="B150" s="614" t="s">
        <v>1112</v>
      </c>
      <c r="C150" s="615" t="s">
        <v>343</v>
      </c>
      <c r="D150" s="616" t="s">
        <v>1114</v>
      </c>
      <c r="E150" s="615" t="s">
        <v>2336</v>
      </c>
      <c r="F150" s="616" t="s">
        <v>2337</v>
      </c>
      <c r="G150" s="615" t="s">
        <v>2076</v>
      </c>
      <c r="H150" s="615" t="s">
        <v>2077</v>
      </c>
      <c r="I150" s="617">
        <v>7469</v>
      </c>
      <c r="J150" s="617">
        <v>1</v>
      </c>
      <c r="K150" s="618">
        <v>7469</v>
      </c>
    </row>
    <row r="151" spans="1:11" ht="14.4" customHeight="1" x14ac:dyDescent="0.3">
      <c r="A151" s="613" t="s">
        <v>323</v>
      </c>
      <c r="B151" s="614" t="s">
        <v>1112</v>
      </c>
      <c r="C151" s="615" t="s">
        <v>343</v>
      </c>
      <c r="D151" s="616" t="s">
        <v>1114</v>
      </c>
      <c r="E151" s="615" t="s">
        <v>2336</v>
      </c>
      <c r="F151" s="616" t="s">
        <v>2337</v>
      </c>
      <c r="G151" s="615" t="s">
        <v>2078</v>
      </c>
      <c r="H151" s="615" t="s">
        <v>2079</v>
      </c>
      <c r="I151" s="617">
        <v>2165.0300000000002</v>
      </c>
      <c r="J151" s="617">
        <v>1</v>
      </c>
      <c r="K151" s="618">
        <v>2165.0300000000002</v>
      </c>
    </row>
    <row r="152" spans="1:11" ht="14.4" customHeight="1" x14ac:dyDescent="0.3">
      <c r="A152" s="613" t="s">
        <v>323</v>
      </c>
      <c r="B152" s="614" t="s">
        <v>1112</v>
      </c>
      <c r="C152" s="615" t="s">
        <v>343</v>
      </c>
      <c r="D152" s="616" t="s">
        <v>1114</v>
      </c>
      <c r="E152" s="615" t="s">
        <v>2336</v>
      </c>
      <c r="F152" s="616" t="s">
        <v>2337</v>
      </c>
      <c r="G152" s="615" t="s">
        <v>2080</v>
      </c>
      <c r="H152" s="615" t="s">
        <v>2081</v>
      </c>
      <c r="I152" s="617">
        <v>2165.0300000000002</v>
      </c>
      <c r="J152" s="617">
        <v>1</v>
      </c>
      <c r="K152" s="618">
        <v>2165.0300000000002</v>
      </c>
    </row>
    <row r="153" spans="1:11" ht="14.4" customHeight="1" x14ac:dyDescent="0.3">
      <c r="A153" s="613" t="s">
        <v>323</v>
      </c>
      <c r="B153" s="614" t="s">
        <v>1112</v>
      </c>
      <c r="C153" s="615" t="s">
        <v>343</v>
      </c>
      <c r="D153" s="616" t="s">
        <v>1114</v>
      </c>
      <c r="E153" s="615" t="s">
        <v>2336</v>
      </c>
      <c r="F153" s="616" t="s">
        <v>2337</v>
      </c>
      <c r="G153" s="615" t="s">
        <v>2082</v>
      </c>
      <c r="H153" s="615" t="s">
        <v>2083</v>
      </c>
      <c r="I153" s="617">
        <v>300</v>
      </c>
      <c r="J153" s="617">
        <v>1</v>
      </c>
      <c r="K153" s="618">
        <v>300</v>
      </c>
    </row>
    <row r="154" spans="1:11" ht="14.4" customHeight="1" x14ac:dyDescent="0.3">
      <c r="A154" s="613" t="s">
        <v>323</v>
      </c>
      <c r="B154" s="614" t="s">
        <v>1112</v>
      </c>
      <c r="C154" s="615" t="s">
        <v>343</v>
      </c>
      <c r="D154" s="616" t="s">
        <v>1114</v>
      </c>
      <c r="E154" s="615" t="s">
        <v>2336</v>
      </c>
      <c r="F154" s="616" t="s">
        <v>2337</v>
      </c>
      <c r="G154" s="615" t="s">
        <v>2084</v>
      </c>
      <c r="H154" s="615" t="s">
        <v>2085</v>
      </c>
      <c r="I154" s="617">
        <v>2165.02</v>
      </c>
      <c r="J154" s="617">
        <v>1</v>
      </c>
      <c r="K154" s="618">
        <v>2165.02</v>
      </c>
    </row>
    <row r="155" spans="1:11" ht="14.4" customHeight="1" x14ac:dyDescent="0.3">
      <c r="A155" s="613" t="s">
        <v>323</v>
      </c>
      <c r="B155" s="614" t="s">
        <v>1112</v>
      </c>
      <c r="C155" s="615" t="s">
        <v>343</v>
      </c>
      <c r="D155" s="616" t="s">
        <v>1114</v>
      </c>
      <c r="E155" s="615" t="s">
        <v>2336</v>
      </c>
      <c r="F155" s="616" t="s">
        <v>2337</v>
      </c>
      <c r="G155" s="615" t="s">
        <v>2086</v>
      </c>
      <c r="H155" s="615" t="s">
        <v>2087</v>
      </c>
      <c r="I155" s="617">
        <v>3050</v>
      </c>
      <c r="J155" s="617">
        <v>1</v>
      </c>
      <c r="K155" s="618">
        <v>3050</v>
      </c>
    </row>
    <row r="156" spans="1:11" ht="14.4" customHeight="1" x14ac:dyDescent="0.3">
      <c r="A156" s="613" t="s">
        <v>323</v>
      </c>
      <c r="B156" s="614" t="s">
        <v>1112</v>
      </c>
      <c r="C156" s="615" t="s">
        <v>343</v>
      </c>
      <c r="D156" s="616" t="s">
        <v>1114</v>
      </c>
      <c r="E156" s="615" t="s">
        <v>2336</v>
      </c>
      <c r="F156" s="616" t="s">
        <v>2337</v>
      </c>
      <c r="G156" s="615" t="s">
        <v>2088</v>
      </c>
      <c r="H156" s="615" t="s">
        <v>2089</v>
      </c>
      <c r="I156" s="617">
        <v>2312.04</v>
      </c>
      <c r="J156" s="617">
        <v>1</v>
      </c>
      <c r="K156" s="618">
        <v>2312.04</v>
      </c>
    </row>
    <row r="157" spans="1:11" ht="14.4" customHeight="1" x14ac:dyDescent="0.3">
      <c r="A157" s="613" t="s">
        <v>323</v>
      </c>
      <c r="B157" s="614" t="s">
        <v>1112</v>
      </c>
      <c r="C157" s="615" t="s">
        <v>343</v>
      </c>
      <c r="D157" s="616" t="s">
        <v>1114</v>
      </c>
      <c r="E157" s="615" t="s">
        <v>2336</v>
      </c>
      <c r="F157" s="616" t="s">
        <v>2337</v>
      </c>
      <c r="G157" s="615" t="s">
        <v>2090</v>
      </c>
      <c r="H157" s="615" t="s">
        <v>2091</v>
      </c>
      <c r="I157" s="617">
        <v>254.1</v>
      </c>
      <c r="J157" s="617">
        <v>1</v>
      </c>
      <c r="K157" s="618">
        <v>254.1</v>
      </c>
    </row>
    <row r="158" spans="1:11" ht="14.4" customHeight="1" x14ac:dyDescent="0.3">
      <c r="A158" s="613" t="s">
        <v>323</v>
      </c>
      <c r="B158" s="614" t="s">
        <v>1112</v>
      </c>
      <c r="C158" s="615" t="s">
        <v>343</v>
      </c>
      <c r="D158" s="616" t="s">
        <v>1114</v>
      </c>
      <c r="E158" s="615" t="s">
        <v>2336</v>
      </c>
      <c r="F158" s="616" t="s">
        <v>2337</v>
      </c>
      <c r="G158" s="615" t="s">
        <v>2092</v>
      </c>
      <c r="H158" s="615" t="s">
        <v>2093</v>
      </c>
      <c r="I158" s="617">
        <v>3923.52</v>
      </c>
      <c r="J158" s="617">
        <v>1</v>
      </c>
      <c r="K158" s="618">
        <v>3923.52</v>
      </c>
    </row>
    <row r="159" spans="1:11" ht="14.4" customHeight="1" x14ac:dyDescent="0.3">
      <c r="A159" s="613" t="s">
        <v>323</v>
      </c>
      <c r="B159" s="614" t="s">
        <v>1112</v>
      </c>
      <c r="C159" s="615" t="s">
        <v>343</v>
      </c>
      <c r="D159" s="616" t="s">
        <v>1114</v>
      </c>
      <c r="E159" s="615" t="s">
        <v>2324</v>
      </c>
      <c r="F159" s="616" t="s">
        <v>2325</v>
      </c>
      <c r="G159" s="615" t="s">
        <v>1951</v>
      </c>
      <c r="H159" s="615" t="s">
        <v>1952</v>
      </c>
      <c r="I159" s="617">
        <v>44.064999999999998</v>
      </c>
      <c r="J159" s="617">
        <v>288</v>
      </c>
      <c r="K159" s="618">
        <v>12691.470000000001</v>
      </c>
    </row>
    <row r="160" spans="1:11" ht="14.4" customHeight="1" x14ac:dyDescent="0.3">
      <c r="A160" s="613" t="s">
        <v>323</v>
      </c>
      <c r="B160" s="614" t="s">
        <v>1112</v>
      </c>
      <c r="C160" s="615" t="s">
        <v>343</v>
      </c>
      <c r="D160" s="616" t="s">
        <v>1114</v>
      </c>
      <c r="E160" s="615" t="s">
        <v>2324</v>
      </c>
      <c r="F160" s="616" t="s">
        <v>2325</v>
      </c>
      <c r="G160" s="615" t="s">
        <v>2094</v>
      </c>
      <c r="H160" s="615" t="s">
        <v>2095</v>
      </c>
      <c r="I160" s="617">
        <v>72.040000000000006</v>
      </c>
      <c r="J160" s="617">
        <v>24</v>
      </c>
      <c r="K160" s="618">
        <v>1728.86</v>
      </c>
    </row>
    <row r="161" spans="1:11" ht="14.4" customHeight="1" x14ac:dyDescent="0.3">
      <c r="A161" s="613" t="s">
        <v>323</v>
      </c>
      <c r="B161" s="614" t="s">
        <v>1112</v>
      </c>
      <c r="C161" s="615" t="s">
        <v>343</v>
      </c>
      <c r="D161" s="616" t="s">
        <v>1114</v>
      </c>
      <c r="E161" s="615" t="s">
        <v>2324</v>
      </c>
      <c r="F161" s="616" t="s">
        <v>2325</v>
      </c>
      <c r="G161" s="615" t="s">
        <v>1953</v>
      </c>
      <c r="H161" s="615" t="s">
        <v>1954</v>
      </c>
      <c r="I161" s="617">
        <v>69.92</v>
      </c>
      <c r="J161" s="617">
        <v>240</v>
      </c>
      <c r="K161" s="618">
        <v>16780.22</v>
      </c>
    </row>
    <row r="162" spans="1:11" ht="14.4" customHeight="1" x14ac:dyDescent="0.3">
      <c r="A162" s="613" t="s">
        <v>323</v>
      </c>
      <c r="B162" s="614" t="s">
        <v>1112</v>
      </c>
      <c r="C162" s="615" t="s">
        <v>343</v>
      </c>
      <c r="D162" s="616" t="s">
        <v>1114</v>
      </c>
      <c r="E162" s="615" t="s">
        <v>2324</v>
      </c>
      <c r="F162" s="616" t="s">
        <v>2325</v>
      </c>
      <c r="G162" s="615" t="s">
        <v>1957</v>
      </c>
      <c r="H162" s="615" t="s">
        <v>1958</v>
      </c>
      <c r="I162" s="617">
        <v>67.42</v>
      </c>
      <c r="J162" s="617">
        <v>96</v>
      </c>
      <c r="K162" s="618">
        <v>6472.42</v>
      </c>
    </row>
    <row r="163" spans="1:11" ht="14.4" customHeight="1" x14ac:dyDescent="0.3">
      <c r="A163" s="613" t="s">
        <v>323</v>
      </c>
      <c r="B163" s="614" t="s">
        <v>1112</v>
      </c>
      <c r="C163" s="615" t="s">
        <v>343</v>
      </c>
      <c r="D163" s="616" t="s">
        <v>1114</v>
      </c>
      <c r="E163" s="615" t="s">
        <v>2326</v>
      </c>
      <c r="F163" s="616" t="s">
        <v>2327</v>
      </c>
      <c r="G163" s="615" t="s">
        <v>1963</v>
      </c>
      <c r="H163" s="615" t="s">
        <v>1964</v>
      </c>
      <c r="I163" s="617">
        <v>0.3</v>
      </c>
      <c r="J163" s="617">
        <v>1400</v>
      </c>
      <c r="K163" s="618">
        <v>420</v>
      </c>
    </row>
    <row r="164" spans="1:11" ht="14.4" customHeight="1" x14ac:dyDescent="0.3">
      <c r="A164" s="613" t="s">
        <v>323</v>
      </c>
      <c r="B164" s="614" t="s">
        <v>1112</v>
      </c>
      <c r="C164" s="615" t="s">
        <v>343</v>
      </c>
      <c r="D164" s="616" t="s">
        <v>1114</v>
      </c>
      <c r="E164" s="615" t="s">
        <v>2326</v>
      </c>
      <c r="F164" s="616" t="s">
        <v>2327</v>
      </c>
      <c r="G164" s="615" t="s">
        <v>1965</v>
      </c>
      <c r="H164" s="615" t="s">
        <v>1966</v>
      </c>
      <c r="I164" s="617">
        <v>0.30333333333333329</v>
      </c>
      <c r="J164" s="617">
        <v>1300</v>
      </c>
      <c r="K164" s="618">
        <v>394</v>
      </c>
    </row>
    <row r="165" spans="1:11" ht="14.4" customHeight="1" x14ac:dyDescent="0.3">
      <c r="A165" s="613" t="s">
        <v>323</v>
      </c>
      <c r="B165" s="614" t="s">
        <v>1112</v>
      </c>
      <c r="C165" s="615" t="s">
        <v>343</v>
      </c>
      <c r="D165" s="616" t="s">
        <v>1114</v>
      </c>
      <c r="E165" s="615" t="s">
        <v>2326</v>
      </c>
      <c r="F165" s="616" t="s">
        <v>2327</v>
      </c>
      <c r="G165" s="615" t="s">
        <v>1967</v>
      </c>
      <c r="H165" s="615" t="s">
        <v>1968</v>
      </c>
      <c r="I165" s="617">
        <v>0.48666666666666664</v>
      </c>
      <c r="J165" s="617">
        <v>800</v>
      </c>
      <c r="K165" s="618">
        <v>390</v>
      </c>
    </row>
    <row r="166" spans="1:11" ht="14.4" customHeight="1" x14ac:dyDescent="0.3">
      <c r="A166" s="613" t="s">
        <v>323</v>
      </c>
      <c r="B166" s="614" t="s">
        <v>1112</v>
      </c>
      <c r="C166" s="615" t="s">
        <v>343</v>
      </c>
      <c r="D166" s="616" t="s">
        <v>1114</v>
      </c>
      <c r="E166" s="615" t="s">
        <v>2328</v>
      </c>
      <c r="F166" s="616" t="s">
        <v>2329</v>
      </c>
      <c r="G166" s="615" t="s">
        <v>2096</v>
      </c>
      <c r="H166" s="615" t="s">
        <v>2097</v>
      </c>
      <c r="I166" s="617">
        <v>0.81</v>
      </c>
      <c r="J166" s="617">
        <v>1000</v>
      </c>
      <c r="K166" s="618">
        <v>807</v>
      </c>
    </row>
    <row r="167" spans="1:11" ht="14.4" customHeight="1" x14ac:dyDescent="0.3">
      <c r="A167" s="613" t="s">
        <v>323</v>
      </c>
      <c r="B167" s="614" t="s">
        <v>1112</v>
      </c>
      <c r="C167" s="615" t="s">
        <v>343</v>
      </c>
      <c r="D167" s="616" t="s">
        <v>1114</v>
      </c>
      <c r="E167" s="615" t="s">
        <v>2328</v>
      </c>
      <c r="F167" s="616" t="s">
        <v>2329</v>
      </c>
      <c r="G167" s="615" t="s">
        <v>1975</v>
      </c>
      <c r="H167" s="615" t="s">
        <v>1976</v>
      </c>
      <c r="I167" s="617">
        <v>0.71</v>
      </c>
      <c r="J167" s="617">
        <v>6000</v>
      </c>
      <c r="K167" s="618">
        <v>4260</v>
      </c>
    </row>
    <row r="168" spans="1:11" ht="14.4" customHeight="1" x14ac:dyDescent="0.3">
      <c r="A168" s="613" t="s">
        <v>323</v>
      </c>
      <c r="B168" s="614" t="s">
        <v>1112</v>
      </c>
      <c r="C168" s="615" t="s">
        <v>343</v>
      </c>
      <c r="D168" s="616" t="s">
        <v>1114</v>
      </c>
      <c r="E168" s="615" t="s">
        <v>2328</v>
      </c>
      <c r="F168" s="616" t="s">
        <v>2329</v>
      </c>
      <c r="G168" s="615" t="s">
        <v>2098</v>
      </c>
      <c r="H168" s="615" t="s">
        <v>2099</v>
      </c>
      <c r="I168" s="617">
        <v>0.71</v>
      </c>
      <c r="J168" s="617">
        <v>16600</v>
      </c>
      <c r="K168" s="618">
        <v>11798.1</v>
      </c>
    </row>
    <row r="169" spans="1:11" ht="14.4" customHeight="1" x14ac:dyDescent="0.3">
      <c r="A169" s="613" t="s">
        <v>323</v>
      </c>
      <c r="B169" s="614" t="s">
        <v>1112</v>
      </c>
      <c r="C169" s="615" t="s">
        <v>346</v>
      </c>
      <c r="D169" s="616" t="s">
        <v>1115</v>
      </c>
      <c r="E169" s="615" t="s">
        <v>2316</v>
      </c>
      <c r="F169" s="616" t="s">
        <v>2317</v>
      </c>
      <c r="G169" s="615" t="s">
        <v>1993</v>
      </c>
      <c r="H169" s="615" t="s">
        <v>1994</v>
      </c>
      <c r="I169" s="617">
        <v>15.698000000000002</v>
      </c>
      <c r="J169" s="617">
        <v>1000</v>
      </c>
      <c r="K169" s="618">
        <v>15093.380000000001</v>
      </c>
    </row>
    <row r="170" spans="1:11" ht="14.4" customHeight="1" x14ac:dyDescent="0.3">
      <c r="A170" s="613" t="s">
        <v>323</v>
      </c>
      <c r="B170" s="614" t="s">
        <v>1112</v>
      </c>
      <c r="C170" s="615" t="s">
        <v>346</v>
      </c>
      <c r="D170" s="616" t="s">
        <v>1115</v>
      </c>
      <c r="E170" s="615" t="s">
        <v>2316</v>
      </c>
      <c r="F170" s="616" t="s">
        <v>2317</v>
      </c>
      <c r="G170" s="615" t="s">
        <v>2100</v>
      </c>
      <c r="H170" s="615" t="s">
        <v>2101</v>
      </c>
      <c r="I170" s="617">
        <v>140.11000000000001</v>
      </c>
      <c r="J170" s="617">
        <v>30</v>
      </c>
      <c r="K170" s="618">
        <v>4203.2700000000004</v>
      </c>
    </row>
    <row r="171" spans="1:11" ht="14.4" customHeight="1" x14ac:dyDescent="0.3">
      <c r="A171" s="613" t="s">
        <v>323</v>
      </c>
      <c r="B171" s="614" t="s">
        <v>1112</v>
      </c>
      <c r="C171" s="615" t="s">
        <v>346</v>
      </c>
      <c r="D171" s="616" t="s">
        <v>1115</v>
      </c>
      <c r="E171" s="615" t="s">
        <v>2316</v>
      </c>
      <c r="F171" s="616" t="s">
        <v>2317</v>
      </c>
      <c r="G171" s="615" t="s">
        <v>1835</v>
      </c>
      <c r="H171" s="615" t="s">
        <v>1836</v>
      </c>
      <c r="I171" s="617">
        <v>29.33</v>
      </c>
      <c r="J171" s="617">
        <v>5</v>
      </c>
      <c r="K171" s="618">
        <v>146.65</v>
      </c>
    </row>
    <row r="172" spans="1:11" ht="14.4" customHeight="1" x14ac:dyDescent="0.3">
      <c r="A172" s="613" t="s">
        <v>323</v>
      </c>
      <c r="B172" s="614" t="s">
        <v>1112</v>
      </c>
      <c r="C172" s="615" t="s">
        <v>346</v>
      </c>
      <c r="D172" s="616" t="s">
        <v>1115</v>
      </c>
      <c r="E172" s="615" t="s">
        <v>2316</v>
      </c>
      <c r="F172" s="616" t="s">
        <v>2317</v>
      </c>
      <c r="G172" s="615" t="s">
        <v>1837</v>
      </c>
      <c r="H172" s="615" t="s">
        <v>1838</v>
      </c>
      <c r="I172" s="617">
        <v>1.17</v>
      </c>
      <c r="J172" s="617">
        <v>1000</v>
      </c>
      <c r="K172" s="618">
        <v>1170</v>
      </c>
    </row>
    <row r="173" spans="1:11" ht="14.4" customHeight="1" x14ac:dyDescent="0.3">
      <c r="A173" s="613" t="s">
        <v>323</v>
      </c>
      <c r="B173" s="614" t="s">
        <v>1112</v>
      </c>
      <c r="C173" s="615" t="s">
        <v>346</v>
      </c>
      <c r="D173" s="616" t="s">
        <v>1115</v>
      </c>
      <c r="E173" s="615" t="s">
        <v>2316</v>
      </c>
      <c r="F173" s="616" t="s">
        <v>2317</v>
      </c>
      <c r="G173" s="615" t="s">
        <v>2102</v>
      </c>
      <c r="H173" s="615" t="s">
        <v>2103</v>
      </c>
      <c r="I173" s="617">
        <v>5.09</v>
      </c>
      <c r="J173" s="617">
        <v>450</v>
      </c>
      <c r="K173" s="618">
        <v>2292.5300000000002</v>
      </c>
    </row>
    <row r="174" spans="1:11" ht="14.4" customHeight="1" x14ac:dyDescent="0.3">
      <c r="A174" s="613" t="s">
        <v>323</v>
      </c>
      <c r="B174" s="614" t="s">
        <v>1112</v>
      </c>
      <c r="C174" s="615" t="s">
        <v>346</v>
      </c>
      <c r="D174" s="616" t="s">
        <v>1115</v>
      </c>
      <c r="E174" s="615" t="s">
        <v>2316</v>
      </c>
      <c r="F174" s="616" t="s">
        <v>2317</v>
      </c>
      <c r="G174" s="615" t="s">
        <v>2104</v>
      </c>
      <c r="H174" s="615" t="s">
        <v>2105</v>
      </c>
      <c r="I174" s="617">
        <v>5.27</v>
      </c>
      <c r="J174" s="617">
        <v>600</v>
      </c>
      <c r="K174" s="618">
        <v>3162.13</v>
      </c>
    </row>
    <row r="175" spans="1:11" ht="14.4" customHeight="1" x14ac:dyDescent="0.3">
      <c r="A175" s="613" t="s">
        <v>323</v>
      </c>
      <c r="B175" s="614" t="s">
        <v>1112</v>
      </c>
      <c r="C175" s="615" t="s">
        <v>346</v>
      </c>
      <c r="D175" s="616" t="s">
        <v>1115</v>
      </c>
      <c r="E175" s="615" t="s">
        <v>2316</v>
      </c>
      <c r="F175" s="616" t="s">
        <v>2317</v>
      </c>
      <c r="G175" s="615" t="s">
        <v>2106</v>
      </c>
      <c r="H175" s="615" t="s">
        <v>2107</v>
      </c>
      <c r="I175" s="617">
        <v>0.19</v>
      </c>
      <c r="J175" s="617">
        <v>600</v>
      </c>
      <c r="K175" s="618">
        <v>111.63</v>
      </c>
    </row>
    <row r="176" spans="1:11" ht="14.4" customHeight="1" x14ac:dyDescent="0.3">
      <c r="A176" s="613" t="s">
        <v>323</v>
      </c>
      <c r="B176" s="614" t="s">
        <v>1112</v>
      </c>
      <c r="C176" s="615" t="s">
        <v>346</v>
      </c>
      <c r="D176" s="616" t="s">
        <v>1115</v>
      </c>
      <c r="E176" s="615" t="s">
        <v>2316</v>
      </c>
      <c r="F176" s="616" t="s">
        <v>2317</v>
      </c>
      <c r="G176" s="615" t="s">
        <v>2108</v>
      </c>
      <c r="H176" s="615" t="s">
        <v>2109</v>
      </c>
      <c r="I176" s="617">
        <v>14.729999999999999</v>
      </c>
      <c r="J176" s="617">
        <v>480</v>
      </c>
      <c r="K176" s="618">
        <v>7148.75</v>
      </c>
    </row>
    <row r="177" spans="1:11" ht="14.4" customHeight="1" x14ac:dyDescent="0.3">
      <c r="A177" s="613" t="s">
        <v>323</v>
      </c>
      <c r="B177" s="614" t="s">
        <v>1112</v>
      </c>
      <c r="C177" s="615" t="s">
        <v>346</v>
      </c>
      <c r="D177" s="616" t="s">
        <v>1115</v>
      </c>
      <c r="E177" s="615" t="s">
        <v>2316</v>
      </c>
      <c r="F177" s="616" t="s">
        <v>2317</v>
      </c>
      <c r="G177" s="615" t="s">
        <v>1859</v>
      </c>
      <c r="H177" s="615" t="s">
        <v>1860</v>
      </c>
      <c r="I177" s="617">
        <v>0.62</v>
      </c>
      <c r="J177" s="617">
        <v>7200</v>
      </c>
      <c r="K177" s="618">
        <v>4469</v>
      </c>
    </row>
    <row r="178" spans="1:11" ht="14.4" customHeight="1" x14ac:dyDescent="0.3">
      <c r="A178" s="613" t="s">
        <v>323</v>
      </c>
      <c r="B178" s="614" t="s">
        <v>1112</v>
      </c>
      <c r="C178" s="615" t="s">
        <v>346</v>
      </c>
      <c r="D178" s="616" t="s">
        <v>1115</v>
      </c>
      <c r="E178" s="615" t="s">
        <v>2316</v>
      </c>
      <c r="F178" s="616" t="s">
        <v>2317</v>
      </c>
      <c r="G178" s="615" t="s">
        <v>2003</v>
      </c>
      <c r="H178" s="615" t="s">
        <v>2004</v>
      </c>
      <c r="I178" s="617">
        <v>97.04</v>
      </c>
      <c r="J178" s="617">
        <v>5</v>
      </c>
      <c r="K178" s="618">
        <v>485.2</v>
      </c>
    </row>
    <row r="179" spans="1:11" ht="14.4" customHeight="1" x14ac:dyDescent="0.3">
      <c r="A179" s="613" t="s">
        <v>323</v>
      </c>
      <c r="B179" s="614" t="s">
        <v>1112</v>
      </c>
      <c r="C179" s="615" t="s">
        <v>346</v>
      </c>
      <c r="D179" s="616" t="s">
        <v>1115</v>
      </c>
      <c r="E179" s="615" t="s">
        <v>2316</v>
      </c>
      <c r="F179" s="616" t="s">
        <v>2317</v>
      </c>
      <c r="G179" s="615" t="s">
        <v>1861</v>
      </c>
      <c r="H179" s="615" t="s">
        <v>1862</v>
      </c>
      <c r="I179" s="617">
        <v>111.59</v>
      </c>
      <c r="J179" s="617">
        <v>40</v>
      </c>
      <c r="K179" s="618">
        <v>4463.6000000000004</v>
      </c>
    </row>
    <row r="180" spans="1:11" ht="14.4" customHeight="1" x14ac:dyDescent="0.3">
      <c r="A180" s="613" t="s">
        <v>323</v>
      </c>
      <c r="B180" s="614" t="s">
        <v>1112</v>
      </c>
      <c r="C180" s="615" t="s">
        <v>346</v>
      </c>
      <c r="D180" s="616" t="s">
        <v>1115</v>
      </c>
      <c r="E180" s="615" t="s">
        <v>2316</v>
      </c>
      <c r="F180" s="616" t="s">
        <v>2317</v>
      </c>
      <c r="G180" s="615" t="s">
        <v>2110</v>
      </c>
      <c r="H180" s="615" t="s">
        <v>2111</v>
      </c>
      <c r="I180" s="617">
        <v>6.11</v>
      </c>
      <c r="J180" s="617">
        <v>100</v>
      </c>
      <c r="K180" s="618">
        <v>610.65</v>
      </c>
    </row>
    <row r="181" spans="1:11" ht="14.4" customHeight="1" x14ac:dyDescent="0.3">
      <c r="A181" s="613" t="s">
        <v>323</v>
      </c>
      <c r="B181" s="614" t="s">
        <v>1112</v>
      </c>
      <c r="C181" s="615" t="s">
        <v>346</v>
      </c>
      <c r="D181" s="616" t="s">
        <v>1115</v>
      </c>
      <c r="E181" s="615" t="s">
        <v>2318</v>
      </c>
      <c r="F181" s="616" t="s">
        <v>2319</v>
      </c>
      <c r="G181" s="615" t="s">
        <v>1869</v>
      </c>
      <c r="H181" s="615" t="s">
        <v>1870</v>
      </c>
      <c r="I181" s="617">
        <v>0.67</v>
      </c>
      <c r="J181" s="617">
        <v>2400</v>
      </c>
      <c r="K181" s="618">
        <v>1608</v>
      </c>
    </row>
    <row r="182" spans="1:11" ht="14.4" customHeight="1" x14ac:dyDescent="0.3">
      <c r="A182" s="613" t="s">
        <v>323</v>
      </c>
      <c r="B182" s="614" t="s">
        <v>1112</v>
      </c>
      <c r="C182" s="615" t="s">
        <v>346</v>
      </c>
      <c r="D182" s="616" t="s">
        <v>1115</v>
      </c>
      <c r="E182" s="615" t="s">
        <v>2318</v>
      </c>
      <c r="F182" s="616" t="s">
        <v>2319</v>
      </c>
      <c r="G182" s="615" t="s">
        <v>1893</v>
      </c>
      <c r="H182" s="615" t="s">
        <v>1894</v>
      </c>
      <c r="I182" s="617">
        <v>2.9</v>
      </c>
      <c r="J182" s="617">
        <v>200</v>
      </c>
      <c r="K182" s="618">
        <v>580</v>
      </c>
    </row>
    <row r="183" spans="1:11" ht="14.4" customHeight="1" x14ac:dyDescent="0.3">
      <c r="A183" s="613" t="s">
        <v>323</v>
      </c>
      <c r="B183" s="614" t="s">
        <v>1112</v>
      </c>
      <c r="C183" s="615" t="s">
        <v>346</v>
      </c>
      <c r="D183" s="616" t="s">
        <v>1115</v>
      </c>
      <c r="E183" s="615" t="s">
        <v>2318</v>
      </c>
      <c r="F183" s="616" t="s">
        <v>2319</v>
      </c>
      <c r="G183" s="615" t="s">
        <v>1905</v>
      </c>
      <c r="H183" s="615" t="s">
        <v>1906</v>
      </c>
      <c r="I183" s="617">
        <v>12.108000000000001</v>
      </c>
      <c r="J183" s="617">
        <v>50</v>
      </c>
      <c r="K183" s="618">
        <v>605.4</v>
      </c>
    </row>
    <row r="184" spans="1:11" ht="14.4" customHeight="1" x14ac:dyDescent="0.3">
      <c r="A184" s="613" t="s">
        <v>323</v>
      </c>
      <c r="B184" s="614" t="s">
        <v>1112</v>
      </c>
      <c r="C184" s="615" t="s">
        <v>346</v>
      </c>
      <c r="D184" s="616" t="s">
        <v>1115</v>
      </c>
      <c r="E184" s="615" t="s">
        <v>2318</v>
      </c>
      <c r="F184" s="616" t="s">
        <v>2319</v>
      </c>
      <c r="G184" s="615" t="s">
        <v>2013</v>
      </c>
      <c r="H184" s="615" t="s">
        <v>2014</v>
      </c>
      <c r="I184" s="617">
        <v>1</v>
      </c>
      <c r="J184" s="617">
        <v>200</v>
      </c>
      <c r="K184" s="618">
        <v>200</v>
      </c>
    </row>
    <row r="185" spans="1:11" ht="14.4" customHeight="1" x14ac:dyDescent="0.3">
      <c r="A185" s="613" t="s">
        <v>323</v>
      </c>
      <c r="B185" s="614" t="s">
        <v>1112</v>
      </c>
      <c r="C185" s="615" t="s">
        <v>346</v>
      </c>
      <c r="D185" s="616" t="s">
        <v>1115</v>
      </c>
      <c r="E185" s="615" t="s">
        <v>2336</v>
      </c>
      <c r="F185" s="616" t="s">
        <v>2337</v>
      </c>
      <c r="G185" s="615" t="s">
        <v>2021</v>
      </c>
      <c r="H185" s="615" t="s">
        <v>2022</v>
      </c>
      <c r="I185" s="617">
        <v>271.71000000000004</v>
      </c>
      <c r="J185" s="617">
        <v>3</v>
      </c>
      <c r="K185" s="618">
        <v>815.12</v>
      </c>
    </row>
    <row r="186" spans="1:11" ht="14.4" customHeight="1" x14ac:dyDescent="0.3">
      <c r="A186" s="613" t="s">
        <v>323</v>
      </c>
      <c r="B186" s="614" t="s">
        <v>1112</v>
      </c>
      <c r="C186" s="615" t="s">
        <v>346</v>
      </c>
      <c r="D186" s="616" t="s">
        <v>1115</v>
      </c>
      <c r="E186" s="615" t="s">
        <v>2336</v>
      </c>
      <c r="F186" s="616" t="s">
        <v>2337</v>
      </c>
      <c r="G186" s="615" t="s">
        <v>2112</v>
      </c>
      <c r="H186" s="615" t="s">
        <v>2113</v>
      </c>
      <c r="I186" s="617">
        <v>261.11</v>
      </c>
      <c r="J186" s="617">
        <v>2</v>
      </c>
      <c r="K186" s="618">
        <v>522.22</v>
      </c>
    </row>
    <row r="187" spans="1:11" ht="14.4" customHeight="1" x14ac:dyDescent="0.3">
      <c r="A187" s="613" t="s">
        <v>323</v>
      </c>
      <c r="B187" s="614" t="s">
        <v>1112</v>
      </c>
      <c r="C187" s="615" t="s">
        <v>346</v>
      </c>
      <c r="D187" s="616" t="s">
        <v>1115</v>
      </c>
      <c r="E187" s="615" t="s">
        <v>2336</v>
      </c>
      <c r="F187" s="616" t="s">
        <v>2337</v>
      </c>
      <c r="G187" s="615" t="s">
        <v>2114</v>
      </c>
      <c r="H187" s="615" t="s">
        <v>2115</v>
      </c>
      <c r="I187" s="617">
        <v>286.23</v>
      </c>
      <c r="J187" s="617">
        <v>1</v>
      </c>
      <c r="K187" s="618">
        <v>286.23</v>
      </c>
    </row>
    <row r="188" spans="1:11" ht="14.4" customHeight="1" x14ac:dyDescent="0.3">
      <c r="A188" s="613" t="s">
        <v>323</v>
      </c>
      <c r="B188" s="614" t="s">
        <v>1112</v>
      </c>
      <c r="C188" s="615" t="s">
        <v>346</v>
      </c>
      <c r="D188" s="616" t="s">
        <v>1115</v>
      </c>
      <c r="E188" s="615" t="s">
        <v>2336</v>
      </c>
      <c r="F188" s="616" t="s">
        <v>2337</v>
      </c>
      <c r="G188" s="615" t="s">
        <v>2116</v>
      </c>
      <c r="H188" s="615" t="s">
        <v>2117</v>
      </c>
      <c r="I188" s="617">
        <v>196.56</v>
      </c>
      <c r="J188" s="617">
        <v>1</v>
      </c>
      <c r="K188" s="618">
        <v>196.56</v>
      </c>
    </row>
    <row r="189" spans="1:11" ht="14.4" customHeight="1" x14ac:dyDescent="0.3">
      <c r="A189" s="613" t="s">
        <v>323</v>
      </c>
      <c r="B189" s="614" t="s">
        <v>1112</v>
      </c>
      <c r="C189" s="615" t="s">
        <v>346</v>
      </c>
      <c r="D189" s="616" t="s">
        <v>1115</v>
      </c>
      <c r="E189" s="615" t="s">
        <v>2336</v>
      </c>
      <c r="F189" s="616" t="s">
        <v>2337</v>
      </c>
      <c r="G189" s="615" t="s">
        <v>2118</v>
      </c>
      <c r="H189" s="615" t="s">
        <v>2119</v>
      </c>
      <c r="I189" s="617">
        <v>175.45</v>
      </c>
      <c r="J189" s="617">
        <v>90</v>
      </c>
      <c r="K189" s="618">
        <v>15790.5</v>
      </c>
    </row>
    <row r="190" spans="1:11" ht="14.4" customHeight="1" x14ac:dyDescent="0.3">
      <c r="A190" s="613" t="s">
        <v>323</v>
      </c>
      <c r="B190" s="614" t="s">
        <v>1112</v>
      </c>
      <c r="C190" s="615" t="s">
        <v>346</v>
      </c>
      <c r="D190" s="616" t="s">
        <v>1115</v>
      </c>
      <c r="E190" s="615" t="s">
        <v>2336</v>
      </c>
      <c r="F190" s="616" t="s">
        <v>2337</v>
      </c>
      <c r="G190" s="615" t="s">
        <v>2120</v>
      </c>
      <c r="H190" s="615" t="s">
        <v>2121</v>
      </c>
      <c r="I190" s="617">
        <v>1.19</v>
      </c>
      <c r="J190" s="617">
        <v>1500</v>
      </c>
      <c r="K190" s="618">
        <v>1778.54</v>
      </c>
    </row>
    <row r="191" spans="1:11" ht="14.4" customHeight="1" x14ac:dyDescent="0.3">
      <c r="A191" s="613" t="s">
        <v>323</v>
      </c>
      <c r="B191" s="614" t="s">
        <v>1112</v>
      </c>
      <c r="C191" s="615" t="s">
        <v>346</v>
      </c>
      <c r="D191" s="616" t="s">
        <v>1115</v>
      </c>
      <c r="E191" s="615" t="s">
        <v>2336</v>
      </c>
      <c r="F191" s="616" t="s">
        <v>2337</v>
      </c>
      <c r="G191" s="615" t="s">
        <v>2122</v>
      </c>
      <c r="H191" s="615" t="s">
        <v>2123</v>
      </c>
      <c r="I191" s="617">
        <v>141.55000000000001</v>
      </c>
      <c r="J191" s="617">
        <v>12</v>
      </c>
      <c r="K191" s="618">
        <v>1698.6</v>
      </c>
    </row>
    <row r="192" spans="1:11" ht="14.4" customHeight="1" x14ac:dyDescent="0.3">
      <c r="A192" s="613" t="s">
        <v>323</v>
      </c>
      <c r="B192" s="614" t="s">
        <v>1112</v>
      </c>
      <c r="C192" s="615" t="s">
        <v>346</v>
      </c>
      <c r="D192" s="616" t="s">
        <v>1115</v>
      </c>
      <c r="E192" s="615" t="s">
        <v>2336</v>
      </c>
      <c r="F192" s="616" t="s">
        <v>2337</v>
      </c>
      <c r="G192" s="615" t="s">
        <v>2124</v>
      </c>
      <c r="H192" s="615" t="s">
        <v>2125</v>
      </c>
      <c r="I192" s="617">
        <v>1122.8699999999999</v>
      </c>
      <c r="J192" s="617">
        <v>2</v>
      </c>
      <c r="K192" s="618">
        <v>2245.7399999999998</v>
      </c>
    </row>
    <row r="193" spans="1:11" ht="14.4" customHeight="1" x14ac:dyDescent="0.3">
      <c r="A193" s="613" t="s">
        <v>323</v>
      </c>
      <c r="B193" s="614" t="s">
        <v>1112</v>
      </c>
      <c r="C193" s="615" t="s">
        <v>346</v>
      </c>
      <c r="D193" s="616" t="s">
        <v>1115</v>
      </c>
      <c r="E193" s="615" t="s">
        <v>2336</v>
      </c>
      <c r="F193" s="616" t="s">
        <v>2337</v>
      </c>
      <c r="G193" s="615" t="s">
        <v>2033</v>
      </c>
      <c r="H193" s="615" t="s">
        <v>2034</v>
      </c>
      <c r="I193" s="617">
        <v>159.91666666666669</v>
      </c>
      <c r="J193" s="617">
        <v>4</v>
      </c>
      <c r="K193" s="618">
        <v>638.40000000000009</v>
      </c>
    </row>
    <row r="194" spans="1:11" ht="14.4" customHeight="1" x14ac:dyDescent="0.3">
      <c r="A194" s="613" t="s">
        <v>323</v>
      </c>
      <c r="B194" s="614" t="s">
        <v>1112</v>
      </c>
      <c r="C194" s="615" t="s">
        <v>346</v>
      </c>
      <c r="D194" s="616" t="s">
        <v>1115</v>
      </c>
      <c r="E194" s="615" t="s">
        <v>2336</v>
      </c>
      <c r="F194" s="616" t="s">
        <v>2337</v>
      </c>
      <c r="G194" s="615" t="s">
        <v>2126</v>
      </c>
      <c r="H194" s="615" t="s">
        <v>2127</v>
      </c>
      <c r="I194" s="617">
        <v>47.19</v>
      </c>
      <c r="J194" s="617">
        <v>60</v>
      </c>
      <c r="K194" s="618">
        <v>2831.4</v>
      </c>
    </row>
    <row r="195" spans="1:11" ht="14.4" customHeight="1" x14ac:dyDescent="0.3">
      <c r="A195" s="613" t="s">
        <v>323</v>
      </c>
      <c r="B195" s="614" t="s">
        <v>1112</v>
      </c>
      <c r="C195" s="615" t="s">
        <v>346</v>
      </c>
      <c r="D195" s="616" t="s">
        <v>1115</v>
      </c>
      <c r="E195" s="615" t="s">
        <v>2336</v>
      </c>
      <c r="F195" s="616" t="s">
        <v>2337</v>
      </c>
      <c r="G195" s="615" t="s">
        <v>2128</v>
      </c>
      <c r="H195" s="615" t="s">
        <v>2129</v>
      </c>
      <c r="I195" s="617">
        <v>47.19</v>
      </c>
      <c r="J195" s="617">
        <v>150</v>
      </c>
      <c r="K195" s="618">
        <v>7078.5</v>
      </c>
    </row>
    <row r="196" spans="1:11" ht="14.4" customHeight="1" x14ac:dyDescent="0.3">
      <c r="A196" s="613" t="s">
        <v>323</v>
      </c>
      <c r="B196" s="614" t="s">
        <v>1112</v>
      </c>
      <c r="C196" s="615" t="s">
        <v>346</v>
      </c>
      <c r="D196" s="616" t="s">
        <v>1115</v>
      </c>
      <c r="E196" s="615" t="s">
        <v>2336</v>
      </c>
      <c r="F196" s="616" t="s">
        <v>2337</v>
      </c>
      <c r="G196" s="615" t="s">
        <v>2130</v>
      </c>
      <c r="H196" s="615" t="s">
        <v>2131</v>
      </c>
      <c r="I196" s="617">
        <v>155.13499999999999</v>
      </c>
      <c r="J196" s="617">
        <v>3</v>
      </c>
      <c r="K196" s="618">
        <v>465.40999999999997</v>
      </c>
    </row>
    <row r="197" spans="1:11" ht="14.4" customHeight="1" x14ac:dyDescent="0.3">
      <c r="A197" s="613" t="s">
        <v>323</v>
      </c>
      <c r="B197" s="614" t="s">
        <v>1112</v>
      </c>
      <c r="C197" s="615" t="s">
        <v>346</v>
      </c>
      <c r="D197" s="616" t="s">
        <v>1115</v>
      </c>
      <c r="E197" s="615" t="s">
        <v>2336</v>
      </c>
      <c r="F197" s="616" t="s">
        <v>2337</v>
      </c>
      <c r="G197" s="615" t="s">
        <v>2132</v>
      </c>
      <c r="H197" s="615" t="s">
        <v>2133</v>
      </c>
      <c r="I197" s="617">
        <v>59.29</v>
      </c>
      <c r="J197" s="617">
        <v>210</v>
      </c>
      <c r="K197" s="618">
        <v>12450.900000000001</v>
      </c>
    </row>
    <row r="198" spans="1:11" ht="14.4" customHeight="1" x14ac:dyDescent="0.3">
      <c r="A198" s="613" t="s">
        <v>323</v>
      </c>
      <c r="B198" s="614" t="s">
        <v>1112</v>
      </c>
      <c r="C198" s="615" t="s">
        <v>346</v>
      </c>
      <c r="D198" s="616" t="s">
        <v>1115</v>
      </c>
      <c r="E198" s="615" t="s">
        <v>2336</v>
      </c>
      <c r="F198" s="616" t="s">
        <v>2337</v>
      </c>
      <c r="G198" s="615" t="s">
        <v>2134</v>
      </c>
      <c r="H198" s="615" t="s">
        <v>2135</v>
      </c>
      <c r="I198" s="617">
        <v>978.01</v>
      </c>
      <c r="J198" s="617">
        <v>1</v>
      </c>
      <c r="K198" s="618">
        <v>978.01</v>
      </c>
    </row>
    <row r="199" spans="1:11" ht="14.4" customHeight="1" x14ac:dyDescent="0.3">
      <c r="A199" s="613" t="s">
        <v>323</v>
      </c>
      <c r="B199" s="614" t="s">
        <v>1112</v>
      </c>
      <c r="C199" s="615" t="s">
        <v>346</v>
      </c>
      <c r="D199" s="616" t="s">
        <v>1115</v>
      </c>
      <c r="E199" s="615" t="s">
        <v>2336</v>
      </c>
      <c r="F199" s="616" t="s">
        <v>2337</v>
      </c>
      <c r="G199" s="615" t="s">
        <v>2136</v>
      </c>
      <c r="H199" s="615" t="s">
        <v>2137</v>
      </c>
      <c r="I199" s="617">
        <v>928.15</v>
      </c>
      <c r="J199" s="617">
        <v>1</v>
      </c>
      <c r="K199" s="618">
        <v>928.15</v>
      </c>
    </row>
    <row r="200" spans="1:11" ht="14.4" customHeight="1" x14ac:dyDescent="0.3">
      <c r="A200" s="613" t="s">
        <v>323</v>
      </c>
      <c r="B200" s="614" t="s">
        <v>1112</v>
      </c>
      <c r="C200" s="615" t="s">
        <v>346</v>
      </c>
      <c r="D200" s="616" t="s">
        <v>1115</v>
      </c>
      <c r="E200" s="615" t="s">
        <v>2336</v>
      </c>
      <c r="F200" s="616" t="s">
        <v>2337</v>
      </c>
      <c r="G200" s="615" t="s">
        <v>2138</v>
      </c>
      <c r="H200" s="615" t="s">
        <v>2139</v>
      </c>
      <c r="I200" s="617">
        <v>1122.8699999999999</v>
      </c>
      <c r="J200" s="617">
        <v>1</v>
      </c>
      <c r="K200" s="618">
        <v>1122.8699999999999</v>
      </c>
    </row>
    <row r="201" spans="1:11" ht="14.4" customHeight="1" x14ac:dyDescent="0.3">
      <c r="A201" s="613" t="s">
        <v>323</v>
      </c>
      <c r="B201" s="614" t="s">
        <v>1112</v>
      </c>
      <c r="C201" s="615" t="s">
        <v>346</v>
      </c>
      <c r="D201" s="616" t="s">
        <v>1115</v>
      </c>
      <c r="E201" s="615" t="s">
        <v>2336</v>
      </c>
      <c r="F201" s="616" t="s">
        <v>2337</v>
      </c>
      <c r="G201" s="615" t="s">
        <v>2056</v>
      </c>
      <c r="H201" s="615" t="s">
        <v>2057</v>
      </c>
      <c r="I201" s="617">
        <v>545.99</v>
      </c>
      <c r="J201" s="617">
        <v>1</v>
      </c>
      <c r="K201" s="618">
        <v>545.99</v>
      </c>
    </row>
    <row r="202" spans="1:11" ht="14.4" customHeight="1" x14ac:dyDescent="0.3">
      <c r="A202" s="613" t="s">
        <v>323</v>
      </c>
      <c r="B202" s="614" t="s">
        <v>1112</v>
      </c>
      <c r="C202" s="615" t="s">
        <v>346</v>
      </c>
      <c r="D202" s="616" t="s">
        <v>1115</v>
      </c>
      <c r="E202" s="615" t="s">
        <v>2336</v>
      </c>
      <c r="F202" s="616" t="s">
        <v>2337</v>
      </c>
      <c r="G202" s="615" t="s">
        <v>2140</v>
      </c>
      <c r="H202" s="615" t="s">
        <v>2141</v>
      </c>
      <c r="I202" s="617">
        <v>218.41</v>
      </c>
      <c r="J202" s="617">
        <v>2</v>
      </c>
      <c r="K202" s="618">
        <v>436.81</v>
      </c>
    </row>
    <row r="203" spans="1:11" ht="14.4" customHeight="1" x14ac:dyDescent="0.3">
      <c r="A203" s="613" t="s">
        <v>323</v>
      </c>
      <c r="B203" s="614" t="s">
        <v>1112</v>
      </c>
      <c r="C203" s="615" t="s">
        <v>346</v>
      </c>
      <c r="D203" s="616" t="s">
        <v>1115</v>
      </c>
      <c r="E203" s="615" t="s">
        <v>2336</v>
      </c>
      <c r="F203" s="616" t="s">
        <v>2337</v>
      </c>
      <c r="G203" s="615" t="s">
        <v>2142</v>
      </c>
      <c r="H203" s="615" t="s">
        <v>2143</v>
      </c>
      <c r="I203" s="617">
        <v>71.39</v>
      </c>
      <c r="J203" s="617">
        <v>150</v>
      </c>
      <c r="K203" s="618">
        <v>10708.5</v>
      </c>
    </row>
    <row r="204" spans="1:11" ht="14.4" customHeight="1" x14ac:dyDescent="0.3">
      <c r="A204" s="613" t="s">
        <v>323</v>
      </c>
      <c r="B204" s="614" t="s">
        <v>1112</v>
      </c>
      <c r="C204" s="615" t="s">
        <v>346</v>
      </c>
      <c r="D204" s="616" t="s">
        <v>1115</v>
      </c>
      <c r="E204" s="615" t="s">
        <v>2336</v>
      </c>
      <c r="F204" s="616" t="s">
        <v>2337</v>
      </c>
      <c r="G204" s="615" t="s">
        <v>2144</v>
      </c>
      <c r="H204" s="615" t="s">
        <v>2145</v>
      </c>
      <c r="I204" s="617">
        <v>71.39</v>
      </c>
      <c r="J204" s="617">
        <v>150</v>
      </c>
      <c r="K204" s="618">
        <v>10708.5</v>
      </c>
    </row>
    <row r="205" spans="1:11" ht="14.4" customHeight="1" x14ac:dyDescent="0.3">
      <c r="A205" s="613" t="s">
        <v>323</v>
      </c>
      <c r="B205" s="614" t="s">
        <v>1112</v>
      </c>
      <c r="C205" s="615" t="s">
        <v>346</v>
      </c>
      <c r="D205" s="616" t="s">
        <v>1115</v>
      </c>
      <c r="E205" s="615" t="s">
        <v>2336</v>
      </c>
      <c r="F205" s="616" t="s">
        <v>2337</v>
      </c>
      <c r="G205" s="615" t="s">
        <v>2146</v>
      </c>
      <c r="H205" s="615" t="s">
        <v>2147</v>
      </c>
      <c r="I205" s="617">
        <v>1764</v>
      </c>
      <c r="J205" s="617">
        <v>1</v>
      </c>
      <c r="K205" s="618">
        <v>1764</v>
      </c>
    </row>
    <row r="206" spans="1:11" ht="14.4" customHeight="1" x14ac:dyDescent="0.3">
      <c r="A206" s="613" t="s">
        <v>323</v>
      </c>
      <c r="B206" s="614" t="s">
        <v>1112</v>
      </c>
      <c r="C206" s="615" t="s">
        <v>346</v>
      </c>
      <c r="D206" s="616" t="s">
        <v>1115</v>
      </c>
      <c r="E206" s="615" t="s">
        <v>2336</v>
      </c>
      <c r="F206" s="616" t="s">
        <v>2337</v>
      </c>
      <c r="G206" s="615" t="s">
        <v>2148</v>
      </c>
      <c r="H206" s="615" t="s">
        <v>2149</v>
      </c>
      <c r="I206" s="617">
        <v>1373</v>
      </c>
      <c r="J206" s="617">
        <v>1</v>
      </c>
      <c r="K206" s="618">
        <v>1373</v>
      </c>
    </row>
    <row r="207" spans="1:11" ht="14.4" customHeight="1" x14ac:dyDescent="0.3">
      <c r="A207" s="613" t="s">
        <v>323</v>
      </c>
      <c r="B207" s="614" t="s">
        <v>1112</v>
      </c>
      <c r="C207" s="615" t="s">
        <v>346</v>
      </c>
      <c r="D207" s="616" t="s">
        <v>1115</v>
      </c>
      <c r="E207" s="615" t="s">
        <v>2336</v>
      </c>
      <c r="F207" s="616" t="s">
        <v>2337</v>
      </c>
      <c r="G207" s="615" t="s">
        <v>2150</v>
      </c>
      <c r="H207" s="615" t="s">
        <v>2151</v>
      </c>
      <c r="I207" s="617">
        <v>1373</v>
      </c>
      <c r="J207" s="617">
        <v>1</v>
      </c>
      <c r="K207" s="618">
        <v>1373</v>
      </c>
    </row>
    <row r="208" spans="1:11" ht="14.4" customHeight="1" x14ac:dyDescent="0.3">
      <c r="A208" s="613" t="s">
        <v>323</v>
      </c>
      <c r="B208" s="614" t="s">
        <v>1112</v>
      </c>
      <c r="C208" s="615" t="s">
        <v>346</v>
      </c>
      <c r="D208" s="616" t="s">
        <v>1115</v>
      </c>
      <c r="E208" s="615" t="s">
        <v>2336</v>
      </c>
      <c r="F208" s="616" t="s">
        <v>2337</v>
      </c>
      <c r="G208" s="615" t="s">
        <v>2152</v>
      </c>
      <c r="H208" s="615" t="s">
        <v>2153</v>
      </c>
      <c r="I208" s="617">
        <v>47.19</v>
      </c>
      <c r="J208" s="617">
        <v>150</v>
      </c>
      <c r="K208" s="618">
        <v>7078.5</v>
      </c>
    </row>
    <row r="209" spans="1:11" ht="14.4" customHeight="1" x14ac:dyDescent="0.3">
      <c r="A209" s="613" t="s">
        <v>323</v>
      </c>
      <c r="B209" s="614" t="s">
        <v>1112</v>
      </c>
      <c r="C209" s="615" t="s">
        <v>346</v>
      </c>
      <c r="D209" s="616" t="s">
        <v>1115</v>
      </c>
      <c r="E209" s="615" t="s">
        <v>2336</v>
      </c>
      <c r="F209" s="616" t="s">
        <v>2337</v>
      </c>
      <c r="G209" s="615" t="s">
        <v>2154</v>
      </c>
      <c r="H209" s="615" t="s">
        <v>2155</v>
      </c>
      <c r="I209" s="617">
        <v>1373</v>
      </c>
      <c r="J209" s="617">
        <v>1</v>
      </c>
      <c r="K209" s="618">
        <v>1373</v>
      </c>
    </row>
    <row r="210" spans="1:11" ht="14.4" customHeight="1" x14ac:dyDescent="0.3">
      <c r="A210" s="613" t="s">
        <v>323</v>
      </c>
      <c r="B210" s="614" t="s">
        <v>1112</v>
      </c>
      <c r="C210" s="615" t="s">
        <v>346</v>
      </c>
      <c r="D210" s="616" t="s">
        <v>1115</v>
      </c>
      <c r="E210" s="615" t="s">
        <v>2336</v>
      </c>
      <c r="F210" s="616" t="s">
        <v>2337</v>
      </c>
      <c r="G210" s="615" t="s">
        <v>2156</v>
      </c>
      <c r="H210" s="615" t="s">
        <v>2157</v>
      </c>
      <c r="I210" s="617">
        <v>477.95</v>
      </c>
      <c r="J210" s="617">
        <v>10</v>
      </c>
      <c r="K210" s="618">
        <v>4779.5</v>
      </c>
    </row>
    <row r="211" spans="1:11" ht="14.4" customHeight="1" x14ac:dyDescent="0.3">
      <c r="A211" s="613" t="s">
        <v>323</v>
      </c>
      <c r="B211" s="614" t="s">
        <v>1112</v>
      </c>
      <c r="C211" s="615" t="s">
        <v>346</v>
      </c>
      <c r="D211" s="616" t="s">
        <v>1115</v>
      </c>
      <c r="E211" s="615" t="s">
        <v>2336</v>
      </c>
      <c r="F211" s="616" t="s">
        <v>2337</v>
      </c>
      <c r="G211" s="615" t="s">
        <v>2158</v>
      </c>
      <c r="H211" s="615" t="s">
        <v>2159</v>
      </c>
      <c r="I211" s="617">
        <v>218.41</v>
      </c>
      <c r="J211" s="617">
        <v>2</v>
      </c>
      <c r="K211" s="618">
        <v>436.81</v>
      </c>
    </row>
    <row r="212" spans="1:11" ht="14.4" customHeight="1" x14ac:dyDescent="0.3">
      <c r="A212" s="613" t="s">
        <v>323</v>
      </c>
      <c r="B212" s="614" t="s">
        <v>1112</v>
      </c>
      <c r="C212" s="615" t="s">
        <v>346</v>
      </c>
      <c r="D212" s="616" t="s">
        <v>1115</v>
      </c>
      <c r="E212" s="615" t="s">
        <v>2336</v>
      </c>
      <c r="F212" s="616" t="s">
        <v>2337</v>
      </c>
      <c r="G212" s="615" t="s">
        <v>2160</v>
      </c>
      <c r="H212" s="615" t="s">
        <v>2161</v>
      </c>
      <c r="I212" s="617">
        <v>471.3</v>
      </c>
      <c r="J212" s="617">
        <v>1</v>
      </c>
      <c r="K212" s="618">
        <v>471.3</v>
      </c>
    </row>
    <row r="213" spans="1:11" ht="14.4" customHeight="1" x14ac:dyDescent="0.3">
      <c r="A213" s="613" t="s">
        <v>323</v>
      </c>
      <c r="B213" s="614" t="s">
        <v>1112</v>
      </c>
      <c r="C213" s="615" t="s">
        <v>346</v>
      </c>
      <c r="D213" s="616" t="s">
        <v>1115</v>
      </c>
      <c r="E213" s="615" t="s">
        <v>2324</v>
      </c>
      <c r="F213" s="616" t="s">
        <v>2325</v>
      </c>
      <c r="G213" s="615" t="s">
        <v>1951</v>
      </c>
      <c r="H213" s="615" t="s">
        <v>1952</v>
      </c>
      <c r="I213" s="617">
        <v>46.03</v>
      </c>
      <c r="J213" s="617">
        <v>324</v>
      </c>
      <c r="K213" s="618">
        <v>14914.35</v>
      </c>
    </row>
    <row r="214" spans="1:11" ht="14.4" customHeight="1" x14ac:dyDescent="0.3">
      <c r="A214" s="613" t="s">
        <v>323</v>
      </c>
      <c r="B214" s="614" t="s">
        <v>1112</v>
      </c>
      <c r="C214" s="615" t="s">
        <v>346</v>
      </c>
      <c r="D214" s="616" t="s">
        <v>1115</v>
      </c>
      <c r="E214" s="615" t="s">
        <v>2324</v>
      </c>
      <c r="F214" s="616" t="s">
        <v>2325</v>
      </c>
      <c r="G214" s="615" t="s">
        <v>2162</v>
      </c>
      <c r="H214" s="615" t="s">
        <v>2163</v>
      </c>
      <c r="I214" s="617">
        <v>38.200000000000003</v>
      </c>
      <c r="J214" s="617">
        <v>216</v>
      </c>
      <c r="K214" s="618">
        <v>8251.8499999999985</v>
      </c>
    </row>
    <row r="215" spans="1:11" ht="14.4" customHeight="1" x14ac:dyDescent="0.3">
      <c r="A215" s="613" t="s">
        <v>323</v>
      </c>
      <c r="B215" s="614" t="s">
        <v>1112</v>
      </c>
      <c r="C215" s="615" t="s">
        <v>346</v>
      </c>
      <c r="D215" s="616" t="s">
        <v>1115</v>
      </c>
      <c r="E215" s="615" t="s">
        <v>2324</v>
      </c>
      <c r="F215" s="616" t="s">
        <v>2325</v>
      </c>
      <c r="G215" s="615" t="s">
        <v>2164</v>
      </c>
      <c r="H215" s="615" t="s">
        <v>2165</v>
      </c>
      <c r="I215" s="617">
        <v>34.119999999999997</v>
      </c>
      <c r="J215" s="617">
        <v>324</v>
      </c>
      <c r="K215" s="618">
        <v>11055.04</v>
      </c>
    </row>
    <row r="216" spans="1:11" ht="14.4" customHeight="1" x14ac:dyDescent="0.3">
      <c r="A216" s="613" t="s">
        <v>323</v>
      </c>
      <c r="B216" s="614" t="s">
        <v>1112</v>
      </c>
      <c r="C216" s="615" t="s">
        <v>346</v>
      </c>
      <c r="D216" s="616" t="s">
        <v>1115</v>
      </c>
      <c r="E216" s="615" t="s">
        <v>2324</v>
      </c>
      <c r="F216" s="616" t="s">
        <v>2325</v>
      </c>
      <c r="G216" s="615" t="s">
        <v>2166</v>
      </c>
      <c r="H216" s="615" t="s">
        <v>2167</v>
      </c>
      <c r="I216" s="617">
        <v>43.92</v>
      </c>
      <c r="J216" s="617">
        <v>108</v>
      </c>
      <c r="K216" s="618">
        <v>4743.75</v>
      </c>
    </row>
    <row r="217" spans="1:11" ht="14.4" customHeight="1" x14ac:dyDescent="0.3">
      <c r="A217" s="613" t="s">
        <v>323</v>
      </c>
      <c r="B217" s="614" t="s">
        <v>1112</v>
      </c>
      <c r="C217" s="615" t="s">
        <v>346</v>
      </c>
      <c r="D217" s="616" t="s">
        <v>1115</v>
      </c>
      <c r="E217" s="615" t="s">
        <v>2324</v>
      </c>
      <c r="F217" s="616" t="s">
        <v>2325</v>
      </c>
      <c r="G217" s="615" t="s">
        <v>1959</v>
      </c>
      <c r="H217" s="615" t="s">
        <v>1960</v>
      </c>
      <c r="I217" s="617">
        <v>33.5</v>
      </c>
      <c r="J217" s="617">
        <v>72</v>
      </c>
      <c r="K217" s="618">
        <v>2411.9899999999998</v>
      </c>
    </row>
    <row r="218" spans="1:11" ht="14.4" customHeight="1" x14ac:dyDescent="0.3">
      <c r="A218" s="613" t="s">
        <v>323</v>
      </c>
      <c r="B218" s="614" t="s">
        <v>1112</v>
      </c>
      <c r="C218" s="615" t="s">
        <v>346</v>
      </c>
      <c r="D218" s="616" t="s">
        <v>1115</v>
      </c>
      <c r="E218" s="615" t="s">
        <v>2324</v>
      </c>
      <c r="F218" s="616" t="s">
        <v>2325</v>
      </c>
      <c r="G218" s="615" t="s">
        <v>1961</v>
      </c>
      <c r="H218" s="615" t="s">
        <v>1962</v>
      </c>
      <c r="I218" s="617">
        <v>69.92</v>
      </c>
      <c r="J218" s="617">
        <v>96</v>
      </c>
      <c r="K218" s="618">
        <v>6711.99</v>
      </c>
    </row>
    <row r="219" spans="1:11" ht="14.4" customHeight="1" x14ac:dyDescent="0.3">
      <c r="A219" s="613" t="s">
        <v>323</v>
      </c>
      <c r="B219" s="614" t="s">
        <v>1112</v>
      </c>
      <c r="C219" s="615" t="s">
        <v>346</v>
      </c>
      <c r="D219" s="616" t="s">
        <v>1115</v>
      </c>
      <c r="E219" s="615" t="s">
        <v>2326</v>
      </c>
      <c r="F219" s="616" t="s">
        <v>2327</v>
      </c>
      <c r="G219" s="615" t="s">
        <v>1963</v>
      </c>
      <c r="H219" s="615" t="s">
        <v>1964</v>
      </c>
      <c r="I219" s="617">
        <v>0.3</v>
      </c>
      <c r="J219" s="617">
        <v>3600</v>
      </c>
      <c r="K219" s="618">
        <v>1080</v>
      </c>
    </row>
    <row r="220" spans="1:11" ht="14.4" customHeight="1" x14ac:dyDescent="0.3">
      <c r="A220" s="613" t="s">
        <v>323</v>
      </c>
      <c r="B220" s="614" t="s">
        <v>1112</v>
      </c>
      <c r="C220" s="615" t="s">
        <v>346</v>
      </c>
      <c r="D220" s="616" t="s">
        <v>1115</v>
      </c>
      <c r="E220" s="615" t="s">
        <v>2326</v>
      </c>
      <c r="F220" s="616" t="s">
        <v>2327</v>
      </c>
      <c r="G220" s="615" t="s">
        <v>1965</v>
      </c>
      <c r="H220" s="615" t="s">
        <v>1966</v>
      </c>
      <c r="I220" s="617">
        <v>0.3</v>
      </c>
      <c r="J220" s="617">
        <v>700</v>
      </c>
      <c r="K220" s="618">
        <v>210</v>
      </c>
    </row>
    <row r="221" spans="1:11" ht="14.4" customHeight="1" x14ac:dyDescent="0.3">
      <c r="A221" s="613" t="s">
        <v>323</v>
      </c>
      <c r="B221" s="614" t="s">
        <v>1112</v>
      </c>
      <c r="C221" s="615" t="s">
        <v>346</v>
      </c>
      <c r="D221" s="616" t="s">
        <v>1115</v>
      </c>
      <c r="E221" s="615" t="s">
        <v>2328</v>
      </c>
      <c r="F221" s="616" t="s">
        <v>2329</v>
      </c>
      <c r="G221" s="615" t="s">
        <v>2096</v>
      </c>
      <c r="H221" s="615" t="s">
        <v>2097</v>
      </c>
      <c r="I221" s="617">
        <v>0.81</v>
      </c>
      <c r="J221" s="617">
        <v>4000</v>
      </c>
      <c r="K221" s="618">
        <v>3228.24</v>
      </c>
    </row>
    <row r="222" spans="1:11" ht="14.4" customHeight="1" x14ac:dyDescent="0.3">
      <c r="A222" s="613" t="s">
        <v>323</v>
      </c>
      <c r="B222" s="614" t="s">
        <v>1112</v>
      </c>
      <c r="C222" s="615" t="s">
        <v>346</v>
      </c>
      <c r="D222" s="616" t="s">
        <v>1115</v>
      </c>
      <c r="E222" s="615" t="s">
        <v>2328</v>
      </c>
      <c r="F222" s="616" t="s">
        <v>2329</v>
      </c>
      <c r="G222" s="615" t="s">
        <v>2168</v>
      </c>
      <c r="H222" s="615" t="s">
        <v>2169</v>
      </c>
      <c r="I222" s="617">
        <v>0.81</v>
      </c>
      <c r="J222" s="617">
        <v>4000</v>
      </c>
      <c r="K222" s="618">
        <v>3228</v>
      </c>
    </row>
    <row r="223" spans="1:11" ht="14.4" customHeight="1" x14ac:dyDescent="0.3">
      <c r="A223" s="613" t="s">
        <v>323</v>
      </c>
      <c r="B223" s="614" t="s">
        <v>1112</v>
      </c>
      <c r="C223" s="615" t="s">
        <v>346</v>
      </c>
      <c r="D223" s="616" t="s">
        <v>1115</v>
      </c>
      <c r="E223" s="615" t="s">
        <v>2328</v>
      </c>
      <c r="F223" s="616" t="s">
        <v>2329</v>
      </c>
      <c r="G223" s="615" t="s">
        <v>2170</v>
      </c>
      <c r="H223" s="615" t="s">
        <v>2171</v>
      </c>
      <c r="I223" s="617">
        <v>0.81</v>
      </c>
      <c r="J223" s="617">
        <v>2000</v>
      </c>
      <c r="K223" s="618">
        <v>1614</v>
      </c>
    </row>
    <row r="224" spans="1:11" ht="14.4" customHeight="1" x14ac:dyDescent="0.3">
      <c r="A224" s="613" t="s">
        <v>323</v>
      </c>
      <c r="B224" s="614" t="s">
        <v>1112</v>
      </c>
      <c r="C224" s="615" t="s">
        <v>346</v>
      </c>
      <c r="D224" s="616" t="s">
        <v>1115</v>
      </c>
      <c r="E224" s="615" t="s">
        <v>2328</v>
      </c>
      <c r="F224" s="616" t="s">
        <v>2329</v>
      </c>
      <c r="G224" s="615" t="s">
        <v>1975</v>
      </c>
      <c r="H224" s="615" t="s">
        <v>1976</v>
      </c>
      <c r="I224" s="617">
        <v>0.71</v>
      </c>
      <c r="J224" s="617">
        <v>8600</v>
      </c>
      <c r="K224" s="618">
        <v>6106</v>
      </c>
    </row>
    <row r="225" spans="1:11" ht="14.4" customHeight="1" x14ac:dyDescent="0.3">
      <c r="A225" s="613" t="s">
        <v>323</v>
      </c>
      <c r="B225" s="614" t="s">
        <v>1112</v>
      </c>
      <c r="C225" s="615" t="s">
        <v>346</v>
      </c>
      <c r="D225" s="616" t="s">
        <v>1115</v>
      </c>
      <c r="E225" s="615" t="s">
        <v>2328</v>
      </c>
      <c r="F225" s="616" t="s">
        <v>2329</v>
      </c>
      <c r="G225" s="615" t="s">
        <v>1977</v>
      </c>
      <c r="H225" s="615" t="s">
        <v>1978</v>
      </c>
      <c r="I225" s="617">
        <v>0.71</v>
      </c>
      <c r="J225" s="617">
        <v>2000</v>
      </c>
      <c r="K225" s="618">
        <v>1420</v>
      </c>
    </row>
    <row r="226" spans="1:11" ht="14.4" customHeight="1" x14ac:dyDescent="0.3">
      <c r="A226" s="613" t="s">
        <v>323</v>
      </c>
      <c r="B226" s="614" t="s">
        <v>1112</v>
      </c>
      <c r="C226" s="615" t="s">
        <v>349</v>
      </c>
      <c r="D226" s="616" t="s">
        <v>1116</v>
      </c>
      <c r="E226" s="615" t="s">
        <v>2316</v>
      </c>
      <c r="F226" s="616" t="s">
        <v>2317</v>
      </c>
      <c r="G226" s="615" t="s">
        <v>1825</v>
      </c>
      <c r="H226" s="615" t="s">
        <v>1826</v>
      </c>
      <c r="I226" s="617">
        <v>260.3</v>
      </c>
      <c r="J226" s="617">
        <v>1</v>
      </c>
      <c r="K226" s="618">
        <v>260.3</v>
      </c>
    </row>
    <row r="227" spans="1:11" ht="14.4" customHeight="1" x14ac:dyDescent="0.3">
      <c r="A227" s="613" t="s">
        <v>323</v>
      </c>
      <c r="B227" s="614" t="s">
        <v>1112</v>
      </c>
      <c r="C227" s="615" t="s">
        <v>349</v>
      </c>
      <c r="D227" s="616" t="s">
        <v>1116</v>
      </c>
      <c r="E227" s="615" t="s">
        <v>2316</v>
      </c>
      <c r="F227" s="616" t="s">
        <v>2317</v>
      </c>
      <c r="G227" s="615" t="s">
        <v>1993</v>
      </c>
      <c r="H227" s="615" t="s">
        <v>1994</v>
      </c>
      <c r="I227" s="617">
        <v>16.100000000000001</v>
      </c>
      <c r="J227" s="617">
        <v>160</v>
      </c>
      <c r="K227" s="618">
        <v>2576</v>
      </c>
    </row>
    <row r="228" spans="1:11" ht="14.4" customHeight="1" x14ac:dyDescent="0.3">
      <c r="A228" s="613" t="s">
        <v>323</v>
      </c>
      <c r="B228" s="614" t="s">
        <v>1112</v>
      </c>
      <c r="C228" s="615" t="s">
        <v>349</v>
      </c>
      <c r="D228" s="616" t="s">
        <v>1116</v>
      </c>
      <c r="E228" s="615" t="s">
        <v>2316</v>
      </c>
      <c r="F228" s="616" t="s">
        <v>2317</v>
      </c>
      <c r="G228" s="615" t="s">
        <v>2100</v>
      </c>
      <c r="H228" s="615" t="s">
        <v>2101</v>
      </c>
      <c r="I228" s="617">
        <v>140.11000000000001</v>
      </c>
      <c r="J228" s="617">
        <v>80</v>
      </c>
      <c r="K228" s="618">
        <v>11208.72</v>
      </c>
    </row>
    <row r="229" spans="1:11" ht="14.4" customHeight="1" x14ac:dyDescent="0.3">
      <c r="A229" s="613" t="s">
        <v>323</v>
      </c>
      <c r="B229" s="614" t="s">
        <v>1112</v>
      </c>
      <c r="C229" s="615" t="s">
        <v>349</v>
      </c>
      <c r="D229" s="616" t="s">
        <v>1116</v>
      </c>
      <c r="E229" s="615" t="s">
        <v>2316</v>
      </c>
      <c r="F229" s="616" t="s">
        <v>2317</v>
      </c>
      <c r="G229" s="615" t="s">
        <v>1835</v>
      </c>
      <c r="H229" s="615" t="s">
        <v>1836</v>
      </c>
      <c r="I229" s="617">
        <v>27.94</v>
      </c>
      <c r="J229" s="617">
        <v>2</v>
      </c>
      <c r="K229" s="618">
        <v>55.88</v>
      </c>
    </row>
    <row r="230" spans="1:11" ht="14.4" customHeight="1" x14ac:dyDescent="0.3">
      <c r="A230" s="613" t="s">
        <v>323</v>
      </c>
      <c r="B230" s="614" t="s">
        <v>1112</v>
      </c>
      <c r="C230" s="615" t="s">
        <v>349</v>
      </c>
      <c r="D230" s="616" t="s">
        <v>1116</v>
      </c>
      <c r="E230" s="615" t="s">
        <v>2316</v>
      </c>
      <c r="F230" s="616" t="s">
        <v>2317</v>
      </c>
      <c r="G230" s="615" t="s">
        <v>2172</v>
      </c>
      <c r="H230" s="615" t="s">
        <v>2173</v>
      </c>
      <c r="I230" s="617">
        <v>0.86</v>
      </c>
      <c r="J230" s="617">
        <v>250</v>
      </c>
      <c r="K230" s="618">
        <v>216.2</v>
      </c>
    </row>
    <row r="231" spans="1:11" ht="14.4" customHeight="1" x14ac:dyDescent="0.3">
      <c r="A231" s="613" t="s">
        <v>323</v>
      </c>
      <c r="B231" s="614" t="s">
        <v>1112</v>
      </c>
      <c r="C231" s="615" t="s">
        <v>349</v>
      </c>
      <c r="D231" s="616" t="s">
        <v>1116</v>
      </c>
      <c r="E231" s="615" t="s">
        <v>2316</v>
      </c>
      <c r="F231" s="616" t="s">
        <v>2317</v>
      </c>
      <c r="G231" s="615" t="s">
        <v>2104</v>
      </c>
      <c r="H231" s="615" t="s">
        <v>2105</v>
      </c>
      <c r="I231" s="617">
        <v>5.09</v>
      </c>
      <c r="J231" s="617">
        <v>300</v>
      </c>
      <c r="K231" s="618">
        <v>1528.35</v>
      </c>
    </row>
    <row r="232" spans="1:11" ht="14.4" customHeight="1" x14ac:dyDescent="0.3">
      <c r="A232" s="613" t="s">
        <v>323</v>
      </c>
      <c r="B232" s="614" t="s">
        <v>1112</v>
      </c>
      <c r="C232" s="615" t="s">
        <v>349</v>
      </c>
      <c r="D232" s="616" t="s">
        <v>1116</v>
      </c>
      <c r="E232" s="615" t="s">
        <v>2316</v>
      </c>
      <c r="F232" s="616" t="s">
        <v>2317</v>
      </c>
      <c r="G232" s="615" t="s">
        <v>2001</v>
      </c>
      <c r="H232" s="615" t="s">
        <v>2002</v>
      </c>
      <c r="I232" s="617">
        <v>2.88</v>
      </c>
      <c r="J232" s="617">
        <v>100</v>
      </c>
      <c r="K232" s="618">
        <v>288</v>
      </c>
    </row>
    <row r="233" spans="1:11" ht="14.4" customHeight="1" x14ac:dyDescent="0.3">
      <c r="A233" s="613" t="s">
        <v>323</v>
      </c>
      <c r="B233" s="614" t="s">
        <v>1112</v>
      </c>
      <c r="C233" s="615" t="s">
        <v>349</v>
      </c>
      <c r="D233" s="616" t="s">
        <v>1116</v>
      </c>
      <c r="E233" s="615" t="s">
        <v>2316</v>
      </c>
      <c r="F233" s="616" t="s">
        <v>2317</v>
      </c>
      <c r="G233" s="615" t="s">
        <v>1857</v>
      </c>
      <c r="H233" s="615" t="s">
        <v>1858</v>
      </c>
      <c r="I233" s="617">
        <v>5.27</v>
      </c>
      <c r="J233" s="617">
        <v>60</v>
      </c>
      <c r="K233" s="618">
        <v>316.20000000000005</v>
      </c>
    </row>
    <row r="234" spans="1:11" ht="14.4" customHeight="1" x14ac:dyDescent="0.3">
      <c r="A234" s="613" t="s">
        <v>323</v>
      </c>
      <c r="B234" s="614" t="s">
        <v>1112</v>
      </c>
      <c r="C234" s="615" t="s">
        <v>349</v>
      </c>
      <c r="D234" s="616" t="s">
        <v>1116</v>
      </c>
      <c r="E234" s="615" t="s">
        <v>2316</v>
      </c>
      <c r="F234" s="616" t="s">
        <v>2317</v>
      </c>
      <c r="G234" s="615" t="s">
        <v>1859</v>
      </c>
      <c r="H234" s="615" t="s">
        <v>1860</v>
      </c>
      <c r="I234" s="617">
        <v>0.62</v>
      </c>
      <c r="J234" s="617">
        <v>4800</v>
      </c>
      <c r="K234" s="618">
        <v>2983.2</v>
      </c>
    </row>
    <row r="235" spans="1:11" ht="14.4" customHeight="1" x14ac:dyDescent="0.3">
      <c r="A235" s="613" t="s">
        <v>323</v>
      </c>
      <c r="B235" s="614" t="s">
        <v>1112</v>
      </c>
      <c r="C235" s="615" t="s">
        <v>349</v>
      </c>
      <c r="D235" s="616" t="s">
        <v>1116</v>
      </c>
      <c r="E235" s="615" t="s">
        <v>2316</v>
      </c>
      <c r="F235" s="616" t="s">
        <v>2317</v>
      </c>
      <c r="G235" s="615" t="s">
        <v>2003</v>
      </c>
      <c r="H235" s="615" t="s">
        <v>2004</v>
      </c>
      <c r="I235" s="617">
        <v>97.04</v>
      </c>
      <c r="J235" s="617">
        <v>10</v>
      </c>
      <c r="K235" s="618">
        <v>970.4</v>
      </c>
    </row>
    <row r="236" spans="1:11" ht="14.4" customHeight="1" x14ac:dyDescent="0.3">
      <c r="A236" s="613" t="s">
        <v>323</v>
      </c>
      <c r="B236" s="614" t="s">
        <v>1112</v>
      </c>
      <c r="C236" s="615" t="s">
        <v>349</v>
      </c>
      <c r="D236" s="616" t="s">
        <v>1116</v>
      </c>
      <c r="E236" s="615" t="s">
        <v>2316</v>
      </c>
      <c r="F236" s="616" t="s">
        <v>2317</v>
      </c>
      <c r="G236" s="615" t="s">
        <v>2174</v>
      </c>
      <c r="H236" s="615" t="s">
        <v>2175</v>
      </c>
      <c r="I236" s="617">
        <v>4.18</v>
      </c>
      <c r="J236" s="617">
        <v>900</v>
      </c>
      <c r="K236" s="618">
        <v>3761.4</v>
      </c>
    </row>
    <row r="237" spans="1:11" ht="14.4" customHeight="1" x14ac:dyDescent="0.3">
      <c r="A237" s="613" t="s">
        <v>323</v>
      </c>
      <c r="B237" s="614" t="s">
        <v>1112</v>
      </c>
      <c r="C237" s="615" t="s">
        <v>349</v>
      </c>
      <c r="D237" s="616" t="s">
        <v>1116</v>
      </c>
      <c r="E237" s="615" t="s">
        <v>2316</v>
      </c>
      <c r="F237" s="616" t="s">
        <v>2317</v>
      </c>
      <c r="G237" s="615" t="s">
        <v>1861</v>
      </c>
      <c r="H237" s="615" t="s">
        <v>1862</v>
      </c>
      <c r="I237" s="617">
        <v>111.58999999999999</v>
      </c>
      <c r="J237" s="617">
        <v>90</v>
      </c>
      <c r="K237" s="618">
        <v>10043.150000000001</v>
      </c>
    </row>
    <row r="238" spans="1:11" ht="14.4" customHeight="1" x14ac:dyDescent="0.3">
      <c r="A238" s="613" t="s">
        <v>323</v>
      </c>
      <c r="B238" s="614" t="s">
        <v>1112</v>
      </c>
      <c r="C238" s="615" t="s">
        <v>349</v>
      </c>
      <c r="D238" s="616" t="s">
        <v>1116</v>
      </c>
      <c r="E238" s="615" t="s">
        <v>2318</v>
      </c>
      <c r="F238" s="616" t="s">
        <v>2319</v>
      </c>
      <c r="G238" s="615" t="s">
        <v>1863</v>
      </c>
      <c r="H238" s="615" t="s">
        <v>1864</v>
      </c>
      <c r="I238" s="617">
        <v>1.0900000000000001</v>
      </c>
      <c r="J238" s="617">
        <v>500</v>
      </c>
      <c r="K238" s="618">
        <v>545</v>
      </c>
    </row>
    <row r="239" spans="1:11" ht="14.4" customHeight="1" x14ac:dyDescent="0.3">
      <c r="A239" s="613" t="s">
        <v>323</v>
      </c>
      <c r="B239" s="614" t="s">
        <v>1112</v>
      </c>
      <c r="C239" s="615" t="s">
        <v>349</v>
      </c>
      <c r="D239" s="616" t="s">
        <v>1116</v>
      </c>
      <c r="E239" s="615" t="s">
        <v>2318</v>
      </c>
      <c r="F239" s="616" t="s">
        <v>2319</v>
      </c>
      <c r="G239" s="615" t="s">
        <v>1865</v>
      </c>
      <c r="H239" s="615" t="s">
        <v>1866</v>
      </c>
      <c r="I239" s="617">
        <v>1.6749999999999998</v>
      </c>
      <c r="J239" s="617">
        <v>400</v>
      </c>
      <c r="K239" s="618">
        <v>669</v>
      </c>
    </row>
    <row r="240" spans="1:11" ht="14.4" customHeight="1" x14ac:dyDescent="0.3">
      <c r="A240" s="613" t="s">
        <v>323</v>
      </c>
      <c r="B240" s="614" t="s">
        <v>1112</v>
      </c>
      <c r="C240" s="615" t="s">
        <v>349</v>
      </c>
      <c r="D240" s="616" t="s">
        <v>1116</v>
      </c>
      <c r="E240" s="615" t="s">
        <v>2318</v>
      </c>
      <c r="F240" s="616" t="s">
        <v>2319</v>
      </c>
      <c r="G240" s="615" t="s">
        <v>1867</v>
      </c>
      <c r="H240" s="615" t="s">
        <v>1868</v>
      </c>
      <c r="I240" s="617">
        <v>0.47499999999999998</v>
      </c>
      <c r="J240" s="617">
        <v>400</v>
      </c>
      <c r="K240" s="618">
        <v>190</v>
      </c>
    </row>
    <row r="241" spans="1:11" ht="14.4" customHeight="1" x14ac:dyDescent="0.3">
      <c r="A241" s="613" t="s">
        <v>323</v>
      </c>
      <c r="B241" s="614" t="s">
        <v>1112</v>
      </c>
      <c r="C241" s="615" t="s">
        <v>349</v>
      </c>
      <c r="D241" s="616" t="s">
        <v>1116</v>
      </c>
      <c r="E241" s="615" t="s">
        <v>2318</v>
      </c>
      <c r="F241" s="616" t="s">
        <v>2319</v>
      </c>
      <c r="G241" s="615" t="s">
        <v>1869</v>
      </c>
      <c r="H241" s="615" t="s">
        <v>1870</v>
      </c>
      <c r="I241" s="617">
        <v>0.67199999999999993</v>
      </c>
      <c r="J241" s="617">
        <v>2700</v>
      </c>
      <c r="K241" s="618">
        <v>1819</v>
      </c>
    </row>
    <row r="242" spans="1:11" ht="14.4" customHeight="1" x14ac:dyDescent="0.3">
      <c r="A242" s="613" t="s">
        <v>323</v>
      </c>
      <c r="B242" s="614" t="s">
        <v>1112</v>
      </c>
      <c r="C242" s="615" t="s">
        <v>349</v>
      </c>
      <c r="D242" s="616" t="s">
        <v>1116</v>
      </c>
      <c r="E242" s="615" t="s">
        <v>2318</v>
      </c>
      <c r="F242" s="616" t="s">
        <v>2319</v>
      </c>
      <c r="G242" s="615" t="s">
        <v>2176</v>
      </c>
      <c r="H242" s="615" t="s">
        <v>2177</v>
      </c>
      <c r="I242" s="617">
        <v>81.739999999999995</v>
      </c>
      <c r="J242" s="617">
        <v>20</v>
      </c>
      <c r="K242" s="618">
        <v>1634.8</v>
      </c>
    </row>
    <row r="243" spans="1:11" ht="14.4" customHeight="1" x14ac:dyDescent="0.3">
      <c r="A243" s="613" t="s">
        <v>323</v>
      </c>
      <c r="B243" s="614" t="s">
        <v>1112</v>
      </c>
      <c r="C243" s="615" t="s">
        <v>349</v>
      </c>
      <c r="D243" s="616" t="s">
        <v>1116</v>
      </c>
      <c r="E243" s="615" t="s">
        <v>2318</v>
      </c>
      <c r="F243" s="616" t="s">
        <v>2319</v>
      </c>
      <c r="G243" s="615" t="s">
        <v>2178</v>
      </c>
      <c r="H243" s="615" t="s">
        <v>2179</v>
      </c>
      <c r="I243" s="617">
        <v>80.569999999999993</v>
      </c>
      <c r="J243" s="617">
        <v>30</v>
      </c>
      <c r="K243" s="618">
        <v>2417.1</v>
      </c>
    </row>
    <row r="244" spans="1:11" ht="14.4" customHeight="1" x14ac:dyDescent="0.3">
      <c r="A244" s="613" t="s">
        <v>323</v>
      </c>
      <c r="B244" s="614" t="s">
        <v>1112</v>
      </c>
      <c r="C244" s="615" t="s">
        <v>349</v>
      </c>
      <c r="D244" s="616" t="s">
        <v>1116</v>
      </c>
      <c r="E244" s="615" t="s">
        <v>2318</v>
      </c>
      <c r="F244" s="616" t="s">
        <v>2319</v>
      </c>
      <c r="G244" s="615" t="s">
        <v>1873</v>
      </c>
      <c r="H244" s="615" t="s">
        <v>1874</v>
      </c>
      <c r="I244" s="617">
        <v>206.04</v>
      </c>
      <c r="J244" s="617">
        <v>3</v>
      </c>
      <c r="K244" s="618">
        <v>618.12</v>
      </c>
    </row>
    <row r="245" spans="1:11" ht="14.4" customHeight="1" x14ac:dyDescent="0.3">
      <c r="A245" s="613" t="s">
        <v>323</v>
      </c>
      <c r="B245" s="614" t="s">
        <v>1112</v>
      </c>
      <c r="C245" s="615" t="s">
        <v>349</v>
      </c>
      <c r="D245" s="616" t="s">
        <v>1116</v>
      </c>
      <c r="E245" s="615" t="s">
        <v>2318</v>
      </c>
      <c r="F245" s="616" t="s">
        <v>2319</v>
      </c>
      <c r="G245" s="615" t="s">
        <v>1893</v>
      </c>
      <c r="H245" s="615" t="s">
        <v>1894</v>
      </c>
      <c r="I245" s="617">
        <v>2.91</v>
      </c>
      <c r="J245" s="617">
        <v>300</v>
      </c>
      <c r="K245" s="618">
        <v>873</v>
      </c>
    </row>
    <row r="246" spans="1:11" ht="14.4" customHeight="1" x14ac:dyDescent="0.3">
      <c r="A246" s="613" t="s">
        <v>323</v>
      </c>
      <c r="B246" s="614" t="s">
        <v>1112</v>
      </c>
      <c r="C246" s="615" t="s">
        <v>349</v>
      </c>
      <c r="D246" s="616" t="s">
        <v>1116</v>
      </c>
      <c r="E246" s="615" t="s">
        <v>2318</v>
      </c>
      <c r="F246" s="616" t="s">
        <v>2319</v>
      </c>
      <c r="G246" s="615" t="s">
        <v>2180</v>
      </c>
      <c r="H246" s="615" t="s">
        <v>2181</v>
      </c>
      <c r="I246" s="617">
        <v>636.38</v>
      </c>
      <c r="J246" s="617">
        <v>1</v>
      </c>
      <c r="K246" s="618">
        <v>636.38</v>
      </c>
    </row>
    <row r="247" spans="1:11" ht="14.4" customHeight="1" x14ac:dyDescent="0.3">
      <c r="A247" s="613" t="s">
        <v>323</v>
      </c>
      <c r="B247" s="614" t="s">
        <v>1112</v>
      </c>
      <c r="C247" s="615" t="s">
        <v>349</v>
      </c>
      <c r="D247" s="616" t="s">
        <v>1116</v>
      </c>
      <c r="E247" s="615" t="s">
        <v>2318</v>
      </c>
      <c r="F247" s="616" t="s">
        <v>2319</v>
      </c>
      <c r="G247" s="615" t="s">
        <v>1905</v>
      </c>
      <c r="H247" s="615" t="s">
        <v>1906</v>
      </c>
      <c r="I247" s="617">
        <v>12.11</v>
      </c>
      <c r="J247" s="617">
        <v>20</v>
      </c>
      <c r="K247" s="618">
        <v>242.2</v>
      </c>
    </row>
    <row r="248" spans="1:11" ht="14.4" customHeight="1" x14ac:dyDescent="0.3">
      <c r="A248" s="613" t="s">
        <v>323</v>
      </c>
      <c r="B248" s="614" t="s">
        <v>1112</v>
      </c>
      <c r="C248" s="615" t="s">
        <v>349</v>
      </c>
      <c r="D248" s="616" t="s">
        <v>1116</v>
      </c>
      <c r="E248" s="615" t="s">
        <v>2318</v>
      </c>
      <c r="F248" s="616" t="s">
        <v>2319</v>
      </c>
      <c r="G248" s="615" t="s">
        <v>2182</v>
      </c>
      <c r="H248" s="615" t="s">
        <v>2183</v>
      </c>
      <c r="I248" s="617">
        <v>17.3</v>
      </c>
      <c r="J248" s="617">
        <v>100</v>
      </c>
      <c r="K248" s="618">
        <v>1730.3</v>
      </c>
    </row>
    <row r="249" spans="1:11" ht="14.4" customHeight="1" x14ac:dyDescent="0.3">
      <c r="A249" s="613" t="s">
        <v>323</v>
      </c>
      <c r="B249" s="614" t="s">
        <v>1112</v>
      </c>
      <c r="C249" s="615" t="s">
        <v>349</v>
      </c>
      <c r="D249" s="616" t="s">
        <v>1116</v>
      </c>
      <c r="E249" s="615" t="s">
        <v>2318</v>
      </c>
      <c r="F249" s="616" t="s">
        <v>2319</v>
      </c>
      <c r="G249" s="615" t="s">
        <v>2184</v>
      </c>
      <c r="H249" s="615" t="s">
        <v>2185</v>
      </c>
      <c r="I249" s="617">
        <v>4059.98</v>
      </c>
      <c r="J249" s="617">
        <v>6</v>
      </c>
      <c r="K249" s="618">
        <v>24359.879999999997</v>
      </c>
    </row>
    <row r="250" spans="1:11" ht="14.4" customHeight="1" x14ac:dyDescent="0.3">
      <c r="A250" s="613" t="s">
        <v>323</v>
      </c>
      <c r="B250" s="614" t="s">
        <v>1112</v>
      </c>
      <c r="C250" s="615" t="s">
        <v>349</v>
      </c>
      <c r="D250" s="616" t="s">
        <v>1116</v>
      </c>
      <c r="E250" s="615" t="s">
        <v>2318</v>
      </c>
      <c r="F250" s="616" t="s">
        <v>2319</v>
      </c>
      <c r="G250" s="615" t="s">
        <v>2186</v>
      </c>
      <c r="H250" s="615" t="s">
        <v>2187</v>
      </c>
      <c r="I250" s="617">
        <v>76.23</v>
      </c>
      <c r="J250" s="617">
        <v>210</v>
      </c>
      <c r="K250" s="618">
        <v>16008.310000000001</v>
      </c>
    </row>
    <row r="251" spans="1:11" ht="14.4" customHeight="1" x14ac:dyDescent="0.3">
      <c r="A251" s="613" t="s">
        <v>323</v>
      </c>
      <c r="B251" s="614" t="s">
        <v>1112</v>
      </c>
      <c r="C251" s="615" t="s">
        <v>349</v>
      </c>
      <c r="D251" s="616" t="s">
        <v>1116</v>
      </c>
      <c r="E251" s="615" t="s">
        <v>2318</v>
      </c>
      <c r="F251" s="616" t="s">
        <v>2319</v>
      </c>
      <c r="G251" s="615" t="s">
        <v>2188</v>
      </c>
      <c r="H251" s="615" t="s">
        <v>2189</v>
      </c>
      <c r="I251" s="617">
        <v>712.69</v>
      </c>
      <c r="J251" s="617">
        <v>3</v>
      </c>
      <c r="K251" s="618">
        <v>2138.0700000000002</v>
      </c>
    </row>
    <row r="252" spans="1:11" ht="14.4" customHeight="1" x14ac:dyDescent="0.3">
      <c r="A252" s="613" t="s">
        <v>323</v>
      </c>
      <c r="B252" s="614" t="s">
        <v>1112</v>
      </c>
      <c r="C252" s="615" t="s">
        <v>349</v>
      </c>
      <c r="D252" s="616" t="s">
        <v>1116</v>
      </c>
      <c r="E252" s="615" t="s">
        <v>2318</v>
      </c>
      <c r="F252" s="616" t="s">
        <v>2319</v>
      </c>
      <c r="G252" s="615" t="s">
        <v>2190</v>
      </c>
      <c r="H252" s="615" t="s">
        <v>2191</v>
      </c>
      <c r="I252" s="617">
        <v>25.59</v>
      </c>
      <c r="J252" s="617">
        <v>60</v>
      </c>
      <c r="K252" s="618">
        <v>1535.49</v>
      </c>
    </row>
    <row r="253" spans="1:11" ht="14.4" customHeight="1" x14ac:dyDescent="0.3">
      <c r="A253" s="613" t="s">
        <v>323</v>
      </c>
      <c r="B253" s="614" t="s">
        <v>1112</v>
      </c>
      <c r="C253" s="615" t="s">
        <v>349</v>
      </c>
      <c r="D253" s="616" t="s">
        <v>1116</v>
      </c>
      <c r="E253" s="615" t="s">
        <v>2318</v>
      </c>
      <c r="F253" s="616" t="s">
        <v>2319</v>
      </c>
      <c r="G253" s="615" t="s">
        <v>2192</v>
      </c>
      <c r="H253" s="615" t="s">
        <v>2193</v>
      </c>
      <c r="I253" s="617">
        <v>5626.5</v>
      </c>
      <c r="J253" s="617">
        <v>1</v>
      </c>
      <c r="K253" s="618">
        <v>5626.5</v>
      </c>
    </row>
    <row r="254" spans="1:11" ht="14.4" customHeight="1" x14ac:dyDescent="0.3">
      <c r="A254" s="613" t="s">
        <v>323</v>
      </c>
      <c r="B254" s="614" t="s">
        <v>1112</v>
      </c>
      <c r="C254" s="615" t="s">
        <v>349</v>
      </c>
      <c r="D254" s="616" t="s">
        <v>1116</v>
      </c>
      <c r="E254" s="615" t="s">
        <v>2318</v>
      </c>
      <c r="F254" s="616" t="s">
        <v>2319</v>
      </c>
      <c r="G254" s="615" t="s">
        <v>2194</v>
      </c>
      <c r="H254" s="615" t="s">
        <v>2195</v>
      </c>
      <c r="I254" s="617">
        <v>64.22</v>
      </c>
      <c r="J254" s="617">
        <v>50</v>
      </c>
      <c r="K254" s="618">
        <v>3211.04</v>
      </c>
    </row>
    <row r="255" spans="1:11" ht="14.4" customHeight="1" x14ac:dyDescent="0.3">
      <c r="A255" s="613" t="s">
        <v>323</v>
      </c>
      <c r="B255" s="614" t="s">
        <v>1112</v>
      </c>
      <c r="C255" s="615" t="s">
        <v>349</v>
      </c>
      <c r="D255" s="616" t="s">
        <v>1116</v>
      </c>
      <c r="E255" s="615" t="s">
        <v>2318</v>
      </c>
      <c r="F255" s="616" t="s">
        <v>2319</v>
      </c>
      <c r="G255" s="615" t="s">
        <v>2196</v>
      </c>
      <c r="H255" s="615" t="s">
        <v>2197</v>
      </c>
      <c r="I255" s="617">
        <v>723.58</v>
      </c>
      <c r="J255" s="617">
        <v>20</v>
      </c>
      <c r="K255" s="618">
        <v>14471.6</v>
      </c>
    </row>
    <row r="256" spans="1:11" ht="14.4" customHeight="1" x14ac:dyDescent="0.3">
      <c r="A256" s="613" t="s">
        <v>323</v>
      </c>
      <c r="B256" s="614" t="s">
        <v>1112</v>
      </c>
      <c r="C256" s="615" t="s">
        <v>349</v>
      </c>
      <c r="D256" s="616" t="s">
        <v>1116</v>
      </c>
      <c r="E256" s="615" t="s">
        <v>2318</v>
      </c>
      <c r="F256" s="616" t="s">
        <v>2319</v>
      </c>
      <c r="G256" s="615" t="s">
        <v>2198</v>
      </c>
      <c r="H256" s="615" t="s">
        <v>2199</v>
      </c>
      <c r="I256" s="617">
        <v>1694</v>
      </c>
      <c r="J256" s="617">
        <v>1</v>
      </c>
      <c r="K256" s="618">
        <v>1694</v>
      </c>
    </row>
    <row r="257" spans="1:11" ht="14.4" customHeight="1" x14ac:dyDescent="0.3">
      <c r="A257" s="613" t="s">
        <v>323</v>
      </c>
      <c r="B257" s="614" t="s">
        <v>1112</v>
      </c>
      <c r="C257" s="615" t="s">
        <v>349</v>
      </c>
      <c r="D257" s="616" t="s">
        <v>1116</v>
      </c>
      <c r="E257" s="615" t="s">
        <v>2318</v>
      </c>
      <c r="F257" s="616" t="s">
        <v>2319</v>
      </c>
      <c r="G257" s="615" t="s">
        <v>2200</v>
      </c>
      <c r="H257" s="615" t="s">
        <v>2201</v>
      </c>
      <c r="I257" s="617">
        <v>2274.8000000000002</v>
      </c>
      <c r="J257" s="617">
        <v>2</v>
      </c>
      <c r="K257" s="618">
        <v>4549.6000000000004</v>
      </c>
    </row>
    <row r="258" spans="1:11" ht="14.4" customHeight="1" x14ac:dyDescent="0.3">
      <c r="A258" s="613" t="s">
        <v>323</v>
      </c>
      <c r="B258" s="614" t="s">
        <v>1112</v>
      </c>
      <c r="C258" s="615" t="s">
        <v>349</v>
      </c>
      <c r="D258" s="616" t="s">
        <v>1116</v>
      </c>
      <c r="E258" s="615" t="s">
        <v>2318</v>
      </c>
      <c r="F258" s="616" t="s">
        <v>2319</v>
      </c>
      <c r="G258" s="615" t="s">
        <v>2202</v>
      </c>
      <c r="H258" s="615" t="s">
        <v>2203</v>
      </c>
      <c r="I258" s="617">
        <v>2274.8000000000002</v>
      </c>
      <c r="J258" s="617">
        <v>2</v>
      </c>
      <c r="K258" s="618">
        <v>4549.6000000000004</v>
      </c>
    </row>
    <row r="259" spans="1:11" ht="14.4" customHeight="1" x14ac:dyDescent="0.3">
      <c r="A259" s="613" t="s">
        <v>323</v>
      </c>
      <c r="B259" s="614" t="s">
        <v>1112</v>
      </c>
      <c r="C259" s="615" t="s">
        <v>349</v>
      </c>
      <c r="D259" s="616" t="s">
        <v>1116</v>
      </c>
      <c r="E259" s="615" t="s">
        <v>2318</v>
      </c>
      <c r="F259" s="616" t="s">
        <v>2319</v>
      </c>
      <c r="G259" s="615" t="s">
        <v>2204</v>
      </c>
      <c r="H259" s="615" t="s">
        <v>2205</v>
      </c>
      <c r="I259" s="617">
        <v>3678.4</v>
      </c>
      <c r="J259" s="617">
        <v>2</v>
      </c>
      <c r="K259" s="618">
        <v>7356.8</v>
      </c>
    </row>
    <row r="260" spans="1:11" ht="14.4" customHeight="1" x14ac:dyDescent="0.3">
      <c r="A260" s="613" t="s">
        <v>323</v>
      </c>
      <c r="B260" s="614" t="s">
        <v>1112</v>
      </c>
      <c r="C260" s="615" t="s">
        <v>349</v>
      </c>
      <c r="D260" s="616" t="s">
        <v>1116</v>
      </c>
      <c r="E260" s="615" t="s">
        <v>2318</v>
      </c>
      <c r="F260" s="616" t="s">
        <v>2319</v>
      </c>
      <c r="G260" s="615" t="s">
        <v>2206</v>
      </c>
      <c r="H260" s="615" t="s">
        <v>2207</v>
      </c>
      <c r="I260" s="617">
        <v>4259.2</v>
      </c>
      <c r="J260" s="617">
        <v>2</v>
      </c>
      <c r="K260" s="618">
        <v>8518.4</v>
      </c>
    </row>
    <row r="261" spans="1:11" ht="14.4" customHeight="1" x14ac:dyDescent="0.3">
      <c r="A261" s="613" t="s">
        <v>323</v>
      </c>
      <c r="B261" s="614" t="s">
        <v>1112</v>
      </c>
      <c r="C261" s="615" t="s">
        <v>349</v>
      </c>
      <c r="D261" s="616" t="s">
        <v>1116</v>
      </c>
      <c r="E261" s="615" t="s">
        <v>2338</v>
      </c>
      <c r="F261" s="616" t="s">
        <v>2339</v>
      </c>
      <c r="G261" s="615" t="s">
        <v>2208</v>
      </c>
      <c r="H261" s="615" t="s">
        <v>2209</v>
      </c>
      <c r="I261" s="617">
        <v>272.61500000000001</v>
      </c>
      <c r="J261" s="617">
        <v>2</v>
      </c>
      <c r="K261" s="618">
        <v>545.23</v>
      </c>
    </row>
    <row r="262" spans="1:11" ht="14.4" customHeight="1" x14ac:dyDescent="0.3">
      <c r="A262" s="613" t="s">
        <v>323</v>
      </c>
      <c r="B262" s="614" t="s">
        <v>1112</v>
      </c>
      <c r="C262" s="615" t="s">
        <v>349</v>
      </c>
      <c r="D262" s="616" t="s">
        <v>1116</v>
      </c>
      <c r="E262" s="615" t="s">
        <v>2338</v>
      </c>
      <c r="F262" s="616" t="s">
        <v>2339</v>
      </c>
      <c r="G262" s="615" t="s">
        <v>2210</v>
      </c>
      <c r="H262" s="615" t="s">
        <v>2211</v>
      </c>
      <c r="I262" s="617">
        <v>393.18</v>
      </c>
      <c r="J262" s="617">
        <v>2</v>
      </c>
      <c r="K262" s="618">
        <v>786.36</v>
      </c>
    </row>
    <row r="263" spans="1:11" ht="14.4" customHeight="1" x14ac:dyDescent="0.3">
      <c r="A263" s="613" t="s">
        <v>323</v>
      </c>
      <c r="B263" s="614" t="s">
        <v>1112</v>
      </c>
      <c r="C263" s="615" t="s">
        <v>349</v>
      </c>
      <c r="D263" s="616" t="s">
        <v>1116</v>
      </c>
      <c r="E263" s="615" t="s">
        <v>2338</v>
      </c>
      <c r="F263" s="616" t="s">
        <v>2339</v>
      </c>
      <c r="G263" s="615" t="s">
        <v>2212</v>
      </c>
      <c r="H263" s="615" t="s">
        <v>2213</v>
      </c>
      <c r="I263" s="617">
        <v>272.61500000000001</v>
      </c>
      <c r="J263" s="617">
        <v>2</v>
      </c>
      <c r="K263" s="618">
        <v>545.23</v>
      </c>
    </row>
    <row r="264" spans="1:11" ht="14.4" customHeight="1" x14ac:dyDescent="0.3">
      <c r="A264" s="613" t="s">
        <v>323</v>
      </c>
      <c r="B264" s="614" t="s">
        <v>1112</v>
      </c>
      <c r="C264" s="615" t="s">
        <v>349</v>
      </c>
      <c r="D264" s="616" t="s">
        <v>1116</v>
      </c>
      <c r="E264" s="615" t="s">
        <v>2336</v>
      </c>
      <c r="F264" s="616" t="s">
        <v>2337</v>
      </c>
      <c r="G264" s="615" t="s">
        <v>2214</v>
      </c>
      <c r="H264" s="615" t="s">
        <v>2215</v>
      </c>
      <c r="I264" s="617">
        <v>138.22399999999999</v>
      </c>
      <c r="J264" s="617">
        <v>95</v>
      </c>
      <c r="K264" s="618">
        <v>13011.429999999998</v>
      </c>
    </row>
    <row r="265" spans="1:11" ht="14.4" customHeight="1" x14ac:dyDescent="0.3">
      <c r="A265" s="613" t="s">
        <v>323</v>
      </c>
      <c r="B265" s="614" t="s">
        <v>1112</v>
      </c>
      <c r="C265" s="615" t="s">
        <v>349</v>
      </c>
      <c r="D265" s="616" t="s">
        <v>1116</v>
      </c>
      <c r="E265" s="615" t="s">
        <v>2336</v>
      </c>
      <c r="F265" s="616" t="s">
        <v>2337</v>
      </c>
      <c r="G265" s="615" t="s">
        <v>2216</v>
      </c>
      <c r="H265" s="615" t="s">
        <v>2217</v>
      </c>
      <c r="I265" s="617">
        <v>544.15</v>
      </c>
      <c r="J265" s="617">
        <v>1</v>
      </c>
      <c r="K265" s="618">
        <v>544.15</v>
      </c>
    </row>
    <row r="266" spans="1:11" ht="14.4" customHeight="1" x14ac:dyDescent="0.3">
      <c r="A266" s="613" t="s">
        <v>323</v>
      </c>
      <c r="B266" s="614" t="s">
        <v>1112</v>
      </c>
      <c r="C266" s="615" t="s">
        <v>349</v>
      </c>
      <c r="D266" s="616" t="s">
        <v>1116</v>
      </c>
      <c r="E266" s="615" t="s">
        <v>2336</v>
      </c>
      <c r="F266" s="616" t="s">
        <v>2337</v>
      </c>
      <c r="G266" s="615" t="s">
        <v>2218</v>
      </c>
      <c r="H266" s="615" t="s">
        <v>2219</v>
      </c>
      <c r="I266" s="617">
        <v>153.29599999999999</v>
      </c>
      <c r="J266" s="617">
        <v>46</v>
      </c>
      <c r="K266" s="618">
        <v>7033.4199999999992</v>
      </c>
    </row>
    <row r="267" spans="1:11" ht="14.4" customHeight="1" x14ac:dyDescent="0.3">
      <c r="A267" s="613" t="s">
        <v>323</v>
      </c>
      <c r="B267" s="614" t="s">
        <v>1112</v>
      </c>
      <c r="C267" s="615" t="s">
        <v>349</v>
      </c>
      <c r="D267" s="616" t="s">
        <v>1116</v>
      </c>
      <c r="E267" s="615" t="s">
        <v>2336</v>
      </c>
      <c r="F267" s="616" t="s">
        <v>2337</v>
      </c>
      <c r="G267" s="615" t="s">
        <v>2220</v>
      </c>
      <c r="H267" s="615" t="s">
        <v>2221</v>
      </c>
      <c r="I267" s="617">
        <v>334.48363636363632</v>
      </c>
      <c r="J267" s="617">
        <v>21</v>
      </c>
      <c r="K267" s="618">
        <v>6994.3900000000012</v>
      </c>
    </row>
    <row r="268" spans="1:11" ht="14.4" customHeight="1" x14ac:dyDescent="0.3">
      <c r="A268" s="613" t="s">
        <v>323</v>
      </c>
      <c r="B268" s="614" t="s">
        <v>1112</v>
      </c>
      <c r="C268" s="615" t="s">
        <v>349</v>
      </c>
      <c r="D268" s="616" t="s">
        <v>1116</v>
      </c>
      <c r="E268" s="615" t="s">
        <v>2336</v>
      </c>
      <c r="F268" s="616" t="s">
        <v>2337</v>
      </c>
      <c r="G268" s="615" t="s">
        <v>2222</v>
      </c>
      <c r="H268" s="615" t="s">
        <v>2223</v>
      </c>
      <c r="I268" s="617">
        <v>149.54250000000002</v>
      </c>
      <c r="J268" s="617">
        <v>20</v>
      </c>
      <c r="K268" s="618">
        <v>3003.33</v>
      </c>
    </row>
    <row r="269" spans="1:11" ht="14.4" customHeight="1" x14ac:dyDescent="0.3">
      <c r="A269" s="613" t="s">
        <v>323</v>
      </c>
      <c r="B269" s="614" t="s">
        <v>1112</v>
      </c>
      <c r="C269" s="615" t="s">
        <v>349</v>
      </c>
      <c r="D269" s="616" t="s">
        <v>1116</v>
      </c>
      <c r="E269" s="615" t="s">
        <v>2336</v>
      </c>
      <c r="F269" s="616" t="s">
        <v>2337</v>
      </c>
      <c r="G269" s="615" t="s">
        <v>2122</v>
      </c>
      <c r="H269" s="615" t="s">
        <v>2123</v>
      </c>
      <c r="I269" s="617">
        <v>136.5</v>
      </c>
      <c r="J269" s="617">
        <v>18</v>
      </c>
      <c r="K269" s="618">
        <v>2435.9899999999998</v>
      </c>
    </row>
    <row r="270" spans="1:11" ht="14.4" customHeight="1" x14ac:dyDescent="0.3">
      <c r="A270" s="613" t="s">
        <v>323</v>
      </c>
      <c r="B270" s="614" t="s">
        <v>1112</v>
      </c>
      <c r="C270" s="615" t="s">
        <v>349</v>
      </c>
      <c r="D270" s="616" t="s">
        <v>1116</v>
      </c>
      <c r="E270" s="615" t="s">
        <v>2336</v>
      </c>
      <c r="F270" s="616" t="s">
        <v>2337</v>
      </c>
      <c r="G270" s="615" t="s">
        <v>2224</v>
      </c>
      <c r="H270" s="615" t="s">
        <v>2225</v>
      </c>
      <c r="I270" s="617">
        <v>171.79333333333332</v>
      </c>
      <c r="J270" s="617">
        <v>8</v>
      </c>
      <c r="K270" s="618">
        <v>1375.72</v>
      </c>
    </row>
    <row r="271" spans="1:11" ht="14.4" customHeight="1" x14ac:dyDescent="0.3">
      <c r="A271" s="613" t="s">
        <v>323</v>
      </c>
      <c r="B271" s="614" t="s">
        <v>1112</v>
      </c>
      <c r="C271" s="615" t="s">
        <v>349</v>
      </c>
      <c r="D271" s="616" t="s">
        <v>1116</v>
      </c>
      <c r="E271" s="615" t="s">
        <v>2336</v>
      </c>
      <c r="F271" s="616" t="s">
        <v>2337</v>
      </c>
      <c r="G271" s="615" t="s">
        <v>2226</v>
      </c>
      <c r="H271" s="615" t="s">
        <v>2227</v>
      </c>
      <c r="I271" s="617">
        <v>151.71833333333333</v>
      </c>
      <c r="J271" s="617">
        <v>18</v>
      </c>
      <c r="K271" s="618">
        <v>2737.4</v>
      </c>
    </row>
    <row r="272" spans="1:11" ht="14.4" customHeight="1" x14ac:dyDescent="0.3">
      <c r="A272" s="613" t="s">
        <v>323</v>
      </c>
      <c r="B272" s="614" t="s">
        <v>1112</v>
      </c>
      <c r="C272" s="615" t="s">
        <v>349</v>
      </c>
      <c r="D272" s="616" t="s">
        <v>1116</v>
      </c>
      <c r="E272" s="615" t="s">
        <v>2336</v>
      </c>
      <c r="F272" s="616" t="s">
        <v>2337</v>
      </c>
      <c r="G272" s="615" t="s">
        <v>2228</v>
      </c>
      <c r="H272" s="615" t="s">
        <v>2229</v>
      </c>
      <c r="I272" s="617">
        <v>522.22</v>
      </c>
      <c r="J272" s="617">
        <v>1</v>
      </c>
      <c r="K272" s="618">
        <v>522.22</v>
      </c>
    </row>
    <row r="273" spans="1:11" ht="14.4" customHeight="1" x14ac:dyDescent="0.3">
      <c r="A273" s="613" t="s">
        <v>323</v>
      </c>
      <c r="B273" s="614" t="s">
        <v>1112</v>
      </c>
      <c r="C273" s="615" t="s">
        <v>349</v>
      </c>
      <c r="D273" s="616" t="s">
        <v>1116</v>
      </c>
      <c r="E273" s="615" t="s">
        <v>2336</v>
      </c>
      <c r="F273" s="616" t="s">
        <v>2337</v>
      </c>
      <c r="G273" s="615" t="s">
        <v>2126</v>
      </c>
      <c r="H273" s="615" t="s">
        <v>2127</v>
      </c>
      <c r="I273" s="617">
        <v>59.29</v>
      </c>
      <c r="J273" s="617">
        <v>60</v>
      </c>
      <c r="K273" s="618">
        <v>3557.4</v>
      </c>
    </row>
    <row r="274" spans="1:11" ht="14.4" customHeight="1" x14ac:dyDescent="0.3">
      <c r="A274" s="613" t="s">
        <v>323</v>
      </c>
      <c r="B274" s="614" t="s">
        <v>1112</v>
      </c>
      <c r="C274" s="615" t="s">
        <v>349</v>
      </c>
      <c r="D274" s="616" t="s">
        <v>1116</v>
      </c>
      <c r="E274" s="615" t="s">
        <v>2336</v>
      </c>
      <c r="F274" s="616" t="s">
        <v>2337</v>
      </c>
      <c r="G274" s="615" t="s">
        <v>2230</v>
      </c>
      <c r="H274" s="615" t="s">
        <v>2231</v>
      </c>
      <c r="I274" s="617">
        <v>173.67</v>
      </c>
      <c r="J274" s="617">
        <v>1</v>
      </c>
      <c r="K274" s="618">
        <v>173.67</v>
      </c>
    </row>
    <row r="275" spans="1:11" ht="14.4" customHeight="1" x14ac:dyDescent="0.3">
      <c r="A275" s="613" t="s">
        <v>323</v>
      </c>
      <c r="B275" s="614" t="s">
        <v>1112</v>
      </c>
      <c r="C275" s="615" t="s">
        <v>349</v>
      </c>
      <c r="D275" s="616" t="s">
        <v>1116</v>
      </c>
      <c r="E275" s="615" t="s">
        <v>2336</v>
      </c>
      <c r="F275" s="616" t="s">
        <v>2337</v>
      </c>
      <c r="G275" s="615" t="s">
        <v>2232</v>
      </c>
      <c r="H275" s="615" t="s">
        <v>2233</v>
      </c>
      <c r="I275" s="617">
        <v>149.20999999999998</v>
      </c>
      <c r="J275" s="617">
        <v>4</v>
      </c>
      <c r="K275" s="618">
        <v>592.82000000000005</v>
      </c>
    </row>
    <row r="276" spans="1:11" ht="14.4" customHeight="1" x14ac:dyDescent="0.3">
      <c r="A276" s="613" t="s">
        <v>323</v>
      </c>
      <c r="B276" s="614" t="s">
        <v>1112</v>
      </c>
      <c r="C276" s="615" t="s">
        <v>349</v>
      </c>
      <c r="D276" s="616" t="s">
        <v>1116</v>
      </c>
      <c r="E276" s="615" t="s">
        <v>2336</v>
      </c>
      <c r="F276" s="616" t="s">
        <v>2337</v>
      </c>
      <c r="G276" s="615" t="s">
        <v>2128</v>
      </c>
      <c r="H276" s="615" t="s">
        <v>2129</v>
      </c>
      <c r="I276" s="617">
        <v>59.29</v>
      </c>
      <c r="J276" s="617">
        <v>90</v>
      </c>
      <c r="K276" s="618">
        <v>5336.1</v>
      </c>
    </row>
    <row r="277" spans="1:11" ht="14.4" customHeight="1" x14ac:dyDescent="0.3">
      <c r="A277" s="613" t="s">
        <v>323</v>
      </c>
      <c r="B277" s="614" t="s">
        <v>1112</v>
      </c>
      <c r="C277" s="615" t="s">
        <v>349</v>
      </c>
      <c r="D277" s="616" t="s">
        <v>1116</v>
      </c>
      <c r="E277" s="615" t="s">
        <v>2336</v>
      </c>
      <c r="F277" s="616" t="s">
        <v>2337</v>
      </c>
      <c r="G277" s="615" t="s">
        <v>2234</v>
      </c>
      <c r="H277" s="615" t="s">
        <v>2235</v>
      </c>
      <c r="I277" s="617">
        <v>264.99</v>
      </c>
      <c r="J277" s="617">
        <v>10</v>
      </c>
      <c r="K277" s="618">
        <v>2649.9</v>
      </c>
    </row>
    <row r="278" spans="1:11" ht="14.4" customHeight="1" x14ac:dyDescent="0.3">
      <c r="A278" s="613" t="s">
        <v>323</v>
      </c>
      <c r="B278" s="614" t="s">
        <v>1112</v>
      </c>
      <c r="C278" s="615" t="s">
        <v>349</v>
      </c>
      <c r="D278" s="616" t="s">
        <v>1116</v>
      </c>
      <c r="E278" s="615" t="s">
        <v>2336</v>
      </c>
      <c r="F278" s="616" t="s">
        <v>2337</v>
      </c>
      <c r="G278" s="615" t="s">
        <v>2236</v>
      </c>
      <c r="H278" s="615" t="s">
        <v>2237</v>
      </c>
      <c r="I278" s="617">
        <v>71.39</v>
      </c>
      <c r="J278" s="617">
        <v>60</v>
      </c>
      <c r="K278" s="618">
        <v>4283.3999999999996</v>
      </c>
    </row>
    <row r="279" spans="1:11" ht="14.4" customHeight="1" x14ac:dyDescent="0.3">
      <c r="A279" s="613" t="s">
        <v>323</v>
      </c>
      <c r="B279" s="614" t="s">
        <v>1112</v>
      </c>
      <c r="C279" s="615" t="s">
        <v>349</v>
      </c>
      <c r="D279" s="616" t="s">
        <v>1116</v>
      </c>
      <c r="E279" s="615" t="s">
        <v>2336</v>
      </c>
      <c r="F279" s="616" t="s">
        <v>2337</v>
      </c>
      <c r="G279" s="615" t="s">
        <v>2238</v>
      </c>
      <c r="H279" s="615" t="s">
        <v>2239</v>
      </c>
      <c r="I279" s="617">
        <v>269.56</v>
      </c>
      <c r="J279" s="617">
        <v>1</v>
      </c>
      <c r="K279" s="618">
        <v>269.56</v>
      </c>
    </row>
    <row r="280" spans="1:11" ht="14.4" customHeight="1" x14ac:dyDescent="0.3">
      <c r="A280" s="613" t="s">
        <v>323</v>
      </c>
      <c r="B280" s="614" t="s">
        <v>1112</v>
      </c>
      <c r="C280" s="615" t="s">
        <v>349</v>
      </c>
      <c r="D280" s="616" t="s">
        <v>1116</v>
      </c>
      <c r="E280" s="615" t="s">
        <v>2336</v>
      </c>
      <c r="F280" s="616" t="s">
        <v>2337</v>
      </c>
      <c r="G280" s="615" t="s">
        <v>2240</v>
      </c>
      <c r="H280" s="615" t="s">
        <v>2241</v>
      </c>
      <c r="I280" s="617">
        <v>323.26</v>
      </c>
      <c r="J280" s="617">
        <v>2</v>
      </c>
      <c r="K280" s="618">
        <v>646.53</v>
      </c>
    </row>
    <row r="281" spans="1:11" ht="14.4" customHeight="1" x14ac:dyDescent="0.3">
      <c r="A281" s="613" t="s">
        <v>323</v>
      </c>
      <c r="B281" s="614" t="s">
        <v>1112</v>
      </c>
      <c r="C281" s="615" t="s">
        <v>349</v>
      </c>
      <c r="D281" s="616" t="s">
        <v>1116</v>
      </c>
      <c r="E281" s="615" t="s">
        <v>2336</v>
      </c>
      <c r="F281" s="616" t="s">
        <v>2337</v>
      </c>
      <c r="G281" s="615" t="s">
        <v>2242</v>
      </c>
      <c r="H281" s="615" t="s">
        <v>2243</v>
      </c>
      <c r="I281" s="617">
        <v>135.35</v>
      </c>
      <c r="J281" s="617">
        <v>2</v>
      </c>
      <c r="K281" s="618">
        <v>270.70999999999998</v>
      </c>
    </row>
    <row r="282" spans="1:11" ht="14.4" customHeight="1" x14ac:dyDescent="0.3">
      <c r="A282" s="613" t="s">
        <v>323</v>
      </c>
      <c r="B282" s="614" t="s">
        <v>1112</v>
      </c>
      <c r="C282" s="615" t="s">
        <v>349</v>
      </c>
      <c r="D282" s="616" t="s">
        <v>1116</v>
      </c>
      <c r="E282" s="615" t="s">
        <v>2336</v>
      </c>
      <c r="F282" s="616" t="s">
        <v>2337</v>
      </c>
      <c r="G282" s="615" t="s">
        <v>2244</v>
      </c>
      <c r="H282" s="615" t="s">
        <v>2245</v>
      </c>
      <c r="I282" s="617">
        <v>1427.27</v>
      </c>
      <c r="J282" s="617">
        <v>5</v>
      </c>
      <c r="K282" s="618">
        <v>7136.37</v>
      </c>
    </row>
    <row r="283" spans="1:11" ht="14.4" customHeight="1" x14ac:dyDescent="0.3">
      <c r="A283" s="613" t="s">
        <v>323</v>
      </c>
      <c r="B283" s="614" t="s">
        <v>1112</v>
      </c>
      <c r="C283" s="615" t="s">
        <v>349</v>
      </c>
      <c r="D283" s="616" t="s">
        <v>1116</v>
      </c>
      <c r="E283" s="615" t="s">
        <v>2336</v>
      </c>
      <c r="F283" s="616" t="s">
        <v>2337</v>
      </c>
      <c r="G283" s="615" t="s">
        <v>2246</v>
      </c>
      <c r="H283" s="615" t="s">
        <v>2247</v>
      </c>
      <c r="I283" s="617">
        <v>2259.0700000000002</v>
      </c>
      <c r="J283" s="617">
        <v>1</v>
      </c>
      <c r="K283" s="618">
        <v>2259.0700000000002</v>
      </c>
    </row>
    <row r="284" spans="1:11" ht="14.4" customHeight="1" x14ac:dyDescent="0.3">
      <c r="A284" s="613" t="s">
        <v>323</v>
      </c>
      <c r="B284" s="614" t="s">
        <v>1112</v>
      </c>
      <c r="C284" s="615" t="s">
        <v>349</v>
      </c>
      <c r="D284" s="616" t="s">
        <v>1116</v>
      </c>
      <c r="E284" s="615" t="s">
        <v>2336</v>
      </c>
      <c r="F284" s="616" t="s">
        <v>2337</v>
      </c>
      <c r="G284" s="615" t="s">
        <v>2248</v>
      </c>
      <c r="H284" s="615" t="s">
        <v>2249</v>
      </c>
      <c r="I284" s="617">
        <v>59.29</v>
      </c>
      <c r="J284" s="617">
        <v>60</v>
      </c>
      <c r="K284" s="618">
        <v>3557.4</v>
      </c>
    </row>
    <row r="285" spans="1:11" ht="14.4" customHeight="1" x14ac:dyDescent="0.3">
      <c r="A285" s="613" t="s">
        <v>323</v>
      </c>
      <c r="B285" s="614" t="s">
        <v>1112</v>
      </c>
      <c r="C285" s="615" t="s">
        <v>349</v>
      </c>
      <c r="D285" s="616" t="s">
        <v>1116</v>
      </c>
      <c r="E285" s="615" t="s">
        <v>2336</v>
      </c>
      <c r="F285" s="616" t="s">
        <v>2337</v>
      </c>
      <c r="G285" s="615" t="s">
        <v>2250</v>
      </c>
      <c r="H285" s="615" t="s">
        <v>2251</v>
      </c>
      <c r="I285" s="617">
        <v>4224.83</v>
      </c>
      <c r="J285" s="617">
        <v>1</v>
      </c>
      <c r="K285" s="618">
        <v>4224.83</v>
      </c>
    </row>
    <row r="286" spans="1:11" ht="14.4" customHeight="1" x14ac:dyDescent="0.3">
      <c r="A286" s="613" t="s">
        <v>323</v>
      </c>
      <c r="B286" s="614" t="s">
        <v>1112</v>
      </c>
      <c r="C286" s="615" t="s">
        <v>349</v>
      </c>
      <c r="D286" s="616" t="s">
        <v>1116</v>
      </c>
      <c r="E286" s="615" t="s">
        <v>2336</v>
      </c>
      <c r="F286" s="616" t="s">
        <v>2337</v>
      </c>
      <c r="G286" s="615" t="s">
        <v>2252</v>
      </c>
      <c r="H286" s="615" t="s">
        <v>2253</v>
      </c>
      <c r="I286" s="617">
        <v>1283</v>
      </c>
      <c r="J286" s="617">
        <v>1</v>
      </c>
      <c r="K286" s="618">
        <v>1283</v>
      </c>
    </row>
    <row r="287" spans="1:11" ht="14.4" customHeight="1" x14ac:dyDescent="0.3">
      <c r="A287" s="613" t="s">
        <v>323</v>
      </c>
      <c r="B287" s="614" t="s">
        <v>1112</v>
      </c>
      <c r="C287" s="615" t="s">
        <v>349</v>
      </c>
      <c r="D287" s="616" t="s">
        <v>1116</v>
      </c>
      <c r="E287" s="615" t="s">
        <v>2336</v>
      </c>
      <c r="F287" s="616" t="s">
        <v>2337</v>
      </c>
      <c r="G287" s="615" t="s">
        <v>2254</v>
      </c>
      <c r="H287" s="615" t="s">
        <v>2255</v>
      </c>
      <c r="I287" s="617">
        <v>71.39</v>
      </c>
      <c r="J287" s="617">
        <v>30</v>
      </c>
      <c r="K287" s="618">
        <v>2141.6999999999998</v>
      </c>
    </row>
    <row r="288" spans="1:11" ht="14.4" customHeight="1" x14ac:dyDescent="0.3">
      <c r="A288" s="613" t="s">
        <v>323</v>
      </c>
      <c r="B288" s="614" t="s">
        <v>1112</v>
      </c>
      <c r="C288" s="615" t="s">
        <v>349</v>
      </c>
      <c r="D288" s="616" t="s">
        <v>1116</v>
      </c>
      <c r="E288" s="615" t="s">
        <v>2336</v>
      </c>
      <c r="F288" s="616" t="s">
        <v>2337</v>
      </c>
      <c r="G288" s="615" t="s">
        <v>2256</v>
      </c>
      <c r="H288" s="615" t="s">
        <v>2257</v>
      </c>
      <c r="I288" s="617">
        <v>1427.28</v>
      </c>
      <c r="J288" s="617">
        <v>4</v>
      </c>
      <c r="K288" s="618">
        <v>5709.1</v>
      </c>
    </row>
    <row r="289" spans="1:11" ht="14.4" customHeight="1" x14ac:dyDescent="0.3">
      <c r="A289" s="613" t="s">
        <v>323</v>
      </c>
      <c r="B289" s="614" t="s">
        <v>1112</v>
      </c>
      <c r="C289" s="615" t="s">
        <v>349</v>
      </c>
      <c r="D289" s="616" t="s">
        <v>1116</v>
      </c>
      <c r="E289" s="615" t="s">
        <v>2336</v>
      </c>
      <c r="F289" s="616" t="s">
        <v>2337</v>
      </c>
      <c r="G289" s="615" t="s">
        <v>2258</v>
      </c>
      <c r="H289" s="615" t="s">
        <v>2259</v>
      </c>
      <c r="I289" s="617">
        <v>4224.83</v>
      </c>
      <c r="J289" s="617">
        <v>1</v>
      </c>
      <c r="K289" s="618">
        <v>4224.83</v>
      </c>
    </row>
    <row r="290" spans="1:11" ht="14.4" customHeight="1" x14ac:dyDescent="0.3">
      <c r="A290" s="613" t="s">
        <v>323</v>
      </c>
      <c r="B290" s="614" t="s">
        <v>1112</v>
      </c>
      <c r="C290" s="615" t="s">
        <v>349</v>
      </c>
      <c r="D290" s="616" t="s">
        <v>1116</v>
      </c>
      <c r="E290" s="615" t="s">
        <v>2336</v>
      </c>
      <c r="F290" s="616" t="s">
        <v>2337</v>
      </c>
      <c r="G290" s="615" t="s">
        <v>2260</v>
      </c>
      <c r="H290" s="615" t="s">
        <v>2261</v>
      </c>
      <c r="I290" s="617">
        <v>173.67</v>
      </c>
      <c r="J290" s="617">
        <v>1</v>
      </c>
      <c r="K290" s="618">
        <v>173.67</v>
      </c>
    </row>
    <row r="291" spans="1:11" ht="14.4" customHeight="1" x14ac:dyDescent="0.3">
      <c r="A291" s="613" t="s">
        <v>323</v>
      </c>
      <c r="B291" s="614" t="s">
        <v>1112</v>
      </c>
      <c r="C291" s="615" t="s">
        <v>349</v>
      </c>
      <c r="D291" s="616" t="s">
        <v>1116</v>
      </c>
      <c r="E291" s="615" t="s">
        <v>2336</v>
      </c>
      <c r="F291" s="616" t="s">
        <v>2337</v>
      </c>
      <c r="G291" s="615" t="s">
        <v>2262</v>
      </c>
      <c r="H291" s="615" t="s">
        <v>2263</v>
      </c>
      <c r="I291" s="617">
        <v>2097.39</v>
      </c>
      <c r="J291" s="617">
        <v>1</v>
      </c>
      <c r="K291" s="618">
        <v>2097.39</v>
      </c>
    </row>
    <row r="292" spans="1:11" ht="14.4" customHeight="1" x14ac:dyDescent="0.3">
      <c r="A292" s="613" t="s">
        <v>323</v>
      </c>
      <c r="B292" s="614" t="s">
        <v>1112</v>
      </c>
      <c r="C292" s="615" t="s">
        <v>349</v>
      </c>
      <c r="D292" s="616" t="s">
        <v>1116</v>
      </c>
      <c r="E292" s="615" t="s">
        <v>2336</v>
      </c>
      <c r="F292" s="616" t="s">
        <v>2337</v>
      </c>
      <c r="G292" s="615" t="s">
        <v>2264</v>
      </c>
      <c r="H292" s="615" t="s">
        <v>2265</v>
      </c>
      <c r="I292" s="617">
        <v>151.22</v>
      </c>
      <c r="J292" s="617">
        <v>2</v>
      </c>
      <c r="K292" s="618">
        <v>302.45</v>
      </c>
    </row>
    <row r="293" spans="1:11" ht="14.4" customHeight="1" x14ac:dyDescent="0.3">
      <c r="A293" s="613" t="s">
        <v>323</v>
      </c>
      <c r="B293" s="614" t="s">
        <v>1112</v>
      </c>
      <c r="C293" s="615" t="s">
        <v>349</v>
      </c>
      <c r="D293" s="616" t="s">
        <v>1116</v>
      </c>
      <c r="E293" s="615" t="s">
        <v>2336</v>
      </c>
      <c r="F293" s="616" t="s">
        <v>2337</v>
      </c>
      <c r="G293" s="615" t="s">
        <v>2266</v>
      </c>
      <c r="H293" s="615" t="s">
        <v>2267</v>
      </c>
      <c r="I293" s="617">
        <v>478.4</v>
      </c>
      <c r="J293" s="617">
        <v>1</v>
      </c>
      <c r="K293" s="618">
        <v>478.4</v>
      </c>
    </row>
    <row r="294" spans="1:11" ht="14.4" customHeight="1" x14ac:dyDescent="0.3">
      <c r="A294" s="613" t="s">
        <v>323</v>
      </c>
      <c r="B294" s="614" t="s">
        <v>1112</v>
      </c>
      <c r="C294" s="615" t="s">
        <v>349</v>
      </c>
      <c r="D294" s="616" t="s">
        <v>1116</v>
      </c>
      <c r="E294" s="615" t="s">
        <v>2336</v>
      </c>
      <c r="F294" s="616" t="s">
        <v>2337</v>
      </c>
      <c r="G294" s="615" t="s">
        <v>2268</v>
      </c>
      <c r="H294" s="615" t="s">
        <v>2269</v>
      </c>
      <c r="I294" s="617">
        <v>167.9</v>
      </c>
      <c r="J294" s="617">
        <v>6</v>
      </c>
      <c r="K294" s="618">
        <v>1007.4</v>
      </c>
    </row>
    <row r="295" spans="1:11" ht="14.4" customHeight="1" x14ac:dyDescent="0.3">
      <c r="A295" s="613" t="s">
        <v>323</v>
      </c>
      <c r="B295" s="614" t="s">
        <v>1112</v>
      </c>
      <c r="C295" s="615" t="s">
        <v>349</v>
      </c>
      <c r="D295" s="616" t="s">
        <v>1116</v>
      </c>
      <c r="E295" s="615" t="s">
        <v>2336</v>
      </c>
      <c r="F295" s="616" t="s">
        <v>2337</v>
      </c>
      <c r="G295" s="615" t="s">
        <v>2270</v>
      </c>
      <c r="H295" s="615" t="s">
        <v>2271</v>
      </c>
      <c r="I295" s="617">
        <v>269.56</v>
      </c>
      <c r="J295" s="617">
        <v>1</v>
      </c>
      <c r="K295" s="618">
        <v>269.56</v>
      </c>
    </row>
    <row r="296" spans="1:11" ht="14.4" customHeight="1" x14ac:dyDescent="0.3">
      <c r="A296" s="613" t="s">
        <v>323</v>
      </c>
      <c r="B296" s="614" t="s">
        <v>1112</v>
      </c>
      <c r="C296" s="615" t="s">
        <v>349</v>
      </c>
      <c r="D296" s="616" t="s">
        <v>1116</v>
      </c>
      <c r="E296" s="615" t="s">
        <v>2336</v>
      </c>
      <c r="F296" s="616" t="s">
        <v>2337</v>
      </c>
      <c r="G296" s="615" t="s">
        <v>2272</v>
      </c>
      <c r="H296" s="615" t="s">
        <v>2273</v>
      </c>
      <c r="I296" s="617">
        <v>147.19999999999999</v>
      </c>
      <c r="J296" s="617">
        <v>1</v>
      </c>
      <c r="K296" s="618">
        <v>147.19999999999999</v>
      </c>
    </row>
    <row r="297" spans="1:11" ht="14.4" customHeight="1" x14ac:dyDescent="0.3">
      <c r="A297" s="613" t="s">
        <v>323</v>
      </c>
      <c r="B297" s="614" t="s">
        <v>1112</v>
      </c>
      <c r="C297" s="615" t="s">
        <v>349</v>
      </c>
      <c r="D297" s="616" t="s">
        <v>1116</v>
      </c>
      <c r="E297" s="615" t="s">
        <v>2336</v>
      </c>
      <c r="F297" s="616" t="s">
        <v>2337</v>
      </c>
      <c r="G297" s="615" t="s">
        <v>2274</v>
      </c>
      <c r="H297" s="615" t="s">
        <v>2275</v>
      </c>
      <c r="I297" s="617">
        <v>2041.6</v>
      </c>
      <c r="J297" s="617">
        <v>1</v>
      </c>
      <c r="K297" s="618">
        <v>2041.6</v>
      </c>
    </row>
    <row r="298" spans="1:11" ht="14.4" customHeight="1" x14ac:dyDescent="0.3">
      <c r="A298" s="613" t="s">
        <v>323</v>
      </c>
      <c r="B298" s="614" t="s">
        <v>1112</v>
      </c>
      <c r="C298" s="615" t="s">
        <v>349</v>
      </c>
      <c r="D298" s="616" t="s">
        <v>1116</v>
      </c>
      <c r="E298" s="615" t="s">
        <v>2336</v>
      </c>
      <c r="F298" s="616" t="s">
        <v>2337</v>
      </c>
      <c r="G298" s="615" t="s">
        <v>2276</v>
      </c>
      <c r="H298" s="615" t="s">
        <v>2277</v>
      </c>
      <c r="I298" s="617">
        <v>544.5</v>
      </c>
      <c r="J298" s="617">
        <v>10</v>
      </c>
      <c r="K298" s="618">
        <v>5445</v>
      </c>
    </row>
    <row r="299" spans="1:11" ht="14.4" customHeight="1" x14ac:dyDescent="0.3">
      <c r="A299" s="613" t="s">
        <v>323</v>
      </c>
      <c r="B299" s="614" t="s">
        <v>1112</v>
      </c>
      <c r="C299" s="615" t="s">
        <v>349</v>
      </c>
      <c r="D299" s="616" t="s">
        <v>1116</v>
      </c>
      <c r="E299" s="615" t="s">
        <v>2336</v>
      </c>
      <c r="F299" s="616" t="s">
        <v>2337</v>
      </c>
      <c r="G299" s="615" t="s">
        <v>2278</v>
      </c>
      <c r="H299" s="615" t="s">
        <v>2279</v>
      </c>
      <c r="I299" s="617">
        <v>330.6</v>
      </c>
      <c r="J299" s="617">
        <v>1</v>
      </c>
      <c r="K299" s="618">
        <v>330.6</v>
      </c>
    </row>
    <row r="300" spans="1:11" ht="14.4" customHeight="1" x14ac:dyDescent="0.3">
      <c r="A300" s="613" t="s">
        <v>323</v>
      </c>
      <c r="B300" s="614" t="s">
        <v>1112</v>
      </c>
      <c r="C300" s="615" t="s">
        <v>349</v>
      </c>
      <c r="D300" s="616" t="s">
        <v>1116</v>
      </c>
      <c r="E300" s="615" t="s">
        <v>2336</v>
      </c>
      <c r="F300" s="616" t="s">
        <v>2337</v>
      </c>
      <c r="G300" s="615" t="s">
        <v>2280</v>
      </c>
      <c r="H300" s="615" t="s">
        <v>2281</v>
      </c>
      <c r="I300" s="617">
        <v>555.19000000000005</v>
      </c>
      <c r="J300" s="617">
        <v>1</v>
      </c>
      <c r="K300" s="618">
        <v>555.19000000000005</v>
      </c>
    </row>
    <row r="301" spans="1:11" ht="14.4" customHeight="1" x14ac:dyDescent="0.3">
      <c r="A301" s="613" t="s">
        <v>323</v>
      </c>
      <c r="B301" s="614" t="s">
        <v>1112</v>
      </c>
      <c r="C301" s="615" t="s">
        <v>349</v>
      </c>
      <c r="D301" s="616" t="s">
        <v>1116</v>
      </c>
      <c r="E301" s="615" t="s">
        <v>2336</v>
      </c>
      <c r="F301" s="616" t="s">
        <v>2337</v>
      </c>
      <c r="G301" s="615" t="s">
        <v>2282</v>
      </c>
      <c r="H301" s="615" t="s">
        <v>2283</v>
      </c>
      <c r="I301" s="617">
        <v>555.19000000000005</v>
      </c>
      <c r="J301" s="617">
        <v>1</v>
      </c>
      <c r="K301" s="618">
        <v>555.19000000000005</v>
      </c>
    </row>
    <row r="302" spans="1:11" ht="14.4" customHeight="1" x14ac:dyDescent="0.3">
      <c r="A302" s="613" t="s">
        <v>323</v>
      </c>
      <c r="B302" s="614" t="s">
        <v>1112</v>
      </c>
      <c r="C302" s="615" t="s">
        <v>349</v>
      </c>
      <c r="D302" s="616" t="s">
        <v>1116</v>
      </c>
      <c r="E302" s="615" t="s">
        <v>2336</v>
      </c>
      <c r="F302" s="616" t="s">
        <v>2337</v>
      </c>
      <c r="G302" s="615" t="s">
        <v>2284</v>
      </c>
      <c r="H302" s="615" t="s">
        <v>2285</v>
      </c>
      <c r="I302" s="617">
        <v>555.19000000000005</v>
      </c>
      <c r="J302" s="617">
        <v>6</v>
      </c>
      <c r="K302" s="618">
        <v>3331.14</v>
      </c>
    </row>
    <row r="303" spans="1:11" ht="14.4" customHeight="1" x14ac:dyDescent="0.3">
      <c r="A303" s="613" t="s">
        <v>323</v>
      </c>
      <c r="B303" s="614" t="s">
        <v>1112</v>
      </c>
      <c r="C303" s="615" t="s">
        <v>349</v>
      </c>
      <c r="D303" s="616" t="s">
        <v>1116</v>
      </c>
      <c r="E303" s="615" t="s">
        <v>2336</v>
      </c>
      <c r="F303" s="616" t="s">
        <v>2337</v>
      </c>
      <c r="G303" s="615" t="s">
        <v>2286</v>
      </c>
      <c r="H303" s="615" t="s">
        <v>2287</v>
      </c>
      <c r="I303" s="617">
        <v>555.19000000000005</v>
      </c>
      <c r="J303" s="617">
        <v>1</v>
      </c>
      <c r="K303" s="618">
        <v>555.19000000000005</v>
      </c>
    </row>
    <row r="304" spans="1:11" ht="14.4" customHeight="1" x14ac:dyDescent="0.3">
      <c r="A304" s="613" t="s">
        <v>323</v>
      </c>
      <c r="B304" s="614" t="s">
        <v>1112</v>
      </c>
      <c r="C304" s="615" t="s">
        <v>349</v>
      </c>
      <c r="D304" s="616" t="s">
        <v>1116</v>
      </c>
      <c r="E304" s="615" t="s">
        <v>2336</v>
      </c>
      <c r="F304" s="616" t="s">
        <v>2337</v>
      </c>
      <c r="G304" s="615" t="s">
        <v>2288</v>
      </c>
      <c r="H304" s="615" t="s">
        <v>2289</v>
      </c>
      <c r="I304" s="617">
        <v>612.19000000000005</v>
      </c>
      <c r="J304" s="617">
        <v>1</v>
      </c>
      <c r="K304" s="618">
        <v>612.19000000000005</v>
      </c>
    </row>
    <row r="305" spans="1:11" ht="14.4" customHeight="1" x14ac:dyDescent="0.3">
      <c r="A305" s="613" t="s">
        <v>323</v>
      </c>
      <c r="B305" s="614" t="s">
        <v>1112</v>
      </c>
      <c r="C305" s="615" t="s">
        <v>349</v>
      </c>
      <c r="D305" s="616" t="s">
        <v>1116</v>
      </c>
      <c r="E305" s="615" t="s">
        <v>2336</v>
      </c>
      <c r="F305" s="616" t="s">
        <v>2337</v>
      </c>
      <c r="G305" s="615" t="s">
        <v>2290</v>
      </c>
      <c r="H305" s="615" t="s">
        <v>2291</v>
      </c>
      <c r="I305" s="617">
        <v>2029.2</v>
      </c>
      <c r="J305" s="617">
        <v>2</v>
      </c>
      <c r="K305" s="618">
        <v>4058.4</v>
      </c>
    </row>
    <row r="306" spans="1:11" ht="14.4" customHeight="1" x14ac:dyDescent="0.3">
      <c r="A306" s="613" t="s">
        <v>323</v>
      </c>
      <c r="B306" s="614" t="s">
        <v>1112</v>
      </c>
      <c r="C306" s="615" t="s">
        <v>349</v>
      </c>
      <c r="D306" s="616" t="s">
        <v>1116</v>
      </c>
      <c r="E306" s="615" t="s">
        <v>2336</v>
      </c>
      <c r="F306" s="616" t="s">
        <v>2337</v>
      </c>
      <c r="G306" s="615" t="s">
        <v>2292</v>
      </c>
      <c r="H306" s="615" t="s">
        <v>2293</v>
      </c>
      <c r="I306" s="617">
        <v>2143.1999999999998</v>
      </c>
      <c r="J306" s="617">
        <v>1</v>
      </c>
      <c r="K306" s="618">
        <v>2143.1999999999998</v>
      </c>
    </row>
    <row r="307" spans="1:11" ht="14.4" customHeight="1" x14ac:dyDescent="0.3">
      <c r="A307" s="613" t="s">
        <v>323</v>
      </c>
      <c r="B307" s="614" t="s">
        <v>1112</v>
      </c>
      <c r="C307" s="615" t="s">
        <v>349</v>
      </c>
      <c r="D307" s="616" t="s">
        <v>1116</v>
      </c>
      <c r="E307" s="615" t="s">
        <v>2336</v>
      </c>
      <c r="F307" s="616" t="s">
        <v>2337</v>
      </c>
      <c r="G307" s="615" t="s">
        <v>2294</v>
      </c>
      <c r="H307" s="615" t="s">
        <v>2295</v>
      </c>
      <c r="I307" s="617">
        <v>2143.1999999999998</v>
      </c>
      <c r="J307" s="617">
        <v>1</v>
      </c>
      <c r="K307" s="618">
        <v>2143.1999999999998</v>
      </c>
    </row>
    <row r="308" spans="1:11" ht="14.4" customHeight="1" x14ac:dyDescent="0.3">
      <c r="A308" s="613" t="s">
        <v>323</v>
      </c>
      <c r="B308" s="614" t="s">
        <v>1112</v>
      </c>
      <c r="C308" s="615" t="s">
        <v>349</v>
      </c>
      <c r="D308" s="616" t="s">
        <v>1116</v>
      </c>
      <c r="E308" s="615" t="s">
        <v>2336</v>
      </c>
      <c r="F308" s="616" t="s">
        <v>2337</v>
      </c>
      <c r="G308" s="615" t="s">
        <v>2296</v>
      </c>
      <c r="H308" s="615" t="s">
        <v>2297</v>
      </c>
      <c r="I308" s="617">
        <v>1421.6</v>
      </c>
      <c r="J308" s="617">
        <v>1</v>
      </c>
      <c r="K308" s="618">
        <v>1421.6</v>
      </c>
    </row>
    <row r="309" spans="1:11" ht="14.4" customHeight="1" x14ac:dyDescent="0.3">
      <c r="A309" s="613" t="s">
        <v>323</v>
      </c>
      <c r="B309" s="614" t="s">
        <v>1112</v>
      </c>
      <c r="C309" s="615" t="s">
        <v>349</v>
      </c>
      <c r="D309" s="616" t="s">
        <v>1116</v>
      </c>
      <c r="E309" s="615" t="s">
        <v>2336</v>
      </c>
      <c r="F309" s="616" t="s">
        <v>2337</v>
      </c>
      <c r="G309" s="615" t="s">
        <v>2298</v>
      </c>
      <c r="H309" s="615" t="s">
        <v>2299</v>
      </c>
      <c r="I309" s="617">
        <v>474.24</v>
      </c>
      <c r="J309" s="617">
        <v>8</v>
      </c>
      <c r="K309" s="618">
        <v>3793.9</v>
      </c>
    </row>
    <row r="310" spans="1:11" ht="14.4" customHeight="1" x14ac:dyDescent="0.3">
      <c r="A310" s="613" t="s">
        <v>323</v>
      </c>
      <c r="B310" s="614" t="s">
        <v>1112</v>
      </c>
      <c r="C310" s="615" t="s">
        <v>349</v>
      </c>
      <c r="D310" s="616" t="s">
        <v>1116</v>
      </c>
      <c r="E310" s="615" t="s">
        <v>2336</v>
      </c>
      <c r="F310" s="616" t="s">
        <v>2337</v>
      </c>
      <c r="G310" s="615" t="s">
        <v>2300</v>
      </c>
      <c r="H310" s="615" t="s">
        <v>2301</v>
      </c>
      <c r="I310" s="617">
        <v>474.23</v>
      </c>
      <c r="J310" s="617">
        <v>12</v>
      </c>
      <c r="K310" s="618">
        <v>5690.8</v>
      </c>
    </row>
    <row r="311" spans="1:11" ht="14.4" customHeight="1" x14ac:dyDescent="0.3">
      <c r="A311" s="613" t="s">
        <v>323</v>
      </c>
      <c r="B311" s="614" t="s">
        <v>1112</v>
      </c>
      <c r="C311" s="615" t="s">
        <v>349</v>
      </c>
      <c r="D311" s="616" t="s">
        <v>1116</v>
      </c>
      <c r="E311" s="615" t="s">
        <v>2324</v>
      </c>
      <c r="F311" s="616" t="s">
        <v>2325</v>
      </c>
      <c r="G311" s="615" t="s">
        <v>1951</v>
      </c>
      <c r="H311" s="615" t="s">
        <v>1952</v>
      </c>
      <c r="I311" s="617">
        <v>46.03</v>
      </c>
      <c r="J311" s="617">
        <v>144</v>
      </c>
      <c r="K311" s="618">
        <v>6628.6</v>
      </c>
    </row>
    <row r="312" spans="1:11" ht="14.4" customHeight="1" x14ac:dyDescent="0.3">
      <c r="A312" s="613" t="s">
        <v>323</v>
      </c>
      <c r="B312" s="614" t="s">
        <v>1112</v>
      </c>
      <c r="C312" s="615" t="s">
        <v>349</v>
      </c>
      <c r="D312" s="616" t="s">
        <v>1116</v>
      </c>
      <c r="E312" s="615" t="s">
        <v>2324</v>
      </c>
      <c r="F312" s="616" t="s">
        <v>2325</v>
      </c>
      <c r="G312" s="615" t="s">
        <v>2164</v>
      </c>
      <c r="H312" s="615" t="s">
        <v>2165</v>
      </c>
      <c r="I312" s="617">
        <v>34.119999999999997</v>
      </c>
      <c r="J312" s="617">
        <v>108</v>
      </c>
      <c r="K312" s="618">
        <v>3685.01</v>
      </c>
    </row>
    <row r="313" spans="1:11" ht="14.4" customHeight="1" x14ac:dyDescent="0.3">
      <c r="A313" s="613" t="s">
        <v>323</v>
      </c>
      <c r="B313" s="614" t="s">
        <v>1112</v>
      </c>
      <c r="C313" s="615" t="s">
        <v>349</v>
      </c>
      <c r="D313" s="616" t="s">
        <v>1116</v>
      </c>
      <c r="E313" s="615" t="s">
        <v>2324</v>
      </c>
      <c r="F313" s="616" t="s">
        <v>2325</v>
      </c>
      <c r="G313" s="615" t="s">
        <v>2302</v>
      </c>
      <c r="H313" s="615" t="s">
        <v>2303</v>
      </c>
      <c r="I313" s="617">
        <v>31.36</v>
      </c>
      <c r="J313" s="617">
        <v>12</v>
      </c>
      <c r="K313" s="618">
        <v>376.36</v>
      </c>
    </row>
    <row r="314" spans="1:11" ht="14.4" customHeight="1" x14ac:dyDescent="0.3">
      <c r="A314" s="613" t="s">
        <v>323</v>
      </c>
      <c r="B314" s="614" t="s">
        <v>1112</v>
      </c>
      <c r="C314" s="615" t="s">
        <v>349</v>
      </c>
      <c r="D314" s="616" t="s">
        <v>1116</v>
      </c>
      <c r="E314" s="615" t="s">
        <v>2324</v>
      </c>
      <c r="F314" s="616" t="s">
        <v>2325</v>
      </c>
      <c r="G314" s="615" t="s">
        <v>2304</v>
      </c>
      <c r="H314" s="615" t="s">
        <v>2305</v>
      </c>
      <c r="I314" s="617">
        <v>30.32</v>
      </c>
      <c r="J314" s="617">
        <v>60</v>
      </c>
      <c r="K314" s="618">
        <v>1819.02</v>
      </c>
    </row>
    <row r="315" spans="1:11" ht="14.4" customHeight="1" x14ac:dyDescent="0.3">
      <c r="A315" s="613" t="s">
        <v>323</v>
      </c>
      <c r="B315" s="614" t="s">
        <v>1112</v>
      </c>
      <c r="C315" s="615" t="s">
        <v>349</v>
      </c>
      <c r="D315" s="616" t="s">
        <v>1116</v>
      </c>
      <c r="E315" s="615" t="s">
        <v>2324</v>
      </c>
      <c r="F315" s="616" t="s">
        <v>2325</v>
      </c>
      <c r="G315" s="615" t="s">
        <v>1953</v>
      </c>
      <c r="H315" s="615" t="s">
        <v>1954</v>
      </c>
      <c r="I315" s="617">
        <v>69.92</v>
      </c>
      <c r="J315" s="617">
        <v>240</v>
      </c>
      <c r="K315" s="618">
        <v>16779.98</v>
      </c>
    </row>
    <row r="316" spans="1:11" ht="14.4" customHeight="1" x14ac:dyDescent="0.3">
      <c r="A316" s="613" t="s">
        <v>323</v>
      </c>
      <c r="B316" s="614" t="s">
        <v>1112</v>
      </c>
      <c r="C316" s="615" t="s">
        <v>349</v>
      </c>
      <c r="D316" s="616" t="s">
        <v>1116</v>
      </c>
      <c r="E316" s="615" t="s">
        <v>2324</v>
      </c>
      <c r="F316" s="616" t="s">
        <v>2325</v>
      </c>
      <c r="G316" s="615" t="s">
        <v>1957</v>
      </c>
      <c r="H316" s="615" t="s">
        <v>1958</v>
      </c>
      <c r="I316" s="617">
        <v>67.42</v>
      </c>
      <c r="J316" s="617">
        <v>48</v>
      </c>
      <c r="K316" s="618">
        <v>3236.26</v>
      </c>
    </row>
    <row r="317" spans="1:11" ht="14.4" customHeight="1" x14ac:dyDescent="0.3">
      <c r="A317" s="613" t="s">
        <v>323</v>
      </c>
      <c r="B317" s="614" t="s">
        <v>1112</v>
      </c>
      <c r="C317" s="615" t="s">
        <v>349</v>
      </c>
      <c r="D317" s="616" t="s">
        <v>1116</v>
      </c>
      <c r="E317" s="615" t="s">
        <v>2324</v>
      </c>
      <c r="F317" s="616" t="s">
        <v>2325</v>
      </c>
      <c r="G317" s="615" t="s">
        <v>1961</v>
      </c>
      <c r="H317" s="615" t="s">
        <v>1962</v>
      </c>
      <c r="I317" s="617">
        <v>69.91</v>
      </c>
      <c r="J317" s="617">
        <v>48</v>
      </c>
      <c r="K317" s="618">
        <v>3355.82</v>
      </c>
    </row>
    <row r="318" spans="1:11" ht="14.4" customHeight="1" x14ac:dyDescent="0.3">
      <c r="A318" s="613" t="s">
        <v>323</v>
      </c>
      <c r="B318" s="614" t="s">
        <v>1112</v>
      </c>
      <c r="C318" s="615" t="s">
        <v>349</v>
      </c>
      <c r="D318" s="616" t="s">
        <v>1116</v>
      </c>
      <c r="E318" s="615" t="s">
        <v>2326</v>
      </c>
      <c r="F318" s="616" t="s">
        <v>2327</v>
      </c>
      <c r="G318" s="615" t="s">
        <v>1963</v>
      </c>
      <c r="H318" s="615" t="s">
        <v>1964</v>
      </c>
      <c r="I318" s="617">
        <v>0.30399999999999999</v>
      </c>
      <c r="J318" s="617">
        <v>2800</v>
      </c>
      <c r="K318" s="618">
        <v>851</v>
      </c>
    </row>
    <row r="319" spans="1:11" ht="14.4" customHeight="1" x14ac:dyDescent="0.3">
      <c r="A319" s="613" t="s">
        <v>323</v>
      </c>
      <c r="B319" s="614" t="s">
        <v>1112</v>
      </c>
      <c r="C319" s="615" t="s">
        <v>349</v>
      </c>
      <c r="D319" s="616" t="s">
        <v>1116</v>
      </c>
      <c r="E319" s="615" t="s">
        <v>2326</v>
      </c>
      <c r="F319" s="616" t="s">
        <v>2327</v>
      </c>
      <c r="G319" s="615" t="s">
        <v>1965</v>
      </c>
      <c r="H319" s="615" t="s">
        <v>1966</v>
      </c>
      <c r="I319" s="617">
        <v>0.3</v>
      </c>
      <c r="J319" s="617">
        <v>1200</v>
      </c>
      <c r="K319" s="618">
        <v>360</v>
      </c>
    </row>
    <row r="320" spans="1:11" ht="14.4" customHeight="1" x14ac:dyDescent="0.3">
      <c r="A320" s="613" t="s">
        <v>323</v>
      </c>
      <c r="B320" s="614" t="s">
        <v>1112</v>
      </c>
      <c r="C320" s="615" t="s">
        <v>349</v>
      </c>
      <c r="D320" s="616" t="s">
        <v>1116</v>
      </c>
      <c r="E320" s="615" t="s">
        <v>2326</v>
      </c>
      <c r="F320" s="616" t="s">
        <v>2327</v>
      </c>
      <c r="G320" s="615" t="s">
        <v>1967</v>
      </c>
      <c r="H320" s="615" t="s">
        <v>1968</v>
      </c>
      <c r="I320" s="617">
        <v>0.49</v>
      </c>
      <c r="J320" s="617">
        <v>200</v>
      </c>
      <c r="K320" s="618">
        <v>98</v>
      </c>
    </row>
    <row r="321" spans="1:11" ht="14.4" customHeight="1" x14ac:dyDescent="0.3">
      <c r="A321" s="613" t="s">
        <v>323</v>
      </c>
      <c r="B321" s="614" t="s">
        <v>1112</v>
      </c>
      <c r="C321" s="615" t="s">
        <v>349</v>
      </c>
      <c r="D321" s="616" t="s">
        <v>1116</v>
      </c>
      <c r="E321" s="615" t="s">
        <v>2328</v>
      </c>
      <c r="F321" s="616" t="s">
        <v>2329</v>
      </c>
      <c r="G321" s="615" t="s">
        <v>2306</v>
      </c>
      <c r="H321" s="615" t="s">
        <v>2307</v>
      </c>
      <c r="I321" s="617">
        <v>7.503333333333333</v>
      </c>
      <c r="J321" s="617">
        <v>250</v>
      </c>
      <c r="K321" s="618">
        <v>1875.5</v>
      </c>
    </row>
    <row r="322" spans="1:11" ht="14.4" customHeight="1" x14ac:dyDescent="0.3">
      <c r="A322" s="613" t="s">
        <v>323</v>
      </c>
      <c r="B322" s="614" t="s">
        <v>1112</v>
      </c>
      <c r="C322" s="615" t="s">
        <v>349</v>
      </c>
      <c r="D322" s="616" t="s">
        <v>1116</v>
      </c>
      <c r="E322" s="615" t="s">
        <v>2328</v>
      </c>
      <c r="F322" s="616" t="s">
        <v>2329</v>
      </c>
      <c r="G322" s="615" t="s">
        <v>2308</v>
      </c>
      <c r="H322" s="615" t="s">
        <v>2309</v>
      </c>
      <c r="I322" s="617">
        <v>7.5024999999999995</v>
      </c>
      <c r="J322" s="617">
        <v>900</v>
      </c>
      <c r="K322" s="618">
        <v>6753.7</v>
      </c>
    </row>
    <row r="323" spans="1:11" ht="14.4" customHeight="1" x14ac:dyDescent="0.3">
      <c r="A323" s="613" t="s">
        <v>323</v>
      </c>
      <c r="B323" s="614" t="s">
        <v>1112</v>
      </c>
      <c r="C323" s="615" t="s">
        <v>349</v>
      </c>
      <c r="D323" s="616" t="s">
        <v>1116</v>
      </c>
      <c r="E323" s="615" t="s">
        <v>2328</v>
      </c>
      <c r="F323" s="616" t="s">
        <v>2329</v>
      </c>
      <c r="G323" s="615" t="s">
        <v>2310</v>
      </c>
      <c r="H323" s="615" t="s">
        <v>2311</v>
      </c>
      <c r="I323" s="617">
        <v>7.5</v>
      </c>
      <c r="J323" s="617">
        <v>200</v>
      </c>
      <c r="K323" s="618">
        <v>1500</v>
      </c>
    </row>
    <row r="324" spans="1:11" ht="14.4" customHeight="1" x14ac:dyDescent="0.3">
      <c r="A324" s="613" t="s">
        <v>323</v>
      </c>
      <c r="B324" s="614" t="s">
        <v>1112</v>
      </c>
      <c r="C324" s="615" t="s">
        <v>349</v>
      </c>
      <c r="D324" s="616" t="s">
        <v>1116</v>
      </c>
      <c r="E324" s="615" t="s">
        <v>2328</v>
      </c>
      <c r="F324" s="616" t="s">
        <v>2329</v>
      </c>
      <c r="G324" s="615" t="s">
        <v>2312</v>
      </c>
      <c r="H324" s="615" t="s">
        <v>2313</v>
      </c>
      <c r="I324" s="617">
        <v>7.5024999999999995</v>
      </c>
      <c r="J324" s="617">
        <v>400</v>
      </c>
      <c r="K324" s="618">
        <v>3001</v>
      </c>
    </row>
    <row r="325" spans="1:11" ht="14.4" customHeight="1" x14ac:dyDescent="0.3">
      <c r="A325" s="613" t="s">
        <v>323</v>
      </c>
      <c r="B325" s="614" t="s">
        <v>1112</v>
      </c>
      <c r="C325" s="615" t="s">
        <v>349</v>
      </c>
      <c r="D325" s="616" t="s">
        <v>1116</v>
      </c>
      <c r="E325" s="615" t="s">
        <v>2328</v>
      </c>
      <c r="F325" s="616" t="s">
        <v>2329</v>
      </c>
      <c r="G325" s="615" t="s">
        <v>2314</v>
      </c>
      <c r="H325" s="615" t="s">
        <v>2315</v>
      </c>
      <c r="I325" s="617">
        <v>7.501666666666666</v>
      </c>
      <c r="J325" s="617">
        <v>698</v>
      </c>
      <c r="K325" s="618">
        <v>5235.5</v>
      </c>
    </row>
    <row r="326" spans="1:11" ht="14.4" customHeight="1" thickBot="1" x14ac:dyDescent="0.35">
      <c r="A326" s="619" t="s">
        <v>323</v>
      </c>
      <c r="B326" s="620" t="s">
        <v>1112</v>
      </c>
      <c r="C326" s="621" t="s">
        <v>349</v>
      </c>
      <c r="D326" s="622" t="s">
        <v>1116</v>
      </c>
      <c r="E326" s="621" t="s">
        <v>2328</v>
      </c>
      <c r="F326" s="622" t="s">
        <v>2329</v>
      </c>
      <c r="G326" s="621" t="s">
        <v>1973</v>
      </c>
      <c r="H326" s="621" t="s">
        <v>1974</v>
      </c>
      <c r="I326" s="623">
        <v>7.5</v>
      </c>
      <c r="J326" s="623">
        <v>250</v>
      </c>
      <c r="K326" s="624">
        <v>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29" t="s">
        <v>124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</row>
    <row r="2" spans="1:35" ht="15" thickBot="1" x14ac:dyDescent="0.35">
      <c r="A2" s="375" t="s">
        <v>320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</row>
    <row r="3" spans="1:35" x14ac:dyDescent="0.3">
      <c r="A3" s="394" t="s">
        <v>244</v>
      </c>
      <c r="B3" s="530" t="s">
        <v>225</v>
      </c>
      <c r="C3" s="377">
        <v>0</v>
      </c>
      <c r="D3" s="378">
        <v>101</v>
      </c>
      <c r="E3" s="378">
        <v>102</v>
      </c>
      <c r="F3" s="397">
        <v>305</v>
      </c>
      <c r="G3" s="397">
        <v>306</v>
      </c>
      <c r="H3" s="397">
        <v>407</v>
      </c>
      <c r="I3" s="397">
        <v>408</v>
      </c>
      <c r="J3" s="397">
        <v>409</v>
      </c>
      <c r="K3" s="397">
        <v>410</v>
      </c>
      <c r="L3" s="397">
        <v>415</v>
      </c>
      <c r="M3" s="397">
        <v>416</v>
      </c>
      <c r="N3" s="397">
        <v>418</v>
      </c>
      <c r="O3" s="397">
        <v>419</v>
      </c>
      <c r="P3" s="397">
        <v>420</v>
      </c>
      <c r="Q3" s="397">
        <v>421</v>
      </c>
      <c r="R3" s="397">
        <v>522</v>
      </c>
      <c r="S3" s="397">
        <v>523</v>
      </c>
      <c r="T3" s="397">
        <v>524</v>
      </c>
      <c r="U3" s="397">
        <v>525</v>
      </c>
      <c r="V3" s="397">
        <v>526</v>
      </c>
      <c r="W3" s="397">
        <v>527</v>
      </c>
      <c r="X3" s="397">
        <v>528</v>
      </c>
      <c r="Y3" s="397">
        <v>629</v>
      </c>
      <c r="Z3" s="397">
        <v>630</v>
      </c>
      <c r="AA3" s="397">
        <v>636</v>
      </c>
      <c r="AB3" s="397">
        <v>637</v>
      </c>
      <c r="AC3" s="397">
        <v>640</v>
      </c>
      <c r="AD3" s="397">
        <v>642</v>
      </c>
      <c r="AE3" s="397">
        <v>743</v>
      </c>
      <c r="AF3" s="378">
        <v>745</v>
      </c>
      <c r="AG3" s="378">
        <v>746</v>
      </c>
      <c r="AH3" s="717">
        <v>930</v>
      </c>
      <c r="AI3" s="733"/>
    </row>
    <row r="4" spans="1:35" ht="36.6" outlineLevel="1" thickBot="1" x14ac:dyDescent="0.35">
      <c r="A4" s="395">
        <v>2015</v>
      </c>
      <c r="B4" s="531"/>
      <c r="C4" s="379" t="s">
        <v>226</v>
      </c>
      <c r="D4" s="380" t="s">
        <v>227</v>
      </c>
      <c r="E4" s="380" t="s">
        <v>228</v>
      </c>
      <c r="F4" s="398" t="s">
        <v>256</v>
      </c>
      <c r="G4" s="398" t="s">
        <v>257</v>
      </c>
      <c r="H4" s="398" t="s">
        <v>318</v>
      </c>
      <c r="I4" s="398" t="s">
        <v>258</v>
      </c>
      <c r="J4" s="398" t="s">
        <v>259</v>
      </c>
      <c r="K4" s="398" t="s">
        <v>260</v>
      </c>
      <c r="L4" s="398" t="s">
        <v>261</v>
      </c>
      <c r="M4" s="398" t="s">
        <v>262</v>
      </c>
      <c r="N4" s="398" t="s">
        <v>263</v>
      </c>
      <c r="O4" s="398" t="s">
        <v>264</v>
      </c>
      <c r="P4" s="398" t="s">
        <v>265</v>
      </c>
      <c r="Q4" s="398" t="s">
        <v>266</v>
      </c>
      <c r="R4" s="398" t="s">
        <v>267</v>
      </c>
      <c r="S4" s="398" t="s">
        <v>268</v>
      </c>
      <c r="T4" s="398" t="s">
        <v>269</v>
      </c>
      <c r="U4" s="398" t="s">
        <v>270</v>
      </c>
      <c r="V4" s="398" t="s">
        <v>271</v>
      </c>
      <c r="W4" s="398" t="s">
        <v>272</v>
      </c>
      <c r="X4" s="398" t="s">
        <v>281</v>
      </c>
      <c r="Y4" s="398" t="s">
        <v>273</v>
      </c>
      <c r="Z4" s="398" t="s">
        <v>282</v>
      </c>
      <c r="AA4" s="398" t="s">
        <v>274</v>
      </c>
      <c r="AB4" s="398" t="s">
        <v>275</v>
      </c>
      <c r="AC4" s="398" t="s">
        <v>276</v>
      </c>
      <c r="AD4" s="398" t="s">
        <v>277</v>
      </c>
      <c r="AE4" s="398" t="s">
        <v>278</v>
      </c>
      <c r="AF4" s="380" t="s">
        <v>279</v>
      </c>
      <c r="AG4" s="380" t="s">
        <v>280</v>
      </c>
      <c r="AH4" s="718" t="s">
        <v>246</v>
      </c>
      <c r="AI4" s="733"/>
    </row>
    <row r="5" spans="1:35" x14ac:dyDescent="0.3">
      <c r="A5" s="381" t="s">
        <v>229</v>
      </c>
      <c r="B5" s="417"/>
      <c r="C5" s="418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719"/>
      <c r="AI5" s="733"/>
    </row>
    <row r="6" spans="1:35" ht="15" collapsed="1" thickBot="1" x14ac:dyDescent="0.35">
      <c r="A6" s="382" t="s">
        <v>88</v>
      </c>
      <c r="B6" s="420">
        <f xml:space="preserve">
TRUNC(IF($A$4&lt;=12,SUMIFS('ON Data'!F:F,'ON Data'!$D:$D,$A$4,'ON Data'!$E:$E,1),SUMIFS('ON Data'!F:F,'ON Data'!$E:$E,1)/'ON Data'!$D$3),1)</f>
        <v>29.4</v>
      </c>
      <c r="C6" s="421">
        <f xml:space="preserve">
TRUNC(IF($A$4&lt;=12,SUMIFS('ON Data'!G:G,'ON Data'!$D:$D,$A$4,'ON Data'!$E:$E,1),SUMIFS('ON Data'!G:G,'ON Data'!$E:$E,1)/'ON Data'!$D$3),1)</f>
        <v>0</v>
      </c>
      <c r="D6" s="422">
        <f xml:space="preserve">
TRUNC(IF($A$4&lt;=12,SUMIFS('ON Data'!H:H,'ON Data'!$D:$D,$A$4,'ON Data'!$E:$E,1),SUMIFS('ON Data'!H:H,'ON Data'!$E:$E,1)/'ON Data'!$D$3),1)</f>
        <v>0</v>
      </c>
      <c r="E6" s="422">
        <f xml:space="preserve">
TRUNC(IF($A$4&lt;=12,SUMIFS('ON Data'!I:I,'ON Data'!$D:$D,$A$4,'ON Data'!$E:$E,1),SUMIFS('ON Data'!I:I,'ON Data'!$E:$E,1)/'ON Data'!$D$3),1)</f>
        <v>7.6</v>
      </c>
      <c r="F6" s="422">
        <f xml:space="preserve">
TRUNC(IF($A$4&lt;=12,SUMIFS('ON Data'!K:K,'ON Data'!$D:$D,$A$4,'ON Data'!$E:$E,1),SUMIFS('ON Data'!K:K,'ON Data'!$E:$E,1)/'ON Data'!$D$3),1)</f>
        <v>18</v>
      </c>
      <c r="G6" s="422">
        <f xml:space="preserve">
TRUNC(IF($A$4&lt;=12,SUMIFS('ON Data'!L:L,'ON Data'!$D:$D,$A$4,'ON Data'!$E:$E,1),SUMIFS('ON Data'!L:L,'ON Data'!$E:$E,1)/'ON Data'!$D$3),1)</f>
        <v>0</v>
      </c>
      <c r="H6" s="422">
        <f xml:space="preserve">
TRUNC(IF($A$4&lt;=12,SUMIFS('ON Data'!M:M,'ON Data'!$D:$D,$A$4,'ON Data'!$E:$E,1),SUMIFS('ON Data'!M:M,'ON Data'!$E:$E,1)/'ON Data'!$D$3),1)</f>
        <v>0</v>
      </c>
      <c r="I6" s="422">
        <f xml:space="preserve">
TRUNC(IF($A$4&lt;=12,SUMIFS('ON Data'!N:N,'ON Data'!$D:$D,$A$4,'ON Data'!$E:$E,1),SUMIFS('ON Data'!N:N,'ON Data'!$E:$E,1)/'ON Data'!$D$3),1)</f>
        <v>0</v>
      </c>
      <c r="J6" s="422">
        <f xml:space="preserve">
TRUNC(IF($A$4&lt;=12,SUMIFS('ON Data'!O:O,'ON Data'!$D:$D,$A$4,'ON Data'!$E:$E,1),SUMIFS('ON Data'!O:O,'ON Data'!$E:$E,1)/'ON Data'!$D$3),1)</f>
        <v>0</v>
      </c>
      <c r="K6" s="422">
        <f xml:space="preserve">
TRUNC(IF($A$4&lt;=12,SUMIFS('ON Data'!P:P,'ON Data'!$D:$D,$A$4,'ON Data'!$E:$E,1),SUMIFS('ON Data'!P:P,'ON Data'!$E:$E,1)/'ON Data'!$D$3),1)</f>
        <v>0</v>
      </c>
      <c r="L6" s="422">
        <f xml:space="preserve">
TRUNC(IF($A$4&lt;=12,SUMIFS('ON Data'!Q:Q,'ON Data'!$D:$D,$A$4,'ON Data'!$E:$E,1),SUMIFS('ON Data'!Q:Q,'ON Data'!$E:$E,1)/'ON Data'!$D$3),1)</f>
        <v>0</v>
      </c>
      <c r="M6" s="422">
        <f xml:space="preserve">
TRUNC(IF($A$4&lt;=12,SUMIFS('ON Data'!R:R,'ON Data'!$D:$D,$A$4,'ON Data'!$E:$E,1),SUMIFS('ON Data'!R:R,'ON Data'!$E:$E,1)/'ON Data'!$D$3),1)</f>
        <v>0.5</v>
      </c>
      <c r="N6" s="422">
        <f xml:space="preserve">
TRUNC(IF($A$4&lt;=12,SUMIFS('ON Data'!S:S,'ON Data'!$D:$D,$A$4,'ON Data'!$E:$E,1),SUMIFS('ON Data'!S:S,'ON Data'!$E:$E,1)/'ON Data'!$D$3),1)</f>
        <v>0</v>
      </c>
      <c r="O6" s="422">
        <f xml:space="preserve">
TRUNC(IF($A$4&lt;=12,SUMIFS('ON Data'!T:T,'ON Data'!$D:$D,$A$4,'ON Data'!$E:$E,1),SUMIFS('ON Data'!T:T,'ON Data'!$E:$E,1)/'ON Data'!$D$3),1)</f>
        <v>0</v>
      </c>
      <c r="P6" s="422">
        <f xml:space="preserve">
TRUNC(IF($A$4&lt;=12,SUMIFS('ON Data'!U:U,'ON Data'!$D:$D,$A$4,'ON Data'!$E:$E,1),SUMIFS('ON Data'!U:U,'ON Data'!$E:$E,1)/'ON Data'!$D$3),1)</f>
        <v>0</v>
      </c>
      <c r="Q6" s="422">
        <f xml:space="preserve">
TRUNC(IF($A$4&lt;=12,SUMIFS('ON Data'!V:V,'ON Data'!$D:$D,$A$4,'ON Data'!$E:$E,1),SUMIFS('ON Data'!V:V,'ON Data'!$E:$E,1)/'ON Data'!$D$3),1)</f>
        <v>0</v>
      </c>
      <c r="R6" s="422">
        <f xml:space="preserve">
TRUNC(IF($A$4&lt;=12,SUMIFS('ON Data'!W:W,'ON Data'!$D:$D,$A$4,'ON Data'!$E:$E,1),SUMIFS('ON Data'!W:W,'ON Data'!$E:$E,1)/'ON Data'!$D$3),1)</f>
        <v>0</v>
      </c>
      <c r="S6" s="422">
        <f xml:space="preserve">
TRUNC(IF($A$4&lt;=12,SUMIFS('ON Data'!X:X,'ON Data'!$D:$D,$A$4,'ON Data'!$E:$E,1),SUMIFS('ON Data'!X:X,'ON Data'!$E:$E,1)/'ON Data'!$D$3),1)</f>
        <v>0</v>
      </c>
      <c r="T6" s="422">
        <f xml:space="preserve">
TRUNC(IF($A$4&lt;=12,SUMIFS('ON Data'!Y:Y,'ON Data'!$D:$D,$A$4,'ON Data'!$E:$E,1),SUMIFS('ON Data'!Y:Y,'ON Data'!$E:$E,1)/'ON Data'!$D$3),1)</f>
        <v>0</v>
      </c>
      <c r="U6" s="422">
        <f xml:space="preserve">
TRUNC(IF($A$4&lt;=12,SUMIFS('ON Data'!Z:Z,'ON Data'!$D:$D,$A$4,'ON Data'!$E:$E,1),SUMIFS('ON Data'!Z:Z,'ON Data'!$E:$E,1)/'ON Data'!$D$3),1)</f>
        <v>0</v>
      </c>
      <c r="V6" s="422">
        <f xml:space="preserve">
TRUNC(IF($A$4&lt;=12,SUMIFS('ON Data'!AA:AA,'ON Data'!$D:$D,$A$4,'ON Data'!$E:$E,1),SUMIFS('ON Data'!AA:AA,'ON Data'!$E:$E,1)/'ON Data'!$D$3),1)</f>
        <v>0</v>
      </c>
      <c r="W6" s="422">
        <f xml:space="preserve">
TRUNC(IF($A$4&lt;=12,SUMIFS('ON Data'!AB:AB,'ON Data'!$D:$D,$A$4,'ON Data'!$E:$E,1),SUMIFS('ON Data'!AB:AB,'ON Data'!$E:$E,1)/'ON Data'!$D$3),1)</f>
        <v>0</v>
      </c>
      <c r="X6" s="422">
        <f xml:space="preserve">
TRUNC(IF($A$4&lt;=12,SUMIFS('ON Data'!AC:AC,'ON Data'!$D:$D,$A$4,'ON Data'!$E:$E,1),SUMIFS('ON Data'!AC:AC,'ON Data'!$E:$E,1)/'ON Data'!$D$3),1)</f>
        <v>0</v>
      </c>
      <c r="Y6" s="422">
        <f xml:space="preserve">
TRUNC(IF($A$4&lt;=12,SUMIFS('ON Data'!AD:AD,'ON Data'!$D:$D,$A$4,'ON Data'!$E:$E,1),SUMIFS('ON Data'!AD:AD,'ON Data'!$E:$E,1)/'ON Data'!$D$3),1)</f>
        <v>0</v>
      </c>
      <c r="Z6" s="422">
        <f xml:space="preserve">
TRUNC(IF($A$4&lt;=12,SUMIFS('ON Data'!AE:AE,'ON Data'!$D:$D,$A$4,'ON Data'!$E:$E,1),SUMIFS('ON Data'!AE:AE,'ON Data'!$E:$E,1)/'ON Data'!$D$3),1)</f>
        <v>0</v>
      </c>
      <c r="AA6" s="422">
        <f xml:space="preserve">
TRUNC(IF($A$4&lt;=12,SUMIFS('ON Data'!AF:AF,'ON Data'!$D:$D,$A$4,'ON Data'!$E:$E,1),SUMIFS('ON Data'!AF:AF,'ON Data'!$E:$E,1)/'ON Data'!$D$3),1)</f>
        <v>1</v>
      </c>
      <c r="AB6" s="422">
        <f xml:space="preserve">
TRUNC(IF($A$4&lt;=12,SUMIFS('ON Data'!AG:AG,'ON Data'!$D:$D,$A$4,'ON Data'!$E:$E,1),SUMIFS('ON Data'!AG:AG,'ON Data'!$E:$E,1)/'ON Data'!$D$3),1)</f>
        <v>0</v>
      </c>
      <c r="AC6" s="422">
        <f xml:space="preserve">
TRUNC(IF($A$4&lt;=12,SUMIFS('ON Data'!AH:AH,'ON Data'!$D:$D,$A$4,'ON Data'!$E:$E,1),SUMIFS('ON Data'!AH:AH,'ON Data'!$E:$E,1)/'ON Data'!$D$3),1)</f>
        <v>0</v>
      </c>
      <c r="AD6" s="422">
        <f xml:space="preserve">
TRUNC(IF($A$4&lt;=12,SUMIFS('ON Data'!AI:AI,'ON Data'!$D:$D,$A$4,'ON Data'!$E:$E,1),SUMIFS('ON Data'!AI:AI,'ON Data'!$E:$E,1)/'ON Data'!$D$3),1)</f>
        <v>2</v>
      </c>
      <c r="AE6" s="422">
        <f xml:space="preserve">
TRUNC(IF($A$4&lt;=12,SUMIFS('ON Data'!AJ:AJ,'ON Data'!$D:$D,$A$4,'ON Data'!$E:$E,1),SUMIFS('ON Data'!AJ:AJ,'ON Data'!$E:$E,1)/'ON Data'!$D$3),1)</f>
        <v>0</v>
      </c>
      <c r="AF6" s="422">
        <f xml:space="preserve">
TRUNC(IF($A$4&lt;=12,SUMIFS('ON Data'!AK:AK,'ON Data'!$D:$D,$A$4,'ON Data'!$E:$E,1),SUMIFS('ON Data'!AK:AK,'ON Data'!$E:$E,1)/'ON Data'!$D$3),1)</f>
        <v>0</v>
      </c>
      <c r="AG6" s="422">
        <f xml:space="preserve">
TRUNC(IF($A$4&lt;=12,SUMIFS('ON Data'!AL:AL,'ON Data'!$D:$D,$A$4,'ON Data'!$E:$E,1),SUMIFS('ON Data'!AL:AL,'ON Data'!$E:$E,1)/'ON Data'!$D$3),1)</f>
        <v>0</v>
      </c>
      <c r="AH6" s="720">
        <f xml:space="preserve">
TRUNC(IF($A$4&lt;=12,SUMIFS('ON Data'!AN:AN,'ON Data'!$D:$D,$A$4,'ON Data'!$E:$E,1),SUMIFS('ON Data'!AN:AN,'ON Data'!$E:$E,1)/'ON Data'!$D$3),1)</f>
        <v>0.2</v>
      </c>
      <c r="AI6" s="733"/>
    </row>
    <row r="7" spans="1:35" ht="15" hidden="1" outlineLevel="1" thickBot="1" x14ac:dyDescent="0.35">
      <c r="A7" s="382" t="s">
        <v>125</v>
      </c>
      <c r="B7" s="420"/>
      <c r="C7" s="423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720"/>
      <c r="AI7" s="733"/>
    </row>
    <row r="8" spans="1:35" ht="15" hidden="1" outlineLevel="1" thickBot="1" x14ac:dyDescent="0.35">
      <c r="A8" s="382" t="s">
        <v>90</v>
      </c>
      <c r="B8" s="420"/>
      <c r="C8" s="423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720"/>
      <c r="AI8" s="733"/>
    </row>
    <row r="9" spans="1:35" ht="15" hidden="1" outlineLevel="1" thickBot="1" x14ac:dyDescent="0.35">
      <c r="A9" s="383" t="s">
        <v>63</v>
      </c>
      <c r="B9" s="424"/>
      <c r="C9" s="425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721"/>
      <c r="AI9" s="733"/>
    </row>
    <row r="10" spans="1:35" x14ac:dyDescent="0.3">
      <c r="A10" s="384" t="s">
        <v>230</v>
      </c>
      <c r="B10" s="399"/>
      <c r="C10" s="400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722"/>
      <c r="AI10" s="733"/>
    </row>
    <row r="11" spans="1:35" x14ac:dyDescent="0.3">
      <c r="A11" s="385" t="s">
        <v>231</v>
      </c>
      <c r="B11" s="402">
        <f xml:space="preserve">
IF($A$4&lt;=12,SUMIFS('ON Data'!F:F,'ON Data'!$D:$D,$A$4,'ON Data'!$E:$E,2),SUMIFS('ON Data'!F:F,'ON Data'!$E:$E,2))</f>
        <v>27451.95</v>
      </c>
      <c r="C11" s="403">
        <f xml:space="preserve">
IF($A$4&lt;=12,SUMIFS('ON Data'!G:G,'ON Data'!$D:$D,$A$4,'ON Data'!$E:$E,2),SUMIFS('ON Data'!G:G,'ON Data'!$E:$E,2))</f>
        <v>0</v>
      </c>
      <c r="D11" s="404">
        <f xml:space="preserve">
IF($A$4&lt;=12,SUMIFS('ON Data'!H:H,'ON Data'!$D:$D,$A$4,'ON Data'!$E:$E,2),SUMIFS('ON Data'!H:H,'ON Data'!$E:$E,2))</f>
        <v>0</v>
      </c>
      <c r="E11" s="404">
        <f xml:space="preserve">
IF($A$4&lt;=12,SUMIFS('ON Data'!I:I,'ON Data'!$D:$D,$A$4,'ON Data'!$E:$E,2),SUMIFS('ON Data'!I:I,'ON Data'!$E:$E,2))</f>
        <v>7253.2</v>
      </c>
      <c r="F11" s="404">
        <f xml:space="preserve">
IF($A$4&lt;=12,SUMIFS('ON Data'!K:K,'ON Data'!$D:$D,$A$4,'ON Data'!$E:$E,2),SUMIFS('ON Data'!K:K,'ON Data'!$E:$E,2))</f>
        <v>16668.75</v>
      </c>
      <c r="G11" s="404">
        <f xml:space="preserve">
IF($A$4&lt;=12,SUMIFS('ON Data'!L:L,'ON Data'!$D:$D,$A$4,'ON Data'!$E:$E,2),SUMIFS('ON Data'!L:L,'ON Data'!$E:$E,2))</f>
        <v>0</v>
      </c>
      <c r="H11" s="404">
        <f xml:space="preserve">
IF($A$4&lt;=12,SUMIFS('ON Data'!M:M,'ON Data'!$D:$D,$A$4,'ON Data'!$E:$E,2),SUMIFS('ON Data'!M:M,'ON Data'!$E:$E,2))</f>
        <v>0</v>
      </c>
      <c r="I11" s="404">
        <f xml:space="preserve">
IF($A$4&lt;=12,SUMIFS('ON Data'!N:N,'ON Data'!$D:$D,$A$4,'ON Data'!$E:$E,2),SUMIFS('ON Data'!N:N,'ON Data'!$E:$E,2))</f>
        <v>0</v>
      </c>
      <c r="J11" s="404">
        <f xml:space="preserve">
IF($A$4&lt;=12,SUMIFS('ON Data'!O:O,'ON Data'!$D:$D,$A$4,'ON Data'!$E:$E,2),SUMIFS('ON Data'!O:O,'ON Data'!$E:$E,2))</f>
        <v>0</v>
      </c>
      <c r="K11" s="404">
        <f xml:space="preserve">
IF($A$4&lt;=12,SUMIFS('ON Data'!P:P,'ON Data'!$D:$D,$A$4,'ON Data'!$E:$E,2),SUMIFS('ON Data'!P:P,'ON Data'!$E:$E,2))</f>
        <v>0</v>
      </c>
      <c r="L11" s="404">
        <f xml:space="preserve">
IF($A$4&lt;=12,SUMIFS('ON Data'!Q:Q,'ON Data'!$D:$D,$A$4,'ON Data'!$E:$E,2),SUMIFS('ON Data'!Q:Q,'ON Data'!$E:$E,2))</f>
        <v>0</v>
      </c>
      <c r="M11" s="404">
        <f xml:space="preserve">
IF($A$4&lt;=12,SUMIFS('ON Data'!R:R,'ON Data'!$D:$D,$A$4,'ON Data'!$E:$E,2),SUMIFS('ON Data'!R:R,'ON Data'!$E:$E,2))</f>
        <v>496</v>
      </c>
      <c r="N11" s="404">
        <f xml:space="preserve">
IF($A$4&lt;=12,SUMIFS('ON Data'!S:S,'ON Data'!$D:$D,$A$4,'ON Data'!$E:$E,2),SUMIFS('ON Data'!S:S,'ON Data'!$E:$E,2))</f>
        <v>0</v>
      </c>
      <c r="O11" s="404">
        <f xml:space="preserve">
IF($A$4&lt;=12,SUMIFS('ON Data'!T:T,'ON Data'!$D:$D,$A$4,'ON Data'!$E:$E,2),SUMIFS('ON Data'!T:T,'ON Data'!$E:$E,2))</f>
        <v>0</v>
      </c>
      <c r="P11" s="404">
        <f xml:space="preserve">
IF($A$4&lt;=12,SUMIFS('ON Data'!U:U,'ON Data'!$D:$D,$A$4,'ON Data'!$E:$E,2),SUMIFS('ON Data'!U:U,'ON Data'!$E:$E,2))</f>
        <v>0</v>
      </c>
      <c r="Q11" s="404">
        <f xml:space="preserve">
IF($A$4&lt;=12,SUMIFS('ON Data'!V:V,'ON Data'!$D:$D,$A$4,'ON Data'!$E:$E,2),SUMIFS('ON Data'!V:V,'ON Data'!$E:$E,2))</f>
        <v>0</v>
      </c>
      <c r="R11" s="404">
        <f xml:space="preserve">
IF($A$4&lt;=12,SUMIFS('ON Data'!W:W,'ON Data'!$D:$D,$A$4,'ON Data'!$E:$E,2),SUMIFS('ON Data'!W:W,'ON Data'!$E:$E,2))</f>
        <v>0</v>
      </c>
      <c r="S11" s="404">
        <f xml:space="preserve">
IF($A$4&lt;=12,SUMIFS('ON Data'!X:X,'ON Data'!$D:$D,$A$4,'ON Data'!$E:$E,2),SUMIFS('ON Data'!X:X,'ON Data'!$E:$E,2))</f>
        <v>0</v>
      </c>
      <c r="T11" s="404">
        <f xml:space="preserve">
IF($A$4&lt;=12,SUMIFS('ON Data'!Y:Y,'ON Data'!$D:$D,$A$4,'ON Data'!$E:$E,2),SUMIFS('ON Data'!Y:Y,'ON Data'!$E:$E,2))</f>
        <v>0</v>
      </c>
      <c r="U11" s="404">
        <f xml:space="preserve">
IF($A$4&lt;=12,SUMIFS('ON Data'!Z:Z,'ON Data'!$D:$D,$A$4,'ON Data'!$E:$E,2),SUMIFS('ON Data'!Z:Z,'ON Data'!$E:$E,2))</f>
        <v>0</v>
      </c>
      <c r="V11" s="404">
        <f xml:space="preserve">
IF($A$4&lt;=12,SUMIFS('ON Data'!AA:AA,'ON Data'!$D:$D,$A$4,'ON Data'!$E:$E,2),SUMIFS('ON Data'!AA:AA,'ON Data'!$E:$E,2))</f>
        <v>0</v>
      </c>
      <c r="W11" s="404">
        <f xml:space="preserve">
IF($A$4&lt;=12,SUMIFS('ON Data'!AB:AB,'ON Data'!$D:$D,$A$4,'ON Data'!$E:$E,2),SUMIFS('ON Data'!AB:AB,'ON Data'!$E:$E,2))</f>
        <v>0</v>
      </c>
      <c r="X11" s="404">
        <f xml:space="preserve">
IF($A$4&lt;=12,SUMIFS('ON Data'!AC:AC,'ON Data'!$D:$D,$A$4,'ON Data'!$E:$E,2),SUMIFS('ON Data'!AC:AC,'ON Data'!$E:$E,2))</f>
        <v>0</v>
      </c>
      <c r="Y11" s="404">
        <f xml:space="preserve">
IF($A$4&lt;=12,SUMIFS('ON Data'!AD:AD,'ON Data'!$D:$D,$A$4,'ON Data'!$E:$E,2),SUMIFS('ON Data'!AD:AD,'ON Data'!$E:$E,2))</f>
        <v>0</v>
      </c>
      <c r="Z11" s="404">
        <f xml:space="preserve">
IF($A$4&lt;=12,SUMIFS('ON Data'!AE:AE,'ON Data'!$D:$D,$A$4,'ON Data'!$E:$E,2),SUMIFS('ON Data'!AE:AE,'ON Data'!$E:$E,2))</f>
        <v>0</v>
      </c>
      <c r="AA11" s="404">
        <f xml:space="preserve">
IF($A$4&lt;=12,SUMIFS('ON Data'!AF:AF,'ON Data'!$D:$D,$A$4,'ON Data'!$E:$E,2),SUMIFS('ON Data'!AF:AF,'ON Data'!$E:$E,2))</f>
        <v>883.5</v>
      </c>
      <c r="AB11" s="404">
        <f xml:space="preserve">
IF($A$4&lt;=12,SUMIFS('ON Data'!AG:AG,'ON Data'!$D:$D,$A$4,'ON Data'!$E:$E,2),SUMIFS('ON Data'!AG:AG,'ON Data'!$E:$E,2))</f>
        <v>0</v>
      </c>
      <c r="AC11" s="404">
        <f xml:space="preserve">
IF($A$4&lt;=12,SUMIFS('ON Data'!AH:AH,'ON Data'!$D:$D,$A$4,'ON Data'!$E:$E,2),SUMIFS('ON Data'!AH:AH,'ON Data'!$E:$E,2))</f>
        <v>0</v>
      </c>
      <c r="AD11" s="404">
        <f xml:space="preserve">
IF($A$4&lt;=12,SUMIFS('ON Data'!AI:AI,'ON Data'!$D:$D,$A$4,'ON Data'!$E:$E,2),SUMIFS('ON Data'!AI:AI,'ON Data'!$E:$E,2))</f>
        <v>1902.5</v>
      </c>
      <c r="AE11" s="404">
        <f xml:space="preserve">
IF($A$4&lt;=12,SUMIFS('ON Data'!AJ:AJ,'ON Data'!$D:$D,$A$4,'ON Data'!$E:$E,2),SUMIFS('ON Data'!AJ:AJ,'ON Data'!$E:$E,2))</f>
        <v>0</v>
      </c>
      <c r="AF11" s="404">
        <f xml:space="preserve">
IF($A$4&lt;=12,SUMIFS('ON Data'!AK:AK,'ON Data'!$D:$D,$A$4,'ON Data'!$E:$E,2),SUMIFS('ON Data'!AK:AK,'ON Data'!$E:$E,2))</f>
        <v>0</v>
      </c>
      <c r="AG11" s="404">
        <f xml:space="preserve">
IF($A$4&lt;=12,SUMIFS('ON Data'!AL:AL,'ON Data'!$D:$D,$A$4,'ON Data'!$E:$E,2),SUMIFS('ON Data'!AL:AL,'ON Data'!$E:$E,2))</f>
        <v>0</v>
      </c>
      <c r="AH11" s="723">
        <f xml:space="preserve">
IF($A$4&lt;=12,SUMIFS('ON Data'!AN:AN,'ON Data'!$D:$D,$A$4,'ON Data'!$E:$E,2),SUMIFS('ON Data'!AN:AN,'ON Data'!$E:$E,2))</f>
        <v>248</v>
      </c>
      <c r="AI11" s="733"/>
    </row>
    <row r="12" spans="1:35" x14ac:dyDescent="0.3">
      <c r="A12" s="385" t="s">
        <v>232</v>
      </c>
      <c r="B12" s="402">
        <f xml:space="preserve">
IF($A$4&lt;=12,SUMIFS('ON Data'!F:F,'ON Data'!$D:$D,$A$4,'ON Data'!$E:$E,3),SUMIFS('ON Data'!F:F,'ON Data'!$E:$E,3))</f>
        <v>1087.4000000000001</v>
      </c>
      <c r="C12" s="403">
        <f xml:space="preserve">
IF($A$4&lt;=12,SUMIFS('ON Data'!G:G,'ON Data'!$D:$D,$A$4,'ON Data'!$E:$E,3),SUMIFS('ON Data'!G:G,'ON Data'!$E:$E,3))</f>
        <v>0</v>
      </c>
      <c r="D12" s="404">
        <f xml:space="preserve">
IF($A$4&lt;=12,SUMIFS('ON Data'!H:H,'ON Data'!$D:$D,$A$4,'ON Data'!$E:$E,3),SUMIFS('ON Data'!H:H,'ON Data'!$E:$E,3))</f>
        <v>0</v>
      </c>
      <c r="E12" s="404">
        <f xml:space="preserve">
IF($A$4&lt;=12,SUMIFS('ON Data'!I:I,'ON Data'!$D:$D,$A$4,'ON Data'!$E:$E,3),SUMIFS('ON Data'!I:I,'ON Data'!$E:$E,3))</f>
        <v>1032.4000000000001</v>
      </c>
      <c r="F12" s="404">
        <f xml:space="preserve">
IF($A$4&lt;=12,SUMIFS('ON Data'!K:K,'ON Data'!$D:$D,$A$4,'ON Data'!$E:$E,3),SUMIFS('ON Data'!K:K,'ON Data'!$E:$E,3))</f>
        <v>12</v>
      </c>
      <c r="G12" s="404">
        <f xml:space="preserve">
IF($A$4&lt;=12,SUMIFS('ON Data'!L:L,'ON Data'!$D:$D,$A$4,'ON Data'!$E:$E,3),SUMIFS('ON Data'!L:L,'ON Data'!$E:$E,3))</f>
        <v>0</v>
      </c>
      <c r="H12" s="404">
        <f xml:space="preserve">
IF($A$4&lt;=12,SUMIFS('ON Data'!M:M,'ON Data'!$D:$D,$A$4,'ON Data'!$E:$E,3),SUMIFS('ON Data'!M:M,'ON Data'!$E:$E,3))</f>
        <v>0</v>
      </c>
      <c r="I12" s="404">
        <f xml:space="preserve">
IF($A$4&lt;=12,SUMIFS('ON Data'!N:N,'ON Data'!$D:$D,$A$4,'ON Data'!$E:$E,3),SUMIFS('ON Data'!N:N,'ON Data'!$E:$E,3))</f>
        <v>0</v>
      </c>
      <c r="J12" s="404">
        <f xml:space="preserve">
IF($A$4&lt;=12,SUMIFS('ON Data'!O:O,'ON Data'!$D:$D,$A$4,'ON Data'!$E:$E,3),SUMIFS('ON Data'!O:O,'ON Data'!$E:$E,3))</f>
        <v>0</v>
      </c>
      <c r="K12" s="404">
        <f xml:space="preserve">
IF($A$4&lt;=12,SUMIFS('ON Data'!P:P,'ON Data'!$D:$D,$A$4,'ON Data'!$E:$E,3),SUMIFS('ON Data'!P:P,'ON Data'!$E:$E,3))</f>
        <v>0</v>
      </c>
      <c r="L12" s="404">
        <f xml:space="preserve">
IF($A$4&lt;=12,SUMIFS('ON Data'!Q:Q,'ON Data'!$D:$D,$A$4,'ON Data'!$E:$E,3),SUMIFS('ON Data'!Q:Q,'ON Data'!$E:$E,3))</f>
        <v>0</v>
      </c>
      <c r="M12" s="404">
        <f xml:space="preserve">
IF($A$4&lt;=12,SUMIFS('ON Data'!R:R,'ON Data'!$D:$D,$A$4,'ON Data'!$E:$E,3),SUMIFS('ON Data'!R:R,'ON Data'!$E:$E,3))</f>
        <v>43</v>
      </c>
      <c r="N12" s="404">
        <f xml:space="preserve">
IF($A$4&lt;=12,SUMIFS('ON Data'!S:S,'ON Data'!$D:$D,$A$4,'ON Data'!$E:$E,3),SUMIFS('ON Data'!S:S,'ON Data'!$E:$E,3))</f>
        <v>0</v>
      </c>
      <c r="O12" s="404">
        <f xml:space="preserve">
IF($A$4&lt;=12,SUMIFS('ON Data'!T:T,'ON Data'!$D:$D,$A$4,'ON Data'!$E:$E,3),SUMIFS('ON Data'!T:T,'ON Data'!$E:$E,3))</f>
        <v>0</v>
      </c>
      <c r="P12" s="404">
        <f xml:space="preserve">
IF($A$4&lt;=12,SUMIFS('ON Data'!U:U,'ON Data'!$D:$D,$A$4,'ON Data'!$E:$E,3),SUMIFS('ON Data'!U:U,'ON Data'!$E:$E,3))</f>
        <v>0</v>
      </c>
      <c r="Q12" s="404">
        <f xml:space="preserve">
IF($A$4&lt;=12,SUMIFS('ON Data'!V:V,'ON Data'!$D:$D,$A$4,'ON Data'!$E:$E,3),SUMIFS('ON Data'!V:V,'ON Data'!$E:$E,3))</f>
        <v>0</v>
      </c>
      <c r="R12" s="404">
        <f xml:space="preserve">
IF($A$4&lt;=12,SUMIFS('ON Data'!W:W,'ON Data'!$D:$D,$A$4,'ON Data'!$E:$E,3),SUMIFS('ON Data'!W:W,'ON Data'!$E:$E,3))</f>
        <v>0</v>
      </c>
      <c r="S12" s="404">
        <f xml:space="preserve">
IF($A$4&lt;=12,SUMIFS('ON Data'!X:X,'ON Data'!$D:$D,$A$4,'ON Data'!$E:$E,3),SUMIFS('ON Data'!X:X,'ON Data'!$E:$E,3))</f>
        <v>0</v>
      </c>
      <c r="T12" s="404">
        <f xml:space="preserve">
IF($A$4&lt;=12,SUMIFS('ON Data'!Y:Y,'ON Data'!$D:$D,$A$4,'ON Data'!$E:$E,3),SUMIFS('ON Data'!Y:Y,'ON Data'!$E:$E,3))</f>
        <v>0</v>
      </c>
      <c r="U12" s="404">
        <f xml:space="preserve">
IF($A$4&lt;=12,SUMIFS('ON Data'!Z:Z,'ON Data'!$D:$D,$A$4,'ON Data'!$E:$E,3),SUMIFS('ON Data'!Z:Z,'ON Data'!$E:$E,3))</f>
        <v>0</v>
      </c>
      <c r="V12" s="404">
        <f xml:space="preserve">
IF($A$4&lt;=12,SUMIFS('ON Data'!AA:AA,'ON Data'!$D:$D,$A$4,'ON Data'!$E:$E,3),SUMIFS('ON Data'!AA:AA,'ON Data'!$E:$E,3))</f>
        <v>0</v>
      </c>
      <c r="W12" s="404">
        <f xml:space="preserve">
IF($A$4&lt;=12,SUMIFS('ON Data'!AB:AB,'ON Data'!$D:$D,$A$4,'ON Data'!$E:$E,3),SUMIFS('ON Data'!AB:AB,'ON Data'!$E:$E,3))</f>
        <v>0</v>
      </c>
      <c r="X12" s="404">
        <f xml:space="preserve">
IF($A$4&lt;=12,SUMIFS('ON Data'!AC:AC,'ON Data'!$D:$D,$A$4,'ON Data'!$E:$E,3),SUMIFS('ON Data'!AC:AC,'ON Data'!$E:$E,3))</f>
        <v>0</v>
      </c>
      <c r="Y12" s="404">
        <f xml:space="preserve">
IF($A$4&lt;=12,SUMIFS('ON Data'!AD:AD,'ON Data'!$D:$D,$A$4,'ON Data'!$E:$E,3),SUMIFS('ON Data'!AD:AD,'ON Data'!$E:$E,3))</f>
        <v>0</v>
      </c>
      <c r="Z12" s="404">
        <f xml:space="preserve">
IF($A$4&lt;=12,SUMIFS('ON Data'!AE:AE,'ON Data'!$D:$D,$A$4,'ON Data'!$E:$E,3),SUMIFS('ON Data'!AE:AE,'ON Data'!$E:$E,3))</f>
        <v>0</v>
      </c>
      <c r="AA12" s="404">
        <f xml:space="preserve">
IF($A$4&lt;=12,SUMIFS('ON Data'!AF:AF,'ON Data'!$D:$D,$A$4,'ON Data'!$E:$E,3),SUMIFS('ON Data'!AF:AF,'ON Data'!$E:$E,3))</f>
        <v>0</v>
      </c>
      <c r="AB12" s="404">
        <f xml:space="preserve">
IF($A$4&lt;=12,SUMIFS('ON Data'!AG:AG,'ON Data'!$D:$D,$A$4,'ON Data'!$E:$E,3),SUMIFS('ON Data'!AG:AG,'ON Data'!$E:$E,3))</f>
        <v>0</v>
      </c>
      <c r="AC12" s="404">
        <f xml:space="preserve">
IF($A$4&lt;=12,SUMIFS('ON Data'!AH:AH,'ON Data'!$D:$D,$A$4,'ON Data'!$E:$E,3),SUMIFS('ON Data'!AH:AH,'ON Data'!$E:$E,3))</f>
        <v>0</v>
      </c>
      <c r="AD12" s="404">
        <f xml:space="preserve">
IF($A$4&lt;=12,SUMIFS('ON Data'!AI:AI,'ON Data'!$D:$D,$A$4,'ON Data'!$E:$E,3),SUMIFS('ON Data'!AI:AI,'ON Data'!$E:$E,3))</f>
        <v>0</v>
      </c>
      <c r="AE12" s="404">
        <f xml:space="preserve">
IF($A$4&lt;=12,SUMIFS('ON Data'!AJ:AJ,'ON Data'!$D:$D,$A$4,'ON Data'!$E:$E,3),SUMIFS('ON Data'!AJ:AJ,'ON Data'!$E:$E,3))</f>
        <v>0</v>
      </c>
      <c r="AF12" s="404">
        <f xml:space="preserve">
IF($A$4&lt;=12,SUMIFS('ON Data'!AK:AK,'ON Data'!$D:$D,$A$4,'ON Data'!$E:$E,3),SUMIFS('ON Data'!AK:AK,'ON Data'!$E:$E,3))</f>
        <v>0</v>
      </c>
      <c r="AG12" s="404">
        <f xml:space="preserve">
IF($A$4&lt;=12,SUMIFS('ON Data'!AL:AL,'ON Data'!$D:$D,$A$4,'ON Data'!$E:$E,3),SUMIFS('ON Data'!AL:AL,'ON Data'!$E:$E,3))</f>
        <v>0</v>
      </c>
      <c r="AH12" s="723">
        <f xml:space="preserve">
IF($A$4&lt;=12,SUMIFS('ON Data'!AN:AN,'ON Data'!$D:$D,$A$4,'ON Data'!$E:$E,3),SUMIFS('ON Data'!AN:AN,'ON Data'!$E:$E,3))</f>
        <v>0</v>
      </c>
      <c r="AI12" s="733"/>
    </row>
    <row r="13" spans="1:35" x14ac:dyDescent="0.3">
      <c r="A13" s="385" t="s">
        <v>239</v>
      </c>
      <c r="B13" s="402">
        <f xml:space="preserve">
IF($A$4&lt;=12,SUMIFS('ON Data'!F:F,'ON Data'!$D:$D,$A$4,'ON Data'!$E:$E,4),SUMIFS('ON Data'!F:F,'ON Data'!$E:$E,4))</f>
        <v>1204.8499999999999</v>
      </c>
      <c r="C13" s="403">
        <f xml:space="preserve">
IF($A$4&lt;=12,SUMIFS('ON Data'!G:G,'ON Data'!$D:$D,$A$4,'ON Data'!$E:$E,4),SUMIFS('ON Data'!G:G,'ON Data'!$E:$E,4))</f>
        <v>0</v>
      </c>
      <c r="D13" s="404">
        <f xml:space="preserve">
IF($A$4&lt;=12,SUMIFS('ON Data'!H:H,'ON Data'!$D:$D,$A$4,'ON Data'!$E:$E,4),SUMIFS('ON Data'!H:H,'ON Data'!$E:$E,4))</f>
        <v>0</v>
      </c>
      <c r="E13" s="404">
        <f xml:space="preserve">
IF($A$4&lt;=12,SUMIFS('ON Data'!I:I,'ON Data'!$D:$D,$A$4,'ON Data'!$E:$E,4),SUMIFS('ON Data'!I:I,'ON Data'!$E:$E,4))</f>
        <v>891.35</v>
      </c>
      <c r="F13" s="404">
        <f xml:space="preserve">
IF($A$4&lt;=12,SUMIFS('ON Data'!K:K,'ON Data'!$D:$D,$A$4,'ON Data'!$E:$E,4),SUMIFS('ON Data'!K:K,'ON Data'!$E:$E,4))</f>
        <v>121</v>
      </c>
      <c r="G13" s="404">
        <f xml:space="preserve">
IF($A$4&lt;=12,SUMIFS('ON Data'!L:L,'ON Data'!$D:$D,$A$4,'ON Data'!$E:$E,4),SUMIFS('ON Data'!L:L,'ON Data'!$E:$E,4))</f>
        <v>0</v>
      </c>
      <c r="H13" s="404">
        <f xml:space="preserve">
IF($A$4&lt;=12,SUMIFS('ON Data'!M:M,'ON Data'!$D:$D,$A$4,'ON Data'!$E:$E,4),SUMIFS('ON Data'!M:M,'ON Data'!$E:$E,4))</f>
        <v>0</v>
      </c>
      <c r="I13" s="404">
        <f xml:space="preserve">
IF($A$4&lt;=12,SUMIFS('ON Data'!N:N,'ON Data'!$D:$D,$A$4,'ON Data'!$E:$E,4),SUMIFS('ON Data'!N:N,'ON Data'!$E:$E,4))</f>
        <v>0</v>
      </c>
      <c r="J13" s="404">
        <f xml:space="preserve">
IF($A$4&lt;=12,SUMIFS('ON Data'!O:O,'ON Data'!$D:$D,$A$4,'ON Data'!$E:$E,4),SUMIFS('ON Data'!O:O,'ON Data'!$E:$E,4))</f>
        <v>0</v>
      </c>
      <c r="K13" s="404">
        <f xml:space="preserve">
IF($A$4&lt;=12,SUMIFS('ON Data'!P:P,'ON Data'!$D:$D,$A$4,'ON Data'!$E:$E,4),SUMIFS('ON Data'!P:P,'ON Data'!$E:$E,4))</f>
        <v>0</v>
      </c>
      <c r="L13" s="404">
        <f xml:space="preserve">
IF($A$4&lt;=12,SUMIFS('ON Data'!Q:Q,'ON Data'!$D:$D,$A$4,'ON Data'!$E:$E,4),SUMIFS('ON Data'!Q:Q,'ON Data'!$E:$E,4))</f>
        <v>0</v>
      </c>
      <c r="M13" s="404">
        <f xml:space="preserve">
IF($A$4&lt;=12,SUMIFS('ON Data'!R:R,'ON Data'!$D:$D,$A$4,'ON Data'!$E:$E,4),SUMIFS('ON Data'!R:R,'ON Data'!$E:$E,4))</f>
        <v>0</v>
      </c>
      <c r="N13" s="404">
        <f xml:space="preserve">
IF($A$4&lt;=12,SUMIFS('ON Data'!S:S,'ON Data'!$D:$D,$A$4,'ON Data'!$E:$E,4),SUMIFS('ON Data'!S:S,'ON Data'!$E:$E,4))</f>
        <v>0</v>
      </c>
      <c r="O13" s="404">
        <f xml:space="preserve">
IF($A$4&lt;=12,SUMIFS('ON Data'!T:T,'ON Data'!$D:$D,$A$4,'ON Data'!$E:$E,4),SUMIFS('ON Data'!T:T,'ON Data'!$E:$E,4))</f>
        <v>0</v>
      </c>
      <c r="P13" s="404">
        <f xml:space="preserve">
IF($A$4&lt;=12,SUMIFS('ON Data'!U:U,'ON Data'!$D:$D,$A$4,'ON Data'!$E:$E,4),SUMIFS('ON Data'!U:U,'ON Data'!$E:$E,4))</f>
        <v>0</v>
      </c>
      <c r="Q13" s="404">
        <f xml:space="preserve">
IF($A$4&lt;=12,SUMIFS('ON Data'!V:V,'ON Data'!$D:$D,$A$4,'ON Data'!$E:$E,4),SUMIFS('ON Data'!V:V,'ON Data'!$E:$E,4))</f>
        <v>0</v>
      </c>
      <c r="R13" s="404">
        <f xml:space="preserve">
IF($A$4&lt;=12,SUMIFS('ON Data'!W:W,'ON Data'!$D:$D,$A$4,'ON Data'!$E:$E,4),SUMIFS('ON Data'!W:W,'ON Data'!$E:$E,4))</f>
        <v>0</v>
      </c>
      <c r="S13" s="404">
        <f xml:space="preserve">
IF($A$4&lt;=12,SUMIFS('ON Data'!X:X,'ON Data'!$D:$D,$A$4,'ON Data'!$E:$E,4),SUMIFS('ON Data'!X:X,'ON Data'!$E:$E,4))</f>
        <v>0</v>
      </c>
      <c r="T13" s="404">
        <f xml:space="preserve">
IF($A$4&lt;=12,SUMIFS('ON Data'!Y:Y,'ON Data'!$D:$D,$A$4,'ON Data'!$E:$E,4),SUMIFS('ON Data'!Y:Y,'ON Data'!$E:$E,4))</f>
        <v>0</v>
      </c>
      <c r="U13" s="404">
        <f xml:space="preserve">
IF($A$4&lt;=12,SUMIFS('ON Data'!Z:Z,'ON Data'!$D:$D,$A$4,'ON Data'!$E:$E,4),SUMIFS('ON Data'!Z:Z,'ON Data'!$E:$E,4))</f>
        <v>0</v>
      </c>
      <c r="V13" s="404">
        <f xml:space="preserve">
IF($A$4&lt;=12,SUMIFS('ON Data'!AA:AA,'ON Data'!$D:$D,$A$4,'ON Data'!$E:$E,4),SUMIFS('ON Data'!AA:AA,'ON Data'!$E:$E,4))</f>
        <v>0</v>
      </c>
      <c r="W13" s="404">
        <f xml:space="preserve">
IF($A$4&lt;=12,SUMIFS('ON Data'!AB:AB,'ON Data'!$D:$D,$A$4,'ON Data'!$E:$E,4),SUMIFS('ON Data'!AB:AB,'ON Data'!$E:$E,4))</f>
        <v>0</v>
      </c>
      <c r="X13" s="404">
        <f xml:space="preserve">
IF($A$4&lt;=12,SUMIFS('ON Data'!AC:AC,'ON Data'!$D:$D,$A$4,'ON Data'!$E:$E,4),SUMIFS('ON Data'!AC:AC,'ON Data'!$E:$E,4))</f>
        <v>0</v>
      </c>
      <c r="Y13" s="404">
        <f xml:space="preserve">
IF($A$4&lt;=12,SUMIFS('ON Data'!AD:AD,'ON Data'!$D:$D,$A$4,'ON Data'!$E:$E,4),SUMIFS('ON Data'!AD:AD,'ON Data'!$E:$E,4))</f>
        <v>0</v>
      </c>
      <c r="Z13" s="404">
        <f xml:space="preserve">
IF($A$4&lt;=12,SUMIFS('ON Data'!AE:AE,'ON Data'!$D:$D,$A$4,'ON Data'!$E:$E,4),SUMIFS('ON Data'!AE:AE,'ON Data'!$E:$E,4))</f>
        <v>0</v>
      </c>
      <c r="AA13" s="404">
        <f xml:space="preserve">
IF($A$4&lt;=12,SUMIFS('ON Data'!AF:AF,'ON Data'!$D:$D,$A$4,'ON Data'!$E:$E,4),SUMIFS('ON Data'!AF:AF,'ON Data'!$E:$E,4))</f>
        <v>54</v>
      </c>
      <c r="AB13" s="404">
        <f xml:space="preserve">
IF($A$4&lt;=12,SUMIFS('ON Data'!AG:AG,'ON Data'!$D:$D,$A$4,'ON Data'!$E:$E,4),SUMIFS('ON Data'!AG:AG,'ON Data'!$E:$E,4))</f>
        <v>0</v>
      </c>
      <c r="AC13" s="404">
        <f xml:space="preserve">
IF($A$4&lt;=12,SUMIFS('ON Data'!AH:AH,'ON Data'!$D:$D,$A$4,'ON Data'!$E:$E,4),SUMIFS('ON Data'!AH:AH,'ON Data'!$E:$E,4))</f>
        <v>0</v>
      </c>
      <c r="AD13" s="404">
        <f xml:space="preserve">
IF($A$4&lt;=12,SUMIFS('ON Data'!AI:AI,'ON Data'!$D:$D,$A$4,'ON Data'!$E:$E,4),SUMIFS('ON Data'!AI:AI,'ON Data'!$E:$E,4))</f>
        <v>138.5</v>
      </c>
      <c r="AE13" s="404">
        <f xml:space="preserve">
IF($A$4&lt;=12,SUMIFS('ON Data'!AJ:AJ,'ON Data'!$D:$D,$A$4,'ON Data'!$E:$E,4),SUMIFS('ON Data'!AJ:AJ,'ON Data'!$E:$E,4))</f>
        <v>0</v>
      </c>
      <c r="AF13" s="404">
        <f xml:space="preserve">
IF($A$4&lt;=12,SUMIFS('ON Data'!AK:AK,'ON Data'!$D:$D,$A$4,'ON Data'!$E:$E,4),SUMIFS('ON Data'!AK:AK,'ON Data'!$E:$E,4))</f>
        <v>0</v>
      </c>
      <c r="AG13" s="404">
        <f xml:space="preserve">
IF($A$4&lt;=12,SUMIFS('ON Data'!AL:AL,'ON Data'!$D:$D,$A$4,'ON Data'!$E:$E,4),SUMIFS('ON Data'!AL:AL,'ON Data'!$E:$E,4))</f>
        <v>0</v>
      </c>
      <c r="AH13" s="723">
        <f xml:space="preserve">
IF($A$4&lt;=12,SUMIFS('ON Data'!AN:AN,'ON Data'!$D:$D,$A$4,'ON Data'!$E:$E,4),SUMIFS('ON Data'!AN:AN,'ON Data'!$E:$E,4))</f>
        <v>0</v>
      </c>
      <c r="AI13" s="733"/>
    </row>
    <row r="14" spans="1:35" ht="15" thickBot="1" x14ac:dyDescent="0.35">
      <c r="A14" s="386" t="s">
        <v>233</v>
      </c>
      <c r="B14" s="405">
        <f xml:space="preserve">
IF($A$4&lt;=12,SUMIFS('ON Data'!F:F,'ON Data'!$D:$D,$A$4,'ON Data'!$E:$E,5),SUMIFS('ON Data'!F:F,'ON Data'!$E:$E,5))</f>
        <v>8251</v>
      </c>
      <c r="C14" s="406">
        <f xml:space="preserve">
IF($A$4&lt;=12,SUMIFS('ON Data'!G:G,'ON Data'!$D:$D,$A$4,'ON Data'!$E:$E,5),SUMIFS('ON Data'!G:G,'ON Data'!$E:$E,5))</f>
        <v>8251</v>
      </c>
      <c r="D14" s="407">
        <f xml:space="preserve">
IF($A$4&lt;=12,SUMIFS('ON Data'!H:H,'ON Data'!$D:$D,$A$4,'ON Data'!$E:$E,5),SUMIFS('ON Data'!H:H,'ON Data'!$E:$E,5))</f>
        <v>0</v>
      </c>
      <c r="E14" s="407">
        <f xml:space="preserve">
IF($A$4&lt;=12,SUMIFS('ON Data'!I:I,'ON Data'!$D:$D,$A$4,'ON Data'!$E:$E,5),SUMIFS('ON Data'!I:I,'ON Data'!$E:$E,5))</f>
        <v>0</v>
      </c>
      <c r="F14" s="407">
        <f xml:space="preserve">
IF($A$4&lt;=12,SUMIFS('ON Data'!K:K,'ON Data'!$D:$D,$A$4,'ON Data'!$E:$E,5),SUMIFS('ON Data'!K:K,'ON Data'!$E:$E,5))</f>
        <v>0</v>
      </c>
      <c r="G14" s="407">
        <f xml:space="preserve">
IF($A$4&lt;=12,SUMIFS('ON Data'!L:L,'ON Data'!$D:$D,$A$4,'ON Data'!$E:$E,5),SUMIFS('ON Data'!L:L,'ON Data'!$E:$E,5))</f>
        <v>0</v>
      </c>
      <c r="H14" s="407">
        <f xml:space="preserve">
IF($A$4&lt;=12,SUMIFS('ON Data'!M:M,'ON Data'!$D:$D,$A$4,'ON Data'!$E:$E,5),SUMIFS('ON Data'!M:M,'ON Data'!$E:$E,5))</f>
        <v>0</v>
      </c>
      <c r="I14" s="407">
        <f xml:space="preserve">
IF($A$4&lt;=12,SUMIFS('ON Data'!N:N,'ON Data'!$D:$D,$A$4,'ON Data'!$E:$E,5),SUMIFS('ON Data'!N:N,'ON Data'!$E:$E,5))</f>
        <v>0</v>
      </c>
      <c r="J14" s="407">
        <f xml:space="preserve">
IF($A$4&lt;=12,SUMIFS('ON Data'!O:O,'ON Data'!$D:$D,$A$4,'ON Data'!$E:$E,5),SUMIFS('ON Data'!O:O,'ON Data'!$E:$E,5))</f>
        <v>0</v>
      </c>
      <c r="K14" s="407">
        <f xml:space="preserve">
IF($A$4&lt;=12,SUMIFS('ON Data'!P:P,'ON Data'!$D:$D,$A$4,'ON Data'!$E:$E,5),SUMIFS('ON Data'!P:P,'ON Data'!$E:$E,5))</f>
        <v>0</v>
      </c>
      <c r="L14" s="407">
        <f xml:space="preserve">
IF($A$4&lt;=12,SUMIFS('ON Data'!Q:Q,'ON Data'!$D:$D,$A$4,'ON Data'!$E:$E,5),SUMIFS('ON Data'!Q:Q,'ON Data'!$E:$E,5))</f>
        <v>0</v>
      </c>
      <c r="M14" s="407">
        <f xml:space="preserve">
IF($A$4&lt;=12,SUMIFS('ON Data'!R:R,'ON Data'!$D:$D,$A$4,'ON Data'!$E:$E,5),SUMIFS('ON Data'!R:R,'ON Data'!$E:$E,5))</f>
        <v>0</v>
      </c>
      <c r="N14" s="407">
        <f xml:space="preserve">
IF($A$4&lt;=12,SUMIFS('ON Data'!S:S,'ON Data'!$D:$D,$A$4,'ON Data'!$E:$E,5),SUMIFS('ON Data'!S:S,'ON Data'!$E:$E,5))</f>
        <v>0</v>
      </c>
      <c r="O14" s="407">
        <f xml:space="preserve">
IF($A$4&lt;=12,SUMIFS('ON Data'!T:T,'ON Data'!$D:$D,$A$4,'ON Data'!$E:$E,5),SUMIFS('ON Data'!T:T,'ON Data'!$E:$E,5))</f>
        <v>0</v>
      </c>
      <c r="P14" s="407">
        <f xml:space="preserve">
IF($A$4&lt;=12,SUMIFS('ON Data'!U:U,'ON Data'!$D:$D,$A$4,'ON Data'!$E:$E,5),SUMIFS('ON Data'!U:U,'ON Data'!$E:$E,5))</f>
        <v>0</v>
      </c>
      <c r="Q14" s="407">
        <f xml:space="preserve">
IF($A$4&lt;=12,SUMIFS('ON Data'!V:V,'ON Data'!$D:$D,$A$4,'ON Data'!$E:$E,5),SUMIFS('ON Data'!V:V,'ON Data'!$E:$E,5))</f>
        <v>0</v>
      </c>
      <c r="R14" s="407">
        <f xml:space="preserve">
IF($A$4&lt;=12,SUMIFS('ON Data'!W:W,'ON Data'!$D:$D,$A$4,'ON Data'!$E:$E,5),SUMIFS('ON Data'!W:W,'ON Data'!$E:$E,5))</f>
        <v>0</v>
      </c>
      <c r="S14" s="407">
        <f xml:space="preserve">
IF($A$4&lt;=12,SUMIFS('ON Data'!X:X,'ON Data'!$D:$D,$A$4,'ON Data'!$E:$E,5),SUMIFS('ON Data'!X:X,'ON Data'!$E:$E,5))</f>
        <v>0</v>
      </c>
      <c r="T14" s="407">
        <f xml:space="preserve">
IF($A$4&lt;=12,SUMIFS('ON Data'!Y:Y,'ON Data'!$D:$D,$A$4,'ON Data'!$E:$E,5),SUMIFS('ON Data'!Y:Y,'ON Data'!$E:$E,5))</f>
        <v>0</v>
      </c>
      <c r="U14" s="407">
        <f xml:space="preserve">
IF($A$4&lt;=12,SUMIFS('ON Data'!Z:Z,'ON Data'!$D:$D,$A$4,'ON Data'!$E:$E,5),SUMIFS('ON Data'!Z:Z,'ON Data'!$E:$E,5))</f>
        <v>0</v>
      </c>
      <c r="V14" s="407">
        <f xml:space="preserve">
IF($A$4&lt;=12,SUMIFS('ON Data'!AA:AA,'ON Data'!$D:$D,$A$4,'ON Data'!$E:$E,5),SUMIFS('ON Data'!AA:AA,'ON Data'!$E:$E,5))</f>
        <v>0</v>
      </c>
      <c r="W14" s="407">
        <f xml:space="preserve">
IF($A$4&lt;=12,SUMIFS('ON Data'!AB:AB,'ON Data'!$D:$D,$A$4,'ON Data'!$E:$E,5),SUMIFS('ON Data'!AB:AB,'ON Data'!$E:$E,5))</f>
        <v>0</v>
      </c>
      <c r="X14" s="407">
        <f xml:space="preserve">
IF($A$4&lt;=12,SUMIFS('ON Data'!AC:AC,'ON Data'!$D:$D,$A$4,'ON Data'!$E:$E,5),SUMIFS('ON Data'!AC:AC,'ON Data'!$E:$E,5))</f>
        <v>0</v>
      </c>
      <c r="Y14" s="407">
        <f xml:space="preserve">
IF($A$4&lt;=12,SUMIFS('ON Data'!AD:AD,'ON Data'!$D:$D,$A$4,'ON Data'!$E:$E,5),SUMIFS('ON Data'!AD:AD,'ON Data'!$E:$E,5))</f>
        <v>0</v>
      </c>
      <c r="Z14" s="407">
        <f xml:space="preserve">
IF($A$4&lt;=12,SUMIFS('ON Data'!AE:AE,'ON Data'!$D:$D,$A$4,'ON Data'!$E:$E,5),SUMIFS('ON Data'!AE:AE,'ON Data'!$E:$E,5))</f>
        <v>0</v>
      </c>
      <c r="AA14" s="407">
        <f xml:space="preserve">
IF($A$4&lt;=12,SUMIFS('ON Data'!AF:AF,'ON Data'!$D:$D,$A$4,'ON Data'!$E:$E,5),SUMIFS('ON Data'!AF:AF,'ON Data'!$E:$E,5))</f>
        <v>0</v>
      </c>
      <c r="AB14" s="407">
        <f xml:space="preserve">
IF($A$4&lt;=12,SUMIFS('ON Data'!AG:AG,'ON Data'!$D:$D,$A$4,'ON Data'!$E:$E,5),SUMIFS('ON Data'!AG:AG,'ON Data'!$E:$E,5))</f>
        <v>0</v>
      </c>
      <c r="AC14" s="407">
        <f xml:space="preserve">
IF($A$4&lt;=12,SUMIFS('ON Data'!AH:AH,'ON Data'!$D:$D,$A$4,'ON Data'!$E:$E,5),SUMIFS('ON Data'!AH:AH,'ON Data'!$E:$E,5))</f>
        <v>0</v>
      </c>
      <c r="AD14" s="407">
        <f xml:space="preserve">
IF($A$4&lt;=12,SUMIFS('ON Data'!AI:AI,'ON Data'!$D:$D,$A$4,'ON Data'!$E:$E,5),SUMIFS('ON Data'!AI:AI,'ON Data'!$E:$E,5))</f>
        <v>0</v>
      </c>
      <c r="AE14" s="407">
        <f xml:space="preserve">
IF($A$4&lt;=12,SUMIFS('ON Data'!AJ:AJ,'ON Data'!$D:$D,$A$4,'ON Data'!$E:$E,5),SUMIFS('ON Data'!AJ:AJ,'ON Data'!$E:$E,5))</f>
        <v>0</v>
      </c>
      <c r="AF14" s="407">
        <f xml:space="preserve">
IF($A$4&lt;=12,SUMIFS('ON Data'!AK:AK,'ON Data'!$D:$D,$A$4,'ON Data'!$E:$E,5),SUMIFS('ON Data'!AK:AK,'ON Data'!$E:$E,5))</f>
        <v>0</v>
      </c>
      <c r="AG14" s="407">
        <f xml:space="preserve">
IF($A$4&lt;=12,SUMIFS('ON Data'!AL:AL,'ON Data'!$D:$D,$A$4,'ON Data'!$E:$E,5),SUMIFS('ON Data'!AL:AL,'ON Data'!$E:$E,5))</f>
        <v>0</v>
      </c>
      <c r="AH14" s="724">
        <f xml:space="preserve">
IF($A$4&lt;=12,SUMIFS('ON Data'!AN:AN,'ON Data'!$D:$D,$A$4,'ON Data'!$E:$E,5),SUMIFS('ON Data'!AN:AN,'ON Data'!$E:$E,5))</f>
        <v>0</v>
      </c>
      <c r="AI14" s="733"/>
    </row>
    <row r="15" spans="1:35" x14ac:dyDescent="0.3">
      <c r="A15" s="281" t="s">
        <v>243</v>
      </c>
      <c r="B15" s="408"/>
      <c r="C15" s="409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725"/>
      <c r="AI15" s="733"/>
    </row>
    <row r="16" spans="1:35" x14ac:dyDescent="0.3">
      <c r="A16" s="387" t="s">
        <v>234</v>
      </c>
      <c r="B16" s="402">
        <f xml:space="preserve">
IF($A$4&lt;=12,SUMIFS('ON Data'!F:F,'ON Data'!$D:$D,$A$4,'ON Data'!$E:$E,7),SUMIFS('ON Data'!F:F,'ON Data'!$E:$E,7))</f>
        <v>0</v>
      </c>
      <c r="C16" s="403">
        <f xml:space="preserve">
IF($A$4&lt;=12,SUMIFS('ON Data'!G:G,'ON Data'!$D:$D,$A$4,'ON Data'!$E:$E,7),SUMIFS('ON Data'!G:G,'ON Data'!$E:$E,7))</f>
        <v>0</v>
      </c>
      <c r="D16" s="404">
        <f xml:space="preserve">
IF($A$4&lt;=12,SUMIFS('ON Data'!H:H,'ON Data'!$D:$D,$A$4,'ON Data'!$E:$E,7),SUMIFS('ON Data'!H:H,'ON Data'!$E:$E,7))</f>
        <v>0</v>
      </c>
      <c r="E16" s="404">
        <f xml:space="preserve">
IF($A$4&lt;=12,SUMIFS('ON Data'!I:I,'ON Data'!$D:$D,$A$4,'ON Data'!$E:$E,7),SUMIFS('ON Data'!I:I,'ON Data'!$E:$E,7))</f>
        <v>0</v>
      </c>
      <c r="F16" s="404">
        <f xml:space="preserve">
IF($A$4&lt;=12,SUMIFS('ON Data'!K:K,'ON Data'!$D:$D,$A$4,'ON Data'!$E:$E,7),SUMIFS('ON Data'!K:K,'ON Data'!$E:$E,7))</f>
        <v>0</v>
      </c>
      <c r="G16" s="404">
        <f xml:space="preserve">
IF($A$4&lt;=12,SUMIFS('ON Data'!L:L,'ON Data'!$D:$D,$A$4,'ON Data'!$E:$E,7),SUMIFS('ON Data'!L:L,'ON Data'!$E:$E,7))</f>
        <v>0</v>
      </c>
      <c r="H16" s="404">
        <f xml:space="preserve">
IF($A$4&lt;=12,SUMIFS('ON Data'!M:M,'ON Data'!$D:$D,$A$4,'ON Data'!$E:$E,7),SUMIFS('ON Data'!M:M,'ON Data'!$E:$E,7))</f>
        <v>0</v>
      </c>
      <c r="I16" s="404">
        <f xml:space="preserve">
IF($A$4&lt;=12,SUMIFS('ON Data'!N:N,'ON Data'!$D:$D,$A$4,'ON Data'!$E:$E,7),SUMIFS('ON Data'!N:N,'ON Data'!$E:$E,7))</f>
        <v>0</v>
      </c>
      <c r="J16" s="404">
        <f xml:space="preserve">
IF($A$4&lt;=12,SUMIFS('ON Data'!O:O,'ON Data'!$D:$D,$A$4,'ON Data'!$E:$E,7),SUMIFS('ON Data'!O:O,'ON Data'!$E:$E,7))</f>
        <v>0</v>
      </c>
      <c r="K16" s="404">
        <f xml:space="preserve">
IF($A$4&lt;=12,SUMIFS('ON Data'!P:P,'ON Data'!$D:$D,$A$4,'ON Data'!$E:$E,7),SUMIFS('ON Data'!P:P,'ON Data'!$E:$E,7))</f>
        <v>0</v>
      </c>
      <c r="L16" s="404">
        <f xml:space="preserve">
IF($A$4&lt;=12,SUMIFS('ON Data'!Q:Q,'ON Data'!$D:$D,$A$4,'ON Data'!$E:$E,7),SUMIFS('ON Data'!Q:Q,'ON Data'!$E:$E,7))</f>
        <v>0</v>
      </c>
      <c r="M16" s="404">
        <f xml:space="preserve">
IF($A$4&lt;=12,SUMIFS('ON Data'!R:R,'ON Data'!$D:$D,$A$4,'ON Data'!$E:$E,7),SUMIFS('ON Data'!R:R,'ON Data'!$E:$E,7))</f>
        <v>0</v>
      </c>
      <c r="N16" s="404">
        <f xml:space="preserve">
IF($A$4&lt;=12,SUMIFS('ON Data'!S:S,'ON Data'!$D:$D,$A$4,'ON Data'!$E:$E,7),SUMIFS('ON Data'!S:S,'ON Data'!$E:$E,7))</f>
        <v>0</v>
      </c>
      <c r="O16" s="404">
        <f xml:space="preserve">
IF($A$4&lt;=12,SUMIFS('ON Data'!T:T,'ON Data'!$D:$D,$A$4,'ON Data'!$E:$E,7),SUMIFS('ON Data'!T:T,'ON Data'!$E:$E,7))</f>
        <v>0</v>
      </c>
      <c r="P16" s="404">
        <f xml:space="preserve">
IF($A$4&lt;=12,SUMIFS('ON Data'!U:U,'ON Data'!$D:$D,$A$4,'ON Data'!$E:$E,7),SUMIFS('ON Data'!U:U,'ON Data'!$E:$E,7))</f>
        <v>0</v>
      </c>
      <c r="Q16" s="404">
        <f xml:space="preserve">
IF($A$4&lt;=12,SUMIFS('ON Data'!V:V,'ON Data'!$D:$D,$A$4,'ON Data'!$E:$E,7),SUMIFS('ON Data'!V:V,'ON Data'!$E:$E,7))</f>
        <v>0</v>
      </c>
      <c r="R16" s="404">
        <f xml:space="preserve">
IF($A$4&lt;=12,SUMIFS('ON Data'!W:W,'ON Data'!$D:$D,$A$4,'ON Data'!$E:$E,7),SUMIFS('ON Data'!W:W,'ON Data'!$E:$E,7))</f>
        <v>0</v>
      </c>
      <c r="S16" s="404">
        <f xml:space="preserve">
IF($A$4&lt;=12,SUMIFS('ON Data'!X:X,'ON Data'!$D:$D,$A$4,'ON Data'!$E:$E,7),SUMIFS('ON Data'!X:X,'ON Data'!$E:$E,7))</f>
        <v>0</v>
      </c>
      <c r="T16" s="404">
        <f xml:space="preserve">
IF($A$4&lt;=12,SUMIFS('ON Data'!Y:Y,'ON Data'!$D:$D,$A$4,'ON Data'!$E:$E,7),SUMIFS('ON Data'!Y:Y,'ON Data'!$E:$E,7))</f>
        <v>0</v>
      </c>
      <c r="U16" s="404">
        <f xml:space="preserve">
IF($A$4&lt;=12,SUMIFS('ON Data'!Z:Z,'ON Data'!$D:$D,$A$4,'ON Data'!$E:$E,7),SUMIFS('ON Data'!Z:Z,'ON Data'!$E:$E,7))</f>
        <v>0</v>
      </c>
      <c r="V16" s="404">
        <f xml:space="preserve">
IF($A$4&lt;=12,SUMIFS('ON Data'!AA:AA,'ON Data'!$D:$D,$A$4,'ON Data'!$E:$E,7),SUMIFS('ON Data'!AA:AA,'ON Data'!$E:$E,7))</f>
        <v>0</v>
      </c>
      <c r="W16" s="404">
        <f xml:space="preserve">
IF($A$4&lt;=12,SUMIFS('ON Data'!AB:AB,'ON Data'!$D:$D,$A$4,'ON Data'!$E:$E,7),SUMIFS('ON Data'!AB:AB,'ON Data'!$E:$E,7))</f>
        <v>0</v>
      </c>
      <c r="X16" s="404">
        <f xml:space="preserve">
IF($A$4&lt;=12,SUMIFS('ON Data'!AC:AC,'ON Data'!$D:$D,$A$4,'ON Data'!$E:$E,7),SUMIFS('ON Data'!AC:AC,'ON Data'!$E:$E,7))</f>
        <v>0</v>
      </c>
      <c r="Y16" s="404">
        <f xml:space="preserve">
IF($A$4&lt;=12,SUMIFS('ON Data'!AD:AD,'ON Data'!$D:$D,$A$4,'ON Data'!$E:$E,7),SUMIFS('ON Data'!AD:AD,'ON Data'!$E:$E,7))</f>
        <v>0</v>
      </c>
      <c r="Z16" s="404">
        <f xml:space="preserve">
IF($A$4&lt;=12,SUMIFS('ON Data'!AE:AE,'ON Data'!$D:$D,$A$4,'ON Data'!$E:$E,7),SUMIFS('ON Data'!AE:AE,'ON Data'!$E:$E,7))</f>
        <v>0</v>
      </c>
      <c r="AA16" s="404">
        <f xml:space="preserve">
IF($A$4&lt;=12,SUMIFS('ON Data'!AF:AF,'ON Data'!$D:$D,$A$4,'ON Data'!$E:$E,7),SUMIFS('ON Data'!AF:AF,'ON Data'!$E:$E,7))</f>
        <v>0</v>
      </c>
      <c r="AB16" s="404">
        <f xml:space="preserve">
IF($A$4&lt;=12,SUMIFS('ON Data'!AG:AG,'ON Data'!$D:$D,$A$4,'ON Data'!$E:$E,7),SUMIFS('ON Data'!AG:AG,'ON Data'!$E:$E,7))</f>
        <v>0</v>
      </c>
      <c r="AC16" s="404">
        <f xml:space="preserve">
IF($A$4&lt;=12,SUMIFS('ON Data'!AH:AH,'ON Data'!$D:$D,$A$4,'ON Data'!$E:$E,7),SUMIFS('ON Data'!AH:AH,'ON Data'!$E:$E,7))</f>
        <v>0</v>
      </c>
      <c r="AD16" s="404">
        <f xml:space="preserve">
IF($A$4&lt;=12,SUMIFS('ON Data'!AI:AI,'ON Data'!$D:$D,$A$4,'ON Data'!$E:$E,7),SUMIFS('ON Data'!AI:AI,'ON Data'!$E:$E,7))</f>
        <v>0</v>
      </c>
      <c r="AE16" s="404">
        <f xml:space="preserve">
IF($A$4&lt;=12,SUMIFS('ON Data'!AJ:AJ,'ON Data'!$D:$D,$A$4,'ON Data'!$E:$E,7),SUMIFS('ON Data'!AJ:AJ,'ON Data'!$E:$E,7))</f>
        <v>0</v>
      </c>
      <c r="AF16" s="404">
        <f xml:space="preserve">
IF($A$4&lt;=12,SUMIFS('ON Data'!AK:AK,'ON Data'!$D:$D,$A$4,'ON Data'!$E:$E,7),SUMIFS('ON Data'!AK:AK,'ON Data'!$E:$E,7))</f>
        <v>0</v>
      </c>
      <c r="AG16" s="404">
        <f xml:space="preserve">
IF($A$4&lt;=12,SUMIFS('ON Data'!AL:AL,'ON Data'!$D:$D,$A$4,'ON Data'!$E:$E,7),SUMIFS('ON Data'!AL:AL,'ON Data'!$E:$E,7))</f>
        <v>0</v>
      </c>
      <c r="AH16" s="723">
        <f xml:space="preserve">
IF($A$4&lt;=12,SUMIFS('ON Data'!AN:AN,'ON Data'!$D:$D,$A$4,'ON Data'!$E:$E,7),SUMIFS('ON Data'!AN:AN,'ON Data'!$E:$E,7))</f>
        <v>0</v>
      </c>
      <c r="AI16" s="733"/>
    </row>
    <row r="17" spans="1:35" x14ac:dyDescent="0.3">
      <c r="A17" s="387" t="s">
        <v>235</v>
      </c>
      <c r="B17" s="402">
        <f xml:space="preserve">
IF($A$4&lt;=12,SUMIFS('ON Data'!F:F,'ON Data'!$D:$D,$A$4,'ON Data'!$E:$E,8),SUMIFS('ON Data'!F:F,'ON Data'!$E:$E,8))</f>
        <v>0</v>
      </c>
      <c r="C17" s="403">
        <f xml:space="preserve">
IF($A$4&lt;=12,SUMIFS('ON Data'!G:G,'ON Data'!$D:$D,$A$4,'ON Data'!$E:$E,8),SUMIFS('ON Data'!G:G,'ON Data'!$E:$E,8))</f>
        <v>0</v>
      </c>
      <c r="D17" s="404">
        <f xml:space="preserve">
IF($A$4&lt;=12,SUMIFS('ON Data'!H:H,'ON Data'!$D:$D,$A$4,'ON Data'!$E:$E,8),SUMIFS('ON Data'!H:H,'ON Data'!$E:$E,8))</f>
        <v>0</v>
      </c>
      <c r="E17" s="404">
        <f xml:space="preserve">
IF($A$4&lt;=12,SUMIFS('ON Data'!I:I,'ON Data'!$D:$D,$A$4,'ON Data'!$E:$E,8),SUMIFS('ON Data'!I:I,'ON Data'!$E:$E,8))</f>
        <v>0</v>
      </c>
      <c r="F17" s="404">
        <f xml:space="preserve">
IF($A$4&lt;=12,SUMIFS('ON Data'!K:K,'ON Data'!$D:$D,$A$4,'ON Data'!$E:$E,8),SUMIFS('ON Data'!K:K,'ON Data'!$E:$E,8))</f>
        <v>0</v>
      </c>
      <c r="G17" s="404">
        <f xml:space="preserve">
IF($A$4&lt;=12,SUMIFS('ON Data'!L:L,'ON Data'!$D:$D,$A$4,'ON Data'!$E:$E,8),SUMIFS('ON Data'!L:L,'ON Data'!$E:$E,8))</f>
        <v>0</v>
      </c>
      <c r="H17" s="404">
        <f xml:space="preserve">
IF($A$4&lt;=12,SUMIFS('ON Data'!M:M,'ON Data'!$D:$D,$A$4,'ON Data'!$E:$E,8),SUMIFS('ON Data'!M:M,'ON Data'!$E:$E,8))</f>
        <v>0</v>
      </c>
      <c r="I17" s="404">
        <f xml:space="preserve">
IF($A$4&lt;=12,SUMIFS('ON Data'!N:N,'ON Data'!$D:$D,$A$4,'ON Data'!$E:$E,8),SUMIFS('ON Data'!N:N,'ON Data'!$E:$E,8))</f>
        <v>0</v>
      </c>
      <c r="J17" s="404">
        <f xml:space="preserve">
IF($A$4&lt;=12,SUMIFS('ON Data'!O:O,'ON Data'!$D:$D,$A$4,'ON Data'!$E:$E,8),SUMIFS('ON Data'!O:O,'ON Data'!$E:$E,8))</f>
        <v>0</v>
      </c>
      <c r="K17" s="404">
        <f xml:space="preserve">
IF($A$4&lt;=12,SUMIFS('ON Data'!P:P,'ON Data'!$D:$D,$A$4,'ON Data'!$E:$E,8),SUMIFS('ON Data'!P:P,'ON Data'!$E:$E,8))</f>
        <v>0</v>
      </c>
      <c r="L17" s="404">
        <f xml:space="preserve">
IF($A$4&lt;=12,SUMIFS('ON Data'!Q:Q,'ON Data'!$D:$D,$A$4,'ON Data'!$E:$E,8),SUMIFS('ON Data'!Q:Q,'ON Data'!$E:$E,8))</f>
        <v>0</v>
      </c>
      <c r="M17" s="404">
        <f xml:space="preserve">
IF($A$4&lt;=12,SUMIFS('ON Data'!R:R,'ON Data'!$D:$D,$A$4,'ON Data'!$E:$E,8),SUMIFS('ON Data'!R:R,'ON Data'!$E:$E,8))</f>
        <v>0</v>
      </c>
      <c r="N17" s="404">
        <f xml:space="preserve">
IF($A$4&lt;=12,SUMIFS('ON Data'!S:S,'ON Data'!$D:$D,$A$4,'ON Data'!$E:$E,8),SUMIFS('ON Data'!S:S,'ON Data'!$E:$E,8))</f>
        <v>0</v>
      </c>
      <c r="O17" s="404">
        <f xml:space="preserve">
IF($A$4&lt;=12,SUMIFS('ON Data'!T:T,'ON Data'!$D:$D,$A$4,'ON Data'!$E:$E,8),SUMIFS('ON Data'!T:T,'ON Data'!$E:$E,8))</f>
        <v>0</v>
      </c>
      <c r="P17" s="404">
        <f xml:space="preserve">
IF($A$4&lt;=12,SUMIFS('ON Data'!U:U,'ON Data'!$D:$D,$A$4,'ON Data'!$E:$E,8),SUMIFS('ON Data'!U:U,'ON Data'!$E:$E,8))</f>
        <v>0</v>
      </c>
      <c r="Q17" s="404">
        <f xml:space="preserve">
IF($A$4&lt;=12,SUMIFS('ON Data'!V:V,'ON Data'!$D:$D,$A$4,'ON Data'!$E:$E,8),SUMIFS('ON Data'!V:V,'ON Data'!$E:$E,8))</f>
        <v>0</v>
      </c>
      <c r="R17" s="404">
        <f xml:space="preserve">
IF($A$4&lt;=12,SUMIFS('ON Data'!W:W,'ON Data'!$D:$D,$A$4,'ON Data'!$E:$E,8),SUMIFS('ON Data'!W:W,'ON Data'!$E:$E,8))</f>
        <v>0</v>
      </c>
      <c r="S17" s="404">
        <f xml:space="preserve">
IF($A$4&lt;=12,SUMIFS('ON Data'!X:X,'ON Data'!$D:$D,$A$4,'ON Data'!$E:$E,8),SUMIFS('ON Data'!X:X,'ON Data'!$E:$E,8))</f>
        <v>0</v>
      </c>
      <c r="T17" s="404">
        <f xml:space="preserve">
IF($A$4&lt;=12,SUMIFS('ON Data'!Y:Y,'ON Data'!$D:$D,$A$4,'ON Data'!$E:$E,8),SUMIFS('ON Data'!Y:Y,'ON Data'!$E:$E,8))</f>
        <v>0</v>
      </c>
      <c r="U17" s="404">
        <f xml:space="preserve">
IF($A$4&lt;=12,SUMIFS('ON Data'!Z:Z,'ON Data'!$D:$D,$A$4,'ON Data'!$E:$E,8),SUMIFS('ON Data'!Z:Z,'ON Data'!$E:$E,8))</f>
        <v>0</v>
      </c>
      <c r="V17" s="404">
        <f xml:space="preserve">
IF($A$4&lt;=12,SUMIFS('ON Data'!AA:AA,'ON Data'!$D:$D,$A$4,'ON Data'!$E:$E,8),SUMIFS('ON Data'!AA:AA,'ON Data'!$E:$E,8))</f>
        <v>0</v>
      </c>
      <c r="W17" s="404">
        <f xml:space="preserve">
IF($A$4&lt;=12,SUMIFS('ON Data'!AB:AB,'ON Data'!$D:$D,$A$4,'ON Data'!$E:$E,8),SUMIFS('ON Data'!AB:AB,'ON Data'!$E:$E,8))</f>
        <v>0</v>
      </c>
      <c r="X17" s="404">
        <f xml:space="preserve">
IF($A$4&lt;=12,SUMIFS('ON Data'!AC:AC,'ON Data'!$D:$D,$A$4,'ON Data'!$E:$E,8),SUMIFS('ON Data'!AC:AC,'ON Data'!$E:$E,8))</f>
        <v>0</v>
      </c>
      <c r="Y17" s="404">
        <f xml:space="preserve">
IF($A$4&lt;=12,SUMIFS('ON Data'!AD:AD,'ON Data'!$D:$D,$A$4,'ON Data'!$E:$E,8),SUMIFS('ON Data'!AD:AD,'ON Data'!$E:$E,8))</f>
        <v>0</v>
      </c>
      <c r="Z17" s="404">
        <f xml:space="preserve">
IF($A$4&lt;=12,SUMIFS('ON Data'!AE:AE,'ON Data'!$D:$D,$A$4,'ON Data'!$E:$E,8),SUMIFS('ON Data'!AE:AE,'ON Data'!$E:$E,8))</f>
        <v>0</v>
      </c>
      <c r="AA17" s="404">
        <f xml:space="preserve">
IF($A$4&lt;=12,SUMIFS('ON Data'!AF:AF,'ON Data'!$D:$D,$A$4,'ON Data'!$E:$E,8),SUMIFS('ON Data'!AF:AF,'ON Data'!$E:$E,8))</f>
        <v>0</v>
      </c>
      <c r="AB17" s="404">
        <f xml:space="preserve">
IF($A$4&lt;=12,SUMIFS('ON Data'!AG:AG,'ON Data'!$D:$D,$A$4,'ON Data'!$E:$E,8),SUMIFS('ON Data'!AG:AG,'ON Data'!$E:$E,8))</f>
        <v>0</v>
      </c>
      <c r="AC17" s="404">
        <f xml:space="preserve">
IF($A$4&lt;=12,SUMIFS('ON Data'!AH:AH,'ON Data'!$D:$D,$A$4,'ON Data'!$E:$E,8),SUMIFS('ON Data'!AH:AH,'ON Data'!$E:$E,8))</f>
        <v>0</v>
      </c>
      <c r="AD17" s="404">
        <f xml:space="preserve">
IF($A$4&lt;=12,SUMIFS('ON Data'!AI:AI,'ON Data'!$D:$D,$A$4,'ON Data'!$E:$E,8),SUMIFS('ON Data'!AI:AI,'ON Data'!$E:$E,8))</f>
        <v>0</v>
      </c>
      <c r="AE17" s="404">
        <f xml:space="preserve">
IF($A$4&lt;=12,SUMIFS('ON Data'!AJ:AJ,'ON Data'!$D:$D,$A$4,'ON Data'!$E:$E,8),SUMIFS('ON Data'!AJ:AJ,'ON Data'!$E:$E,8))</f>
        <v>0</v>
      </c>
      <c r="AF17" s="404">
        <f xml:space="preserve">
IF($A$4&lt;=12,SUMIFS('ON Data'!AK:AK,'ON Data'!$D:$D,$A$4,'ON Data'!$E:$E,8),SUMIFS('ON Data'!AK:AK,'ON Data'!$E:$E,8))</f>
        <v>0</v>
      </c>
      <c r="AG17" s="404">
        <f xml:space="preserve">
IF($A$4&lt;=12,SUMIFS('ON Data'!AL:AL,'ON Data'!$D:$D,$A$4,'ON Data'!$E:$E,8),SUMIFS('ON Data'!AL:AL,'ON Data'!$E:$E,8))</f>
        <v>0</v>
      </c>
      <c r="AH17" s="723">
        <f xml:space="preserve">
IF($A$4&lt;=12,SUMIFS('ON Data'!AN:AN,'ON Data'!$D:$D,$A$4,'ON Data'!$E:$E,8),SUMIFS('ON Data'!AN:AN,'ON Data'!$E:$E,8))</f>
        <v>0</v>
      </c>
      <c r="AI17" s="733"/>
    </row>
    <row r="18" spans="1:35" x14ac:dyDescent="0.3">
      <c r="A18" s="387" t="s">
        <v>236</v>
      </c>
      <c r="B18" s="402">
        <f xml:space="preserve">
B19-B16-B17</f>
        <v>111200</v>
      </c>
      <c r="C18" s="403">
        <f t="shared" ref="C18:G18" si="0" xml:space="preserve">
C19-C16-C17</f>
        <v>0</v>
      </c>
      <c r="D18" s="404">
        <f t="shared" si="0"/>
        <v>0</v>
      </c>
      <c r="E18" s="404">
        <f t="shared" si="0"/>
        <v>96200</v>
      </c>
      <c r="F18" s="404">
        <f t="shared" si="0"/>
        <v>15000</v>
      </c>
      <c r="G18" s="404">
        <f t="shared" si="0"/>
        <v>0</v>
      </c>
      <c r="H18" s="404">
        <f t="shared" ref="H18:AH18" si="1" xml:space="preserve">
H19-H16-H17</f>
        <v>0</v>
      </c>
      <c r="I18" s="404">
        <f t="shared" si="1"/>
        <v>0</v>
      </c>
      <c r="J18" s="404">
        <f t="shared" si="1"/>
        <v>0</v>
      </c>
      <c r="K18" s="404">
        <f t="shared" si="1"/>
        <v>0</v>
      </c>
      <c r="L18" s="404">
        <f t="shared" si="1"/>
        <v>0</v>
      </c>
      <c r="M18" s="404">
        <f t="shared" si="1"/>
        <v>0</v>
      </c>
      <c r="N18" s="404">
        <f t="shared" si="1"/>
        <v>0</v>
      </c>
      <c r="O18" s="404">
        <f t="shared" si="1"/>
        <v>0</v>
      </c>
      <c r="P18" s="404">
        <f t="shared" si="1"/>
        <v>0</v>
      </c>
      <c r="Q18" s="404">
        <f t="shared" si="1"/>
        <v>0</v>
      </c>
      <c r="R18" s="404">
        <f t="shared" si="1"/>
        <v>0</v>
      </c>
      <c r="S18" s="404">
        <f t="shared" si="1"/>
        <v>0</v>
      </c>
      <c r="T18" s="404">
        <f t="shared" si="1"/>
        <v>0</v>
      </c>
      <c r="U18" s="404">
        <f t="shared" si="1"/>
        <v>0</v>
      </c>
      <c r="V18" s="404">
        <f t="shared" si="1"/>
        <v>0</v>
      </c>
      <c r="W18" s="404">
        <f t="shared" si="1"/>
        <v>0</v>
      </c>
      <c r="X18" s="404">
        <f t="shared" si="1"/>
        <v>0</v>
      </c>
      <c r="Y18" s="404">
        <f t="shared" si="1"/>
        <v>0</v>
      </c>
      <c r="Z18" s="404">
        <f t="shared" si="1"/>
        <v>0</v>
      </c>
      <c r="AA18" s="404">
        <f t="shared" si="1"/>
        <v>0</v>
      </c>
      <c r="AB18" s="404">
        <f t="shared" si="1"/>
        <v>0</v>
      </c>
      <c r="AC18" s="404">
        <f t="shared" si="1"/>
        <v>0</v>
      </c>
      <c r="AD18" s="404">
        <f t="shared" si="1"/>
        <v>0</v>
      </c>
      <c r="AE18" s="404">
        <f t="shared" si="1"/>
        <v>0</v>
      </c>
      <c r="AF18" s="404">
        <f t="shared" si="1"/>
        <v>0</v>
      </c>
      <c r="AG18" s="404">
        <f t="shared" si="1"/>
        <v>0</v>
      </c>
      <c r="AH18" s="723">
        <f t="shared" si="1"/>
        <v>0</v>
      </c>
      <c r="AI18" s="733"/>
    </row>
    <row r="19" spans="1:35" ht="15" thickBot="1" x14ac:dyDescent="0.35">
      <c r="A19" s="388" t="s">
        <v>237</v>
      </c>
      <c r="B19" s="411">
        <f xml:space="preserve">
IF($A$4&lt;=12,SUMIFS('ON Data'!F:F,'ON Data'!$D:$D,$A$4,'ON Data'!$E:$E,9),SUMIFS('ON Data'!F:F,'ON Data'!$E:$E,9))</f>
        <v>111200</v>
      </c>
      <c r="C19" s="412">
        <f xml:space="preserve">
IF($A$4&lt;=12,SUMIFS('ON Data'!G:G,'ON Data'!$D:$D,$A$4,'ON Data'!$E:$E,9),SUMIFS('ON Data'!G:G,'ON Data'!$E:$E,9))</f>
        <v>0</v>
      </c>
      <c r="D19" s="413">
        <f xml:space="preserve">
IF($A$4&lt;=12,SUMIFS('ON Data'!H:H,'ON Data'!$D:$D,$A$4,'ON Data'!$E:$E,9),SUMIFS('ON Data'!H:H,'ON Data'!$E:$E,9))</f>
        <v>0</v>
      </c>
      <c r="E19" s="413">
        <f xml:space="preserve">
IF($A$4&lt;=12,SUMIFS('ON Data'!I:I,'ON Data'!$D:$D,$A$4,'ON Data'!$E:$E,9),SUMIFS('ON Data'!I:I,'ON Data'!$E:$E,9))</f>
        <v>96200</v>
      </c>
      <c r="F19" s="413">
        <f xml:space="preserve">
IF($A$4&lt;=12,SUMIFS('ON Data'!K:K,'ON Data'!$D:$D,$A$4,'ON Data'!$E:$E,9),SUMIFS('ON Data'!K:K,'ON Data'!$E:$E,9))</f>
        <v>15000</v>
      </c>
      <c r="G19" s="413">
        <f xml:space="preserve">
IF($A$4&lt;=12,SUMIFS('ON Data'!L:L,'ON Data'!$D:$D,$A$4,'ON Data'!$E:$E,9),SUMIFS('ON Data'!L:L,'ON Data'!$E:$E,9))</f>
        <v>0</v>
      </c>
      <c r="H19" s="413">
        <f xml:space="preserve">
IF($A$4&lt;=12,SUMIFS('ON Data'!M:M,'ON Data'!$D:$D,$A$4,'ON Data'!$E:$E,9),SUMIFS('ON Data'!M:M,'ON Data'!$E:$E,9))</f>
        <v>0</v>
      </c>
      <c r="I19" s="413">
        <f xml:space="preserve">
IF($A$4&lt;=12,SUMIFS('ON Data'!N:N,'ON Data'!$D:$D,$A$4,'ON Data'!$E:$E,9),SUMIFS('ON Data'!N:N,'ON Data'!$E:$E,9))</f>
        <v>0</v>
      </c>
      <c r="J19" s="413">
        <f xml:space="preserve">
IF($A$4&lt;=12,SUMIFS('ON Data'!O:O,'ON Data'!$D:$D,$A$4,'ON Data'!$E:$E,9),SUMIFS('ON Data'!O:O,'ON Data'!$E:$E,9))</f>
        <v>0</v>
      </c>
      <c r="K19" s="413">
        <f xml:space="preserve">
IF($A$4&lt;=12,SUMIFS('ON Data'!P:P,'ON Data'!$D:$D,$A$4,'ON Data'!$E:$E,9),SUMIFS('ON Data'!P:P,'ON Data'!$E:$E,9))</f>
        <v>0</v>
      </c>
      <c r="L19" s="413">
        <f xml:space="preserve">
IF($A$4&lt;=12,SUMIFS('ON Data'!Q:Q,'ON Data'!$D:$D,$A$4,'ON Data'!$E:$E,9),SUMIFS('ON Data'!Q:Q,'ON Data'!$E:$E,9))</f>
        <v>0</v>
      </c>
      <c r="M19" s="413">
        <f xml:space="preserve">
IF($A$4&lt;=12,SUMIFS('ON Data'!R:R,'ON Data'!$D:$D,$A$4,'ON Data'!$E:$E,9),SUMIFS('ON Data'!R:R,'ON Data'!$E:$E,9))</f>
        <v>0</v>
      </c>
      <c r="N19" s="413">
        <f xml:space="preserve">
IF($A$4&lt;=12,SUMIFS('ON Data'!S:S,'ON Data'!$D:$D,$A$4,'ON Data'!$E:$E,9),SUMIFS('ON Data'!S:S,'ON Data'!$E:$E,9))</f>
        <v>0</v>
      </c>
      <c r="O19" s="413">
        <f xml:space="preserve">
IF($A$4&lt;=12,SUMIFS('ON Data'!T:T,'ON Data'!$D:$D,$A$4,'ON Data'!$E:$E,9),SUMIFS('ON Data'!T:T,'ON Data'!$E:$E,9))</f>
        <v>0</v>
      </c>
      <c r="P19" s="413">
        <f xml:space="preserve">
IF($A$4&lt;=12,SUMIFS('ON Data'!U:U,'ON Data'!$D:$D,$A$4,'ON Data'!$E:$E,9),SUMIFS('ON Data'!U:U,'ON Data'!$E:$E,9))</f>
        <v>0</v>
      </c>
      <c r="Q19" s="413">
        <f xml:space="preserve">
IF($A$4&lt;=12,SUMIFS('ON Data'!V:V,'ON Data'!$D:$D,$A$4,'ON Data'!$E:$E,9),SUMIFS('ON Data'!V:V,'ON Data'!$E:$E,9))</f>
        <v>0</v>
      </c>
      <c r="R19" s="413">
        <f xml:space="preserve">
IF($A$4&lt;=12,SUMIFS('ON Data'!W:W,'ON Data'!$D:$D,$A$4,'ON Data'!$E:$E,9),SUMIFS('ON Data'!W:W,'ON Data'!$E:$E,9))</f>
        <v>0</v>
      </c>
      <c r="S19" s="413">
        <f xml:space="preserve">
IF($A$4&lt;=12,SUMIFS('ON Data'!X:X,'ON Data'!$D:$D,$A$4,'ON Data'!$E:$E,9),SUMIFS('ON Data'!X:X,'ON Data'!$E:$E,9))</f>
        <v>0</v>
      </c>
      <c r="T19" s="413">
        <f xml:space="preserve">
IF($A$4&lt;=12,SUMIFS('ON Data'!Y:Y,'ON Data'!$D:$D,$A$4,'ON Data'!$E:$E,9),SUMIFS('ON Data'!Y:Y,'ON Data'!$E:$E,9))</f>
        <v>0</v>
      </c>
      <c r="U19" s="413">
        <f xml:space="preserve">
IF($A$4&lt;=12,SUMIFS('ON Data'!Z:Z,'ON Data'!$D:$D,$A$4,'ON Data'!$E:$E,9),SUMIFS('ON Data'!Z:Z,'ON Data'!$E:$E,9))</f>
        <v>0</v>
      </c>
      <c r="V19" s="413">
        <f xml:space="preserve">
IF($A$4&lt;=12,SUMIFS('ON Data'!AA:AA,'ON Data'!$D:$D,$A$4,'ON Data'!$E:$E,9),SUMIFS('ON Data'!AA:AA,'ON Data'!$E:$E,9))</f>
        <v>0</v>
      </c>
      <c r="W19" s="413">
        <f xml:space="preserve">
IF($A$4&lt;=12,SUMIFS('ON Data'!AB:AB,'ON Data'!$D:$D,$A$4,'ON Data'!$E:$E,9),SUMIFS('ON Data'!AB:AB,'ON Data'!$E:$E,9))</f>
        <v>0</v>
      </c>
      <c r="X19" s="413">
        <f xml:space="preserve">
IF($A$4&lt;=12,SUMIFS('ON Data'!AC:AC,'ON Data'!$D:$D,$A$4,'ON Data'!$E:$E,9),SUMIFS('ON Data'!AC:AC,'ON Data'!$E:$E,9))</f>
        <v>0</v>
      </c>
      <c r="Y19" s="413">
        <f xml:space="preserve">
IF($A$4&lt;=12,SUMIFS('ON Data'!AD:AD,'ON Data'!$D:$D,$A$4,'ON Data'!$E:$E,9),SUMIFS('ON Data'!AD:AD,'ON Data'!$E:$E,9))</f>
        <v>0</v>
      </c>
      <c r="Z19" s="413">
        <f xml:space="preserve">
IF($A$4&lt;=12,SUMIFS('ON Data'!AE:AE,'ON Data'!$D:$D,$A$4,'ON Data'!$E:$E,9),SUMIFS('ON Data'!AE:AE,'ON Data'!$E:$E,9))</f>
        <v>0</v>
      </c>
      <c r="AA19" s="413">
        <f xml:space="preserve">
IF($A$4&lt;=12,SUMIFS('ON Data'!AF:AF,'ON Data'!$D:$D,$A$4,'ON Data'!$E:$E,9),SUMIFS('ON Data'!AF:AF,'ON Data'!$E:$E,9))</f>
        <v>0</v>
      </c>
      <c r="AB19" s="413">
        <f xml:space="preserve">
IF($A$4&lt;=12,SUMIFS('ON Data'!AG:AG,'ON Data'!$D:$D,$A$4,'ON Data'!$E:$E,9),SUMIFS('ON Data'!AG:AG,'ON Data'!$E:$E,9))</f>
        <v>0</v>
      </c>
      <c r="AC19" s="413">
        <f xml:space="preserve">
IF($A$4&lt;=12,SUMIFS('ON Data'!AH:AH,'ON Data'!$D:$D,$A$4,'ON Data'!$E:$E,9),SUMIFS('ON Data'!AH:AH,'ON Data'!$E:$E,9))</f>
        <v>0</v>
      </c>
      <c r="AD19" s="413">
        <f xml:space="preserve">
IF($A$4&lt;=12,SUMIFS('ON Data'!AI:AI,'ON Data'!$D:$D,$A$4,'ON Data'!$E:$E,9),SUMIFS('ON Data'!AI:AI,'ON Data'!$E:$E,9))</f>
        <v>0</v>
      </c>
      <c r="AE19" s="413">
        <f xml:space="preserve">
IF($A$4&lt;=12,SUMIFS('ON Data'!AJ:AJ,'ON Data'!$D:$D,$A$4,'ON Data'!$E:$E,9),SUMIFS('ON Data'!AJ:AJ,'ON Data'!$E:$E,9))</f>
        <v>0</v>
      </c>
      <c r="AF19" s="413">
        <f xml:space="preserve">
IF($A$4&lt;=12,SUMIFS('ON Data'!AK:AK,'ON Data'!$D:$D,$A$4,'ON Data'!$E:$E,9),SUMIFS('ON Data'!AK:AK,'ON Data'!$E:$E,9))</f>
        <v>0</v>
      </c>
      <c r="AG19" s="413">
        <f xml:space="preserve">
IF($A$4&lt;=12,SUMIFS('ON Data'!AL:AL,'ON Data'!$D:$D,$A$4,'ON Data'!$E:$E,9),SUMIFS('ON Data'!AL:AL,'ON Data'!$E:$E,9))</f>
        <v>0</v>
      </c>
      <c r="AH19" s="726">
        <f xml:space="preserve">
IF($A$4&lt;=12,SUMIFS('ON Data'!AN:AN,'ON Data'!$D:$D,$A$4,'ON Data'!$E:$E,9),SUMIFS('ON Data'!AN:AN,'ON Data'!$E:$E,9))</f>
        <v>0</v>
      </c>
      <c r="AI19" s="733"/>
    </row>
    <row r="20" spans="1:35" ht="15" collapsed="1" thickBot="1" x14ac:dyDescent="0.35">
      <c r="A20" s="389" t="s">
        <v>88</v>
      </c>
      <c r="B20" s="414">
        <f xml:space="preserve">
IF($A$4&lt;=12,SUMIFS('ON Data'!F:F,'ON Data'!$D:$D,$A$4,'ON Data'!$E:$E,6),SUMIFS('ON Data'!F:F,'ON Data'!$E:$E,6))</f>
        <v>9500349</v>
      </c>
      <c r="C20" s="415">
        <f xml:space="preserve">
IF($A$4&lt;=12,SUMIFS('ON Data'!G:G,'ON Data'!$D:$D,$A$4,'ON Data'!$E:$E,6),SUMIFS('ON Data'!G:G,'ON Data'!$E:$E,6))</f>
        <v>2683050</v>
      </c>
      <c r="D20" s="416">
        <f xml:space="preserve">
IF($A$4&lt;=12,SUMIFS('ON Data'!H:H,'ON Data'!$D:$D,$A$4,'ON Data'!$E:$E,6),SUMIFS('ON Data'!H:H,'ON Data'!$E:$E,6))</f>
        <v>0</v>
      </c>
      <c r="E20" s="416">
        <f xml:space="preserve">
IF($A$4&lt;=12,SUMIFS('ON Data'!I:I,'ON Data'!$D:$D,$A$4,'ON Data'!$E:$E,6),SUMIFS('ON Data'!I:I,'ON Data'!$E:$E,6))</f>
        <v>3089595</v>
      </c>
      <c r="F20" s="416">
        <f xml:space="preserve">
IF($A$4&lt;=12,SUMIFS('ON Data'!K:K,'ON Data'!$D:$D,$A$4,'ON Data'!$E:$E,6),SUMIFS('ON Data'!K:K,'ON Data'!$E:$E,6))</f>
        <v>3256255</v>
      </c>
      <c r="G20" s="416">
        <f xml:space="preserve">
IF($A$4&lt;=12,SUMIFS('ON Data'!L:L,'ON Data'!$D:$D,$A$4,'ON Data'!$E:$E,6),SUMIFS('ON Data'!L:L,'ON Data'!$E:$E,6))</f>
        <v>0</v>
      </c>
      <c r="H20" s="416">
        <f xml:space="preserve">
IF($A$4&lt;=12,SUMIFS('ON Data'!M:M,'ON Data'!$D:$D,$A$4,'ON Data'!$E:$E,6),SUMIFS('ON Data'!M:M,'ON Data'!$E:$E,6))</f>
        <v>0</v>
      </c>
      <c r="I20" s="416">
        <f xml:space="preserve">
IF($A$4&lt;=12,SUMIFS('ON Data'!N:N,'ON Data'!$D:$D,$A$4,'ON Data'!$E:$E,6),SUMIFS('ON Data'!N:N,'ON Data'!$E:$E,6))</f>
        <v>0</v>
      </c>
      <c r="J20" s="416">
        <f xml:space="preserve">
IF($A$4&lt;=12,SUMIFS('ON Data'!O:O,'ON Data'!$D:$D,$A$4,'ON Data'!$E:$E,6),SUMIFS('ON Data'!O:O,'ON Data'!$E:$E,6))</f>
        <v>0</v>
      </c>
      <c r="K20" s="416">
        <f xml:space="preserve">
IF($A$4&lt;=12,SUMIFS('ON Data'!P:P,'ON Data'!$D:$D,$A$4,'ON Data'!$E:$E,6),SUMIFS('ON Data'!P:P,'ON Data'!$E:$E,6))</f>
        <v>0</v>
      </c>
      <c r="L20" s="416">
        <f xml:space="preserve">
IF($A$4&lt;=12,SUMIFS('ON Data'!Q:Q,'ON Data'!$D:$D,$A$4,'ON Data'!$E:$E,6),SUMIFS('ON Data'!Q:Q,'ON Data'!$E:$E,6))</f>
        <v>0</v>
      </c>
      <c r="M20" s="416">
        <f xml:space="preserve">
IF($A$4&lt;=12,SUMIFS('ON Data'!R:R,'ON Data'!$D:$D,$A$4,'ON Data'!$E:$E,6),SUMIFS('ON Data'!R:R,'ON Data'!$E:$E,6))</f>
        <v>88215</v>
      </c>
      <c r="N20" s="416">
        <f xml:space="preserve">
IF($A$4&lt;=12,SUMIFS('ON Data'!S:S,'ON Data'!$D:$D,$A$4,'ON Data'!$E:$E,6),SUMIFS('ON Data'!S:S,'ON Data'!$E:$E,6))</f>
        <v>0</v>
      </c>
      <c r="O20" s="416">
        <f xml:space="preserve">
IF($A$4&lt;=12,SUMIFS('ON Data'!T:T,'ON Data'!$D:$D,$A$4,'ON Data'!$E:$E,6),SUMIFS('ON Data'!T:T,'ON Data'!$E:$E,6))</f>
        <v>0</v>
      </c>
      <c r="P20" s="416">
        <f xml:space="preserve">
IF($A$4&lt;=12,SUMIFS('ON Data'!U:U,'ON Data'!$D:$D,$A$4,'ON Data'!$E:$E,6),SUMIFS('ON Data'!U:U,'ON Data'!$E:$E,6))</f>
        <v>0</v>
      </c>
      <c r="Q20" s="416">
        <f xml:space="preserve">
IF($A$4&lt;=12,SUMIFS('ON Data'!V:V,'ON Data'!$D:$D,$A$4,'ON Data'!$E:$E,6),SUMIFS('ON Data'!V:V,'ON Data'!$E:$E,6))</f>
        <v>0</v>
      </c>
      <c r="R20" s="416">
        <f xml:space="preserve">
IF($A$4&lt;=12,SUMIFS('ON Data'!W:W,'ON Data'!$D:$D,$A$4,'ON Data'!$E:$E,6),SUMIFS('ON Data'!W:W,'ON Data'!$E:$E,6))</f>
        <v>0</v>
      </c>
      <c r="S20" s="416">
        <f xml:space="preserve">
IF($A$4&lt;=12,SUMIFS('ON Data'!X:X,'ON Data'!$D:$D,$A$4,'ON Data'!$E:$E,6),SUMIFS('ON Data'!X:X,'ON Data'!$E:$E,6))</f>
        <v>0</v>
      </c>
      <c r="T20" s="416">
        <f xml:space="preserve">
IF($A$4&lt;=12,SUMIFS('ON Data'!Y:Y,'ON Data'!$D:$D,$A$4,'ON Data'!$E:$E,6),SUMIFS('ON Data'!Y:Y,'ON Data'!$E:$E,6))</f>
        <v>0</v>
      </c>
      <c r="U20" s="416">
        <f xml:space="preserve">
IF($A$4&lt;=12,SUMIFS('ON Data'!Z:Z,'ON Data'!$D:$D,$A$4,'ON Data'!$E:$E,6),SUMIFS('ON Data'!Z:Z,'ON Data'!$E:$E,6))</f>
        <v>0</v>
      </c>
      <c r="V20" s="416">
        <f xml:space="preserve">
IF($A$4&lt;=12,SUMIFS('ON Data'!AA:AA,'ON Data'!$D:$D,$A$4,'ON Data'!$E:$E,6),SUMIFS('ON Data'!AA:AA,'ON Data'!$E:$E,6))</f>
        <v>0</v>
      </c>
      <c r="W20" s="416">
        <f xml:space="preserve">
IF($A$4&lt;=12,SUMIFS('ON Data'!AB:AB,'ON Data'!$D:$D,$A$4,'ON Data'!$E:$E,6),SUMIFS('ON Data'!AB:AB,'ON Data'!$E:$E,6))</f>
        <v>0</v>
      </c>
      <c r="X20" s="416">
        <f xml:space="preserve">
IF($A$4&lt;=12,SUMIFS('ON Data'!AC:AC,'ON Data'!$D:$D,$A$4,'ON Data'!$E:$E,6),SUMIFS('ON Data'!AC:AC,'ON Data'!$E:$E,6))</f>
        <v>0</v>
      </c>
      <c r="Y20" s="416">
        <f xml:space="preserve">
IF($A$4&lt;=12,SUMIFS('ON Data'!AD:AD,'ON Data'!$D:$D,$A$4,'ON Data'!$E:$E,6),SUMIFS('ON Data'!AD:AD,'ON Data'!$E:$E,6))</f>
        <v>0</v>
      </c>
      <c r="Z20" s="416">
        <f xml:space="preserve">
IF($A$4&lt;=12,SUMIFS('ON Data'!AE:AE,'ON Data'!$D:$D,$A$4,'ON Data'!$E:$E,6),SUMIFS('ON Data'!AE:AE,'ON Data'!$E:$E,6))</f>
        <v>0</v>
      </c>
      <c r="AA20" s="416">
        <f xml:space="preserve">
IF($A$4&lt;=12,SUMIFS('ON Data'!AF:AF,'ON Data'!$D:$D,$A$4,'ON Data'!$E:$E,6),SUMIFS('ON Data'!AF:AF,'ON Data'!$E:$E,6))</f>
        <v>126165</v>
      </c>
      <c r="AB20" s="416">
        <f xml:space="preserve">
IF($A$4&lt;=12,SUMIFS('ON Data'!AG:AG,'ON Data'!$D:$D,$A$4,'ON Data'!$E:$E,6),SUMIFS('ON Data'!AG:AG,'ON Data'!$E:$E,6))</f>
        <v>0</v>
      </c>
      <c r="AC20" s="416">
        <f xml:space="preserve">
IF($A$4&lt;=12,SUMIFS('ON Data'!AH:AH,'ON Data'!$D:$D,$A$4,'ON Data'!$E:$E,6),SUMIFS('ON Data'!AH:AH,'ON Data'!$E:$E,6))</f>
        <v>0</v>
      </c>
      <c r="AD20" s="416">
        <f xml:space="preserve">
IF($A$4&lt;=12,SUMIFS('ON Data'!AI:AI,'ON Data'!$D:$D,$A$4,'ON Data'!$E:$E,6),SUMIFS('ON Data'!AI:AI,'ON Data'!$E:$E,6))</f>
        <v>223685</v>
      </c>
      <c r="AE20" s="416">
        <f xml:space="preserve">
IF($A$4&lt;=12,SUMIFS('ON Data'!AJ:AJ,'ON Data'!$D:$D,$A$4,'ON Data'!$E:$E,6),SUMIFS('ON Data'!AJ:AJ,'ON Data'!$E:$E,6))</f>
        <v>0</v>
      </c>
      <c r="AF20" s="416">
        <f xml:space="preserve">
IF($A$4&lt;=12,SUMIFS('ON Data'!AK:AK,'ON Data'!$D:$D,$A$4,'ON Data'!$E:$E,6),SUMIFS('ON Data'!AK:AK,'ON Data'!$E:$E,6))</f>
        <v>0</v>
      </c>
      <c r="AG20" s="416">
        <f xml:space="preserve">
IF($A$4&lt;=12,SUMIFS('ON Data'!AL:AL,'ON Data'!$D:$D,$A$4,'ON Data'!$E:$E,6),SUMIFS('ON Data'!AL:AL,'ON Data'!$E:$E,6))</f>
        <v>0</v>
      </c>
      <c r="AH20" s="727">
        <f xml:space="preserve">
IF($A$4&lt;=12,SUMIFS('ON Data'!AN:AN,'ON Data'!$D:$D,$A$4,'ON Data'!$E:$E,6),SUMIFS('ON Data'!AN:AN,'ON Data'!$E:$E,6))</f>
        <v>33384</v>
      </c>
      <c r="AI20" s="733"/>
    </row>
    <row r="21" spans="1:35" ht="15" hidden="1" outlineLevel="1" thickBot="1" x14ac:dyDescent="0.35">
      <c r="A21" s="382" t="s">
        <v>125</v>
      </c>
      <c r="B21" s="402">
        <f xml:space="preserve">
IF($A$4&lt;=12,SUMIFS('ON Data'!F:F,'ON Data'!$D:$D,$A$4,'ON Data'!$E:$E,12),SUMIFS('ON Data'!F:F,'ON Data'!$E:$E,12))</f>
        <v>0</v>
      </c>
      <c r="C21" s="403">
        <f xml:space="preserve">
IF($A$4&lt;=12,SUMIFS('ON Data'!G:G,'ON Data'!$D:$D,$A$4,'ON Data'!$E:$E,12),SUMIFS('ON Data'!G:G,'ON Data'!$E:$E,12))</f>
        <v>0</v>
      </c>
      <c r="D21" s="404">
        <f xml:space="preserve">
IF($A$4&lt;=12,SUMIFS('ON Data'!H:H,'ON Data'!$D:$D,$A$4,'ON Data'!$E:$E,12),SUMIFS('ON Data'!H:H,'ON Data'!$E:$E,12))</f>
        <v>0</v>
      </c>
      <c r="E21" s="404">
        <f xml:space="preserve">
IF($A$4&lt;=12,SUMIFS('ON Data'!I:I,'ON Data'!$D:$D,$A$4,'ON Data'!$E:$E,12),SUMIFS('ON Data'!I:I,'ON Data'!$E:$E,12))</f>
        <v>0</v>
      </c>
      <c r="F21" s="404">
        <f xml:space="preserve">
IF($A$4&lt;=12,SUMIFS('ON Data'!K:K,'ON Data'!$D:$D,$A$4,'ON Data'!$E:$E,12),SUMIFS('ON Data'!K:K,'ON Data'!$E:$E,12))</f>
        <v>0</v>
      </c>
      <c r="G21" s="404">
        <f xml:space="preserve">
IF($A$4&lt;=12,SUMIFS('ON Data'!L:L,'ON Data'!$D:$D,$A$4,'ON Data'!$E:$E,12),SUMIFS('ON Data'!L:L,'ON Data'!$E:$E,12))</f>
        <v>0</v>
      </c>
      <c r="H21" s="404">
        <f xml:space="preserve">
IF($A$4&lt;=12,SUMIFS('ON Data'!M:M,'ON Data'!$D:$D,$A$4,'ON Data'!$E:$E,12),SUMIFS('ON Data'!M:M,'ON Data'!$E:$E,12))</f>
        <v>0</v>
      </c>
      <c r="I21" s="404">
        <f xml:space="preserve">
IF($A$4&lt;=12,SUMIFS('ON Data'!N:N,'ON Data'!$D:$D,$A$4,'ON Data'!$E:$E,12),SUMIFS('ON Data'!N:N,'ON Data'!$E:$E,12))</f>
        <v>0</v>
      </c>
      <c r="J21" s="404">
        <f xml:space="preserve">
IF($A$4&lt;=12,SUMIFS('ON Data'!O:O,'ON Data'!$D:$D,$A$4,'ON Data'!$E:$E,12),SUMIFS('ON Data'!O:O,'ON Data'!$E:$E,12))</f>
        <v>0</v>
      </c>
      <c r="K21" s="404">
        <f xml:space="preserve">
IF($A$4&lt;=12,SUMIFS('ON Data'!P:P,'ON Data'!$D:$D,$A$4,'ON Data'!$E:$E,12),SUMIFS('ON Data'!P:P,'ON Data'!$E:$E,12))</f>
        <v>0</v>
      </c>
      <c r="L21" s="404">
        <f xml:space="preserve">
IF($A$4&lt;=12,SUMIFS('ON Data'!Q:Q,'ON Data'!$D:$D,$A$4,'ON Data'!$E:$E,12),SUMIFS('ON Data'!Q:Q,'ON Data'!$E:$E,12))</f>
        <v>0</v>
      </c>
      <c r="M21" s="404">
        <f xml:space="preserve">
IF($A$4&lt;=12,SUMIFS('ON Data'!R:R,'ON Data'!$D:$D,$A$4,'ON Data'!$E:$E,12),SUMIFS('ON Data'!R:R,'ON Data'!$E:$E,12))</f>
        <v>0</v>
      </c>
      <c r="N21" s="404">
        <f xml:space="preserve">
IF($A$4&lt;=12,SUMIFS('ON Data'!S:S,'ON Data'!$D:$D,$A$4,'ON Data'!$E:$E,12),SUMIFS('ON Data'!S:S,'ON Data'!$E:$E,12))</f>
        <v>0</v>
      </c>
      <c r="O21" s="404">
        <f xml:space="preserve">
IF($A$4&lt;=12,SUMIFS('ON Data'!T:T,'ON Data'!$D:$D,$A$4,'ON Data'!$E:$E,12),SUMIFS('ON Data'!T:T,'ON Data'!$E:$E,12))</f>
        <v>0</v>
      </c>
      <c r="P21" s="404">
        <f xml:space="preserve">
IF($A$4&lt;=12,SUMIFS('ON Data'!U:U,'ON Data'!$D:$D,$A$4,'ON Data'!$E:$E,12),SUMIFS('ON Data'!U:U,'ON Data'!$E:$E,12))</f>
        <v>0</v>
      </c>
      <c r="Q21" s="404">
        <f xml:space="preserve">
IF($A$4&lt;=12,SUMIFS('ON Data'!V:V,'ON Data'!$D:$D,$A$4,'ON Data'!$E:$E,12),SUMIFS('ON Data'!V:V,'ON Data'!$E:$E,12))</f>
        <v>0</v>
      </c>
      <c r="R21" s="404">
        <f xml:space="preserve">
IF($A$4&lt;=12,SUMIFS('ON Data'!W:W,'ON Data'!$D:$D,$A$4,'ON Data'!$E:$E,12),SUMIFS('ON Data'!W:W,'ON Data'!$E:$E,12))</f>
        <v>0</v>
      </c>
      <c r="S21" s="404">
        <f xml:space="preserve">
IF($A$4&lt;=12,SUMIFS('ON Data'!X:X,'ON Data'!$D:$D,$A$4,'ON Data'!$E:$E,12),SUMIFS('ON Data'!X:X,'ON Data'!$E:$E,12))</f>
        <v>0</v>
      </c>
      <c r="T21" s="404">
        <f xml:space="preserve">
IF($A$4&lt;=12,SUMIFS('ON Data'!Y:Y,'ON Data'!$D:$D,$A$4,'ON Data'!$E:$E,12),SUMIFS('ON Data'!Y:Y,'ON Data'!$E:$E,12))</f>
        <v>0</v>
      </c>
      <c r="U21" s="404">
        <f xml:space="preserve">
IF($A$4&lt;=12,SUMIFS('ON Data'!Z:Z,'ON Data'!$D:$D,$A$4,'ON Data'!$E:$E,12),SUMIFS('ON Data'!Z:Z,'ON Data'!$E:$E,12))</f>
        <v>0</v>
      </c>
      <c r="V21" s="404">
        <f xml:space="preserve">
IF($A$4&lt;=12,SUMIFS('ON Data'!AA:AA,'ON Data'!$D:$D,$A$4,'ON Data'!$E:$E,12),SUMIFS('ON Data'!AA:AA,'ON Data'!$E:$E,12))</f>
        <v>0</v>
      </c>
      <c r="W21" s="404">
        <f xml:space="preserve">
IF($A$4&lt;=12,SUMIFS('ON Data'!AB:AB,'ON Data'!$D:$D,$A$4,'ON Data'!$E:$E,12),SUMIFS('ON Data'!AB:AB,'ON Data'!$E:$E,12))</f>
        <v>0</v>
      </c>
      <c r="X21" s="404">
        <f xml:space="preserve">
IF($A$4&lt;=12,SUMIFS('ON Data'!AC:AC,'ON Data'!$D:$D,$A$4,'ON Data'!$E:$E,12),SUMIFS('ON Data'!AC:AC,'ON Data'!$E:$E,12))</f>
        <v>0</v>
      </c>
      <c r="Y21" s="404">
        <f xml:space="preserve">
IF($A$4&lt;=12,SUMIFS('ON Data'!AD:AD,'ON Data'!$D:$D,$A$4,'ON Data'!$E:$E,12),SUMIFS('ON Data'!AD:AD,'ON Data'!$E:$E,12))</f>
        <v>0</v>
      </c>
      <c r="Z21" s="404">
        <f xml:space="preserve">
IF($A$4&lt;=12,SUMIFS('ON Data'!AE:AE,'ON Data'!$D:$D,$A$4,'ON Data'!$E:$E,12),SUMIFS('ON Data'!AE:AE,'ON Data'!$E:$E,12))</f>
        <v>0</v>
      </c>
      <c r="AA21" s="404">
        <f xml:space="preserve">
IF($A$4&lt;=12,SUMIFS('ON Data'!AF:AF,'ON Data'!$D:$D,$A$4,'ON Data'!$E:$E,12),SUMIFS('ON Data'!AF:AF,'ON Data'!$E:$E,12))</f>
        <v>0</v>
      </c>
      <c r="AB21" s="404">
        <f xml:space="preserve">
IF($A$4&lt;=12,SUMIFS('ON Data'!AG:AG,'ON Data'!$D:$D,$A$4,'ON Data'!$E:$E,12),SUMIFS('ON Data'!AG:AG,'ON Data'!$E:$E,12))</f>
        <v>0</v>
      </c>
      <c r="AC21" s="404">
        <f xml:space="preserve">
IF($A$4&lt;=12,SUMIFS('ON Data'!AH:AH,'ON Data'!$D:$D,$A$4,'ON Data'!$E:$E,12),SUMIFS('ON Data'!AH:AH,'ON Data'!$E:$E,12))</f>
        <v>0</v>
      </c>
      <c r="AD21" s="404">
        <f xml:space="preserve">
IF($A$4&lt;=12,SUMIFS('ON Data'!AI:AI,'ON Data'!$D:$D,$A$4,'ON Data'!$E:$E,12),SUMIFS('ON Data'!AI:AI,'ON Data'!$E:$E,12))</f>
        <v>0</v>
      </c>
      <c r="AE21" s="404">
        <f xml:space="preserve">
IF($A$4&lt;=12,SUMIFS('ON Data'!AJ:AJ,'ON Data'!$D:$D,$A$4,'ON Data'!$E:$E,12),SUMIFS('ON Data'!AJ:AJ,'ON Data'!$E:$E,12))</f>
        <v>0</v>
      </c>
      <c r="AF21" s="404">
        <f xml:space="preserve">
IF($A$4&lt;=12,SUMIFS('ON Data'!AK:AK,'ON Data'!$D:$D,$A$4,'ON Data'!$E:$E,12),SUMIFS('ON Data'!AK:AK,'ON Data'!$E:$E,12))</f>
        <v>0</v>
      </c>
      <c r="AG21" s="404">
        <f xml:space="preserve">
IF($A$4&lt;=12,SUMIFS('ON Data'!AL:AL,'ON Data'!$D:$D,$A$4,'ON Data'!$E:$E,12),SUMIFS('ON Data'!AL:AL,'ON Data'!$E:$E,12))</f>
        <v>0</v>
      </c>
      <c r="AH21" s="723">
        <f xml:space="preserve">
IF($A$4&lt;=12,SUMIFS('ON Data'!AN:AN,'ON Data'!$D:$D,$A$4,'ON Data'!$E:$E,12),SUMIFS('ON Data'!AN:AN,'ON Data'!$E:$E,12))</f>
        <v>0</v>
      </c>
      <c r="AI21" s="733"/>
    </row>
    <row r="22" spans="1:35" ht="15" hidden="1" outlineLevel="1" thickBot="1" x14ac:dyDescent="0.35">
      <c r="A22" s="382" t="s">
        <v>90</v>
      </c>
      <c r="B22" s="463" t="str">
        <f xml:space="preserve">
IF(OR(B21="",B21=0),"",B20/B21)</f>
        <v/>
      </c>
      <c r="C22" s="464" t="str">
        <f t="shared" ref="C22:G22" si="2" xml:space="preserve">
IF(OR(C21="",C21=0),"",C20/C21)</f>
        <v/>
      </c>
      <c r="D22" s="465" t="str">
        <f t="shared" si="2"/>
        <v/>
      </c>
      <c r="E22" s="465" t="str">
        <f t="shared" si="2"/>
        <v/>
      </c>
      <c r="F22" s="465" t="str">
        <f t="shared" si="2"/>
        <v/>
      </c>
      <c r="G22" s="465" t="str">
        <f t="shared" si="2"/>
        <v/>
      </c>
      <c r="H22" s="465" t="str">
        <f t="shared" ref="H22:AH22" si="3" xml:space="preserve">
IF(OR(H21="",H21=0),"",H20/H21)</f>
        <v/>
      </c>
      <c r="I22" s="465" t="str">
        <f t="shared" si="3"/>
        <v/>
      </c>
      <c r="J22" s="465" t="str">
        <f t="shared" si="3"/>
        <v/>
      </c>
      <c r="K22" s="465" t="str">
        <f t="shared" si="3"/>
        <v/>
      </c>
      <c r="L22" s="465" t="str">
        <f t="shared" si="3"/>
        <v/>
      </c>
      <c r="M22" s="465" t="str">
        <f t="shared" si="3"/>
        <v/>
      </c>
      <c r="N22" s="465" t="str">
        <f t="shared" si="3"/>
        <v/>
      </c>
      <c r="O22" s="465" t="str">
        <f t="shared" si="3"/>
        <v/>
      </c>
      <c r="P22" s="465" t="str">
        <f t="shared" si="3"/>
        <v/>
      </c>
      <c r="Q22" s="465" t="str">
        <f t="shared" si="3"/>
        <v/>
      </c>
      <c r="R22" s="465" t="str">
        <f t="shared" si="3"/>
        <v/>
      </c>
      <c r="S22" s="465" t="str">
        <f t="shared" si="3"/>
        <v/>
      </c>
      <c r="T22" s="465" t="str">
        <f t="shared" si="3"/>
        <v/>
      </c>
      <c r="U22" s="465" t="str">
        <f t="shared" si="3"/>
        <v/>
      </c>
      <c r="V22" s="465" t="str">
        <f t="shared" si="3"/>
        <v/>
      </c>
      <c r="W22" s="465" t="str">
        <f t="shared" si="3"/>
        <v/>
      </c>
      <c r="X22" s="465" t="str">
        <f t="shared" si="3"/>
        <v/>
      </c>
      <c r="Y22" s="465" t="str">
        <f t="shared" si="3"/>
        <v/>
      </c>
      <c r="Z22" s="465" t="str">
        <f t="shared" si="3"/>
        <v/>
      </c>
      <c r="AA22" s="465" t="str">
        <f t="shared" si="3"/>
        <v/>
      </c>
      <c r="AB22" s="465" t="str">
        <f t="shared" si="3"/>
        <v/>
      </c>
      <c r="AC22" s="465" t="str">
        <f t="shared" si="3"/>
        <v/>
      </c>
      <c r="AD22" s="465" t="str">
        <f t="shared" si="3"/>
        <v/>
      </c>
      <c r="AE22" s="465" t="str">
        <f t="shared" si="3"/>
        <v/>
      </c>
      <c r="AF22" s="465" t="str">
        <f t="shared" si="3"/>
        <v/>
      </c>
      <c r="AG22" s="465" t="str">
        <f t="shared" si="3"/>
        <v/>
      </c>
      <c r="AH22" s="728" t="str">
        <f t="shared" si="3"/>
        <v/>
      </c>
      <c r="AI22" s="733"/>
    </row>
    <row r="23" spans="1:35" ht="15" hidden="1" outlineLevel="1" thickBot="1" x14ac:dyDescent="0.35">
      <c r="A23" s="390" t="s">
        <v>63</v>
      </c>
      <c r="B23" s="405">
        <f xml:space="preserve">
IF(B21="","",B20-B21)</f>
        <v>9500349</v>
      </c>
      <c r="C23" s="406">
        <f t="shared" ref="C23:G23" si="4" xml:space="preserve">
IF(C21="","",C20-C21)</f>
        <v>2683050</v>
      </c>
      <c r="D23" s="407">
        <f t="shared" si="4"/>
        <v>0</v>
      </c>
      <c r="E23" s="407">
        <f t="shared" si="4"/>
        <v>3089595</v>
      </c>
      <c r="F23" s="407">
        <f t="shared" si="4"/>
        <v>3256255</v>
      </c>
      <c r="G23" s="407">
        <f t="shared" si="4"/>
        <v>0</v>
      </c>
      <c r="H23" s="407">
        <f t="shared" ref="H23:AH23" si="5" xml:space="preserve">
IF(H21="","",H20-H21)</f>
        <v>0</v>
      </c>
      <c r="I23" s="407">
        <f t="shared" si="5"/>
        <v>0</v>
      </c>
      <c r="J23" s="407">
        <f t="shared" si="5"/>
        <v>0</v>
      </c>
      <c r="K23" s="407">
        <f t="shared" si="5"/>
        <v>0</v>
      </c>
      <c r="L23" s="407">
        <f t="shared" si="5"/>
        <v>0</v>
      </c>
      <c r="M23" s="407">
        <f t="shared" si="5"/>
        <v>88215</v>
      </c>
      <c r="N23" s="407">
        <f t="shared" si="5"/>
        <v>0</v>
      </c>
      <c r="O23" s="407">
        <f t="shared" si="5"/>
        <v>0</v>
      </c>
      <c r="P23" s="407">
        <f t="shared" si="5"/>
        <v>0</v>
      </c>
      <c r="Q23" s="407">
        <f t="shared" si="5"/>
        <v>0</v>
      </c>
      <c r="R23" s="407">
        <f t="shared" si="5"/>
        <v>0</v>
      </c>
      <c r="S23" s="407">
        <f t="shared" si="5"/>
        <v>0</v>
      </c>
      <c r="T23" s="407">
        <f t="shared" si="5"/>
        <v>0</v>
      </c>
      <c r="U23" s="407">
        <f t="shared" si="5"/>
        <v>0</v>
      </c>
      <c r="V23" s="407">
        <f t="shared" si="5"/>
        <v>0</v>
      </c>
      <c r="W23" s="407">
        <f t="shared" si="5"/>
        <v>0</v>
      </c>
      <c r="X23" s="407">
        <f t="shared" si="5"/>
        <v>0</v>
      </c>
      <c r="Y23" s="407">
        <f t="shared" si="5"/>
        <v>0</v>
      </c>
      <c r="Z23" s="407">
        <f t="shared" si="5"/>
        <v>0</v>
      </c>
      <c r="AA23" s="407">
        <f t="shared" si="5"/>
        <v>126165</v>
      </c>
      <c r="AB23" s="407">
        <f t="shared" si="5"/>
        <v>0</v>
      </c>
      <c r="AC23" s="407">
        <f t="shared" si="5"/>
        <v>0</v>
      </c>
      <c r="AD23" s="407">
        <f t="shared" si="5"/>
        <v>223685</v>
      </c>
      <c r="AE23" s="407">
        <f t="shared" si="5"/>
        <v>0</v>
      </c>
      <c r="AF23" s="407">
        <f t="shared" si="5"/>
        <v>0</v>
      </c>
      <c r="AG23" s="407">
        <f t="shared" si="5"/>
        <v>0</v>
      </c>
      <c r="AH23" s="724">
        <f t="shared" si="5"/>
        <v>33384</v>
      </c>
      <c r="AI23" s="733"/>
    </row>
    <row r="24" spans="1:35" x14ac:dyDescent="0.3">
      <c r="A24" s="384" t="s">
        <v>238</v>
      </c>
      <c r="B24" s="431" t="s">
        <v>3</v>
      </c>
      <c r="C24" s="734" t="s">
        <v>249</v>
      </c>
      <c r="D24" s="708"/>
      <c r="E24" s="709"/>
      <c r="F24" s="709" t="s">
        <v>250</v>
      </c>
      <c r="G24" s="709"/>
      <c r="H24" s="709"/>
      <c r="I24" s="709"/>
      <c r="J24" s="709"/>
      <c r="K24" s="709"/>
      <c r="L24" s="709"/>
      <c r="M24" s="709"/>
      <c r="N24" s="709"/>
      <c r="O24" s="709"/>
      <c r="P24" s="709"/>
      <c r="Q24" s="709"/>
      <c r="R24" s="709"/>
      <c r="S24" s="709"/>
      <c r="T24" s="709"/>
      <c r="U24" s="709"/>
      <c r="V24" s="709"/>
      <c r="W24" s="709"/>
      <c r="X24" s="709"/>
      <c r="Y24" s="709"/>
      <c r="Z24" s="709"/>
      <c r="AA24" s="709"/>
      <c r="AB24" s="709"/>
      <c r="AC24" s="709"/>
      <c r="AD24" s="709"/>
      <c r="AE24" s="709"/>
      <c r="AF24" s="709"/>
      <c r="AG24" s="709"/>
      <c r="AH24" s="729" t="s">
        <v>251</v>
      </c>
      <c r="AI24" s="733"/>
    </row>
    <row r="25" spans="1:35" x14ac:dyDescent="0.3">
      <c r="A25" s="385" t="s">
        <v>88</v>
      </c>
      <c r="B25" s="402">
        <f xml:space="preserve">
SUM(C25:AH25)</f>
        <v>6800</v>
      </c>
      <c r="C25" s="735">
        <f xml:space="preserve">
IF($A$4&lt;=12,SUMIFS('ON Data'!H:H,'ON Data'!$D:$D,$A$4,'ON Data'!$E:$E,10),SUMIFS('ON Data'!H:H,'ON Data'!$E:$E,10))</f>
        <v>6800</v>
      </c>
      <c r="D25" s="710"/>
      <c r="E25" s="711"/>
      <c r="F25" s="711">
        <f xml:space="preserve">
IF($A$4&lt;=12,SUMIFS('ON Data'!K:K,'ON Data'!$D:$D,$A$4,'ON Data'!$E:$E,10),SUMIFS('ON Data'!K:K,'ON Data'!$E:$E,10))</f>
        <v>0</v>
      </c>
      <c r="G25" s="711"/>
      <c r="H25" s="711"/>
      <c r="I25" s="711"/>
      <c r="J25" s="711"/>
      <c r="K25" s="711"/>
      <c r="L25" s="711"/>
      <c r="M25" s="711"/>
      <c r="N25" s="711"/>
      <c r="O25" s="711"/>
      <c r="P25" s="711"/>
      <c r="Q25" s="711"/>
      <c r="R25" s="711"/>
      <c r="S25" s="711"/>
      <c r="T25" s="711"/>
      <c r="U25" s="711"/>
      <c r="V25" s="711"/>
      <c r="W25" s="711"/>
      <c r="X25" s="711"/>
      <c r="Y25" s="711"/>
      <c r="Z25" s="711"/>
      <c r="AA25" s="711"/>
      <c r="AB25" s="711"/>
      <c r="AC25" s="711"/>
      <c r="AD25" s="711"/>
      <c r="AE25" s="711"/>
      <c r="AF25" s="711"/>
      <c r="AG25" s="711"/>
      <c r="AH25" s="730">
        <f xml:space="preserve">
IF($A$4&lt;=12,SUMIFS('ON Data'!AN:AN,'ON Data'!$D:$D,$A$4,'ON Data'!$E:$E,10),SUMIFS('ON Data'!AN:AN,'ON Data'!$E:$E,10))</f>
        <v>0</v>
      </c>
      <c r="AI25" s="733"/>
    </row>
    <row r="26" spans="1:35" x14ac:dyDescent="0.3">
      <c r="A26" s="391" t="s">
        <v>248</v>
      </c>
      <c r="B26" s="411">
        <f xml:space="preserve">
SUM(C26:AH26)</f>
        <v>26159.221324119208</v>
      </c>
      <c r="C26" s="735">
        <f xml:space="preserve">
IF($A$4&lt;=12,SUMIFS('ON Data'!H:H,'ON Data'!$D:$D,$A$4,'ON Data'!$E:$E,11),SUMIFS('ON Data'!H:H,'ON Data'!$E:$E,11))</f>
        <v>13659.221324119206</v>
      </c>
      <c r="D26" s="710"/>
      <c r="E26" s="711"/>
      <c r="F26" s="712">
        <f xml:space="preserve">
IF($A$4&lt;=12,SUMIFS('ON Data'!K:K,'ON Data'!$D:$D,$A$4,'ON Data'!$E:$E,11),SUMIFS('ON Data'!K:K,'ON Data'!$E:$E,11))</f>
        <v>12500.000000000002</v>
      </c>
      <c r="G26" s="712"/>
      <c r="H26" s="712"/>
      <c r="I26" s="712"/>
      <c r="J26" s="712"/>
      <c r="K26" s="712"/>
      <c r="L26" s="712"/>
      <c r="M26" s="712"/>
      <c r="N26" s="712"/>
      <c r="O26" s="712"/>
      <c r="P26" s="712"/>
      <c r="Q26" s="712"/>
      <c r="R26" s="712"/>
      <c r="S26" s="712"/>
      <c r="T26" s="712"/>
      <c r="U26" s="712"/>
      <c r="V26" s="712"/>
      <c r="W26" s="712"/>
      <c r="X26" s="712"/>
      <c r="Y26" s="712"/>
      <c r="Z26" s="712"/>
      <c r="AA26" s="712"/>
      <c r="AB26" s="712"/>
      <c r="AC26" s="712"/>
      <c r="AD26" s="712"/>
      <c r="AE26" s="712"/>
      <c r="AF26" s="712"/>
      <c r="AG26" s="712"/>
      <c r="AH26" s="730">
        <f xml:space="preserve">
IF($A$4&lt;=12,SUMIFS('ON Data'!AN:AN,'ON Data'!$D:$D,$A$4,'ON Data'!$E:$E,11),SUMIFS('ON Data'!AN:AN,'ON Data'!$E:$E,11))</f>
        <v>0</v>
      </c>
      <c r="AI26" s="733"/>
    </row>
    <row r="27" spans="1:35" x14ac:dyDescent="0.3">
      <c r="A27" s="391" t="s">
        <v>90</v>
      </c>
      <c r="B27" s="432">
        <f xml:space="preserve">
IF(B26=0,0,B25/B26)</f>
        <v>0.25994657546363181</v>
      </c>
      <c r="C27" s="736">
        <f xml:space="preserve">
IF(C26=0,0,C25/C26)</f>
        <v>0.49783218520609834</v>
      </c>
      <c r="D27" s="713"/>
      <c r="E27" s="714"/>
      <c r="F27" s="714">
        <f xml:space="preserve">
IF(F26=0,0,F25/F26)</f>
        <v>0</v>
      </c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31">
        <f xml:space="preserve">
IF(AH26=0,0,AH25/AH26)</f>
        <v>0</v>
      </c>
      <c r="AI27" s="733"/>
    </row>
    <row r="28" spans="1:35" ht="15" thickBot="1" x14ac:dyDescent="0.35">
      <c r="A28" s="391" t="s">
        <v>247</v>
      </c>
      <c r="B28" s="411">
        <f xml:space="preserve">
SUM(C28:AH28)</f>
        <v>19359.221324119208</v>
      </c>
      <c r="C28" s="737">
        <f xml:space="preserve">
C26-C25</f>
        <v>6859.2213241192057</v>
      </c>
      <c r="D28" s="715"/>
      <c r="E28" s="716"/>
      <c r="F28" s="716">
        <f xml:space="preserve">
F26-F25</f>
        <v>12500.000000000002</v>
      </c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6"/>
      <c r="X28" s="716"/>
      <c r="Y28" s="716"/>
      <c r="Z28" s="716"/>
      <c r="AA28" s="716"/>
      <c r="AB28" s="716"/>
      <c r="AC28" s="716"/>
      <c r="AD28" s="716"/>
      <c r="AE28" s="716"/>
      <c r="AF28" s="716"/>
      <c r="AG28" s="716"/>
      <c r="AH28" s="732">
        <f xml:space="preserve">
AH26-AH25</f>
        <v>0</v>
      </c>
      <c r="AI28" s="733"/>
    </row>
    <row r="29" spans="1:35" x14ac:dyDescent="0.3">
      <c r="A29" s="392"/>
      <c r="B29" s="392"/>
      <c r="C29" s="393"/>
      <c r="D29" s="392"/>
      <c r="E29" s="392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2"/>
      <c r="AG29" s="392"/>
      <c r="AH29" s="392"/>
    </row>
    <row r="30" spans="1:35" x14ac:dyDescent="0.3">
      <c r="A30" s="220" t="s">
        <v>195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69"/>
    </row>
    <row r="31" spans="1:35" x14ac:dyDescent="0.3">
      <c r="A31" s="221" t="s">
        <v>245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69"/>
    </row>
    <row r="32" spans="1:35" ht="14.4" customHeight="1" x14ac:dyDescent="0.3">
      <c r="A32" s="428" t="s">
        <v>242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</row>
    <row r="33" spans="1:1" x14ac:dyDescent="0.3">
      <c r="A33" s="430" t="s">
        <v>252</v>
      </c>
    </row>
    <row r="34" spans="1:1" x14ac:dyDescent="0.3">
      <c r="A34" s="430" t="s">
        <v>253</v>
      </c>
    </row>
    <row r="35" spans="1:1" x14ac:dyDescent="0.3">
      <c r="A35" s="430" t="s">
        <v>254</v>
      </c>
    </row>
    <row r="36" spans="1:1" x14ac:dyDescent="0.3">
      <c r="A36" s="430" t="s">
        <v>255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2"/>
  <sheetViews>
    <sheetView showGridLines="0" showRowColHeaders="0" workbookViewId="0"/>
  </sheetViews>
  <sheetFormatPr defaultRowHeight="14.4" x14ac:dyDescent="0.3"/>
  <cols>
    <col min="1" max="16384" width="8.88671875" style="371"/>
  </cols>
  <sheetData>
    <row r="1" spans="1:41" x14ac:dyDescent="0.3">
      <c r="A1" s="371" t="s">
        <v>2341</v>
      </c>
    </row>
    <row r="2" spans="1:41" x14ac:dyDescent="0.3">
      <c r="A2" s="375" t="s">
        <v>320</v>
      </c>
    </row>
    <row r="3" spans="1:41" x14ac:dyDescent="0.3">
      <c r="A3" s="371" t="s">
        <v>212</v>
      </c>
      <c r="B3" s="396">
        <v>2015</v>
      </c>
      <c r="D3" s="372">
        <f>MAX(D5:D1048576)</f>
        <v>6</v>
      </c>
      <c r="F3" s="372">
        <f>SUMIF($E5:$E1048576,"&lt;10",F5:F1048576)</f>
        <v>9649720.8000000007</v>
      </c>
      <c r="G3" s="372">
        <f t="shared" ref="G3:AO3" si="0">SUMIF($E5:$E1048576,"&lt;10",G5:G1048576)</f>
        <v>2691301</v>
      </c>
      <c r="H3" s="372">
        <f t="shared" si="0"/>
        <v>0</v>
      </c>
      <c r="I3" s="372">
        <f t="shared" si="0"/>
        <v>3195017.5500000003</v>
      </c>
      <c r="J3" s="372">
        <f t="shared" si="0"/>
        <v>0</v>
      </c>
      <c r="K3" s="372">
        <f t="shared" si="0"/>
        <v>3288165.25</v>
      </c>
      <c r="L3" s="372">
        <f t="shared" si="0"/>
        <v>0</v>
      </c>
      <c r="M3" s="372">
        <f t="shared" si="0"/>
        <v>0</v>
      </c>
      <c r="N3" s="372">
        <f t="shared" si="0"/>
        <v>0</v>
      </c>
      <c r="O3" s="372">
        <f t="shared" si="0"/>
        <v>0</v>
      </c>
      <c r="P3" s="372">
        <f t="shared" si="0"/>
        <v>0</v>
      </c>
      <c r="Q3" s="372">
        <f t="shared" si="0"/>
        <v>0</v>
      </c>
      <c r="R3" s="372">
        <f t="shared" si="0"/>
        <v>88757</v>
      </c>
      <c r="S3" s="372">
        <f t="shared" si="0"/>
        <v>0</v>
      </c>
      <c r="T3" s="372">
        <f t="shared" si="0"/>
        <v>0</v>
      </c>
      <c r="U3" s="372">
        <f t="shared" si="0"/>
        <v>0</v>
      </c>
      <c r="V3" s="372">
        <f t="shared" si="0"/>
        <v>0</v>
      </c>
      <c r="W3" s="372">
        <f t="shared" si="0"/>
        <v>0</v>
      </c>
      <c r="X3" s="372">
        <f t="shared" si="0"/>
        <v>0</v>
      </c>
      <c r="Y3" s="372">
        <f t="shared" si="0"/>
        <v>0</v>
      </c>
      <c r="Z3" s="372">
        <f t="shared" si="0"/>
        <v>0</v>
      </c>
      <c r="AA3" s="372">
        <f t="shared" si="0"/>
        <v>0</v>
      </c>
      <c r="AB3" s="372">
        <f t="shared" si="0"/>
        <v>0</v>
      </c>
      <c r="AC3" s="372">
        <f t="shared" si="0"/>
        <v>0</v>
      </c>
      <c r="AD3" s="372">
        <f t="shared" si="0"/>
        <v>0</v>
      </c>
      <c r="AE3" s="372">
        <f t="shared" si="0"/>
        <v>0</v>
      </c>
      <c r="AF3" s="372">
        <f t="shared" si="0"/>
        <v>127108.5</v>
      </c>
      <c r="AG3" s="372">
        <f t="shared" si="0"/>
        <v>0</v>
      </c>
      <c r="AH3" s="372">
        <f t="shared" si="0"/>
        <v>0</v>
      </c>
      <c r="AI3" s="372">
        <f t="shared" si="0"/>
        <v>225738</v>
      </c>
      <c r="AJ3" s="372">
        <f t="shared" si="0"/>
        <v>0</v>
      </c>
      <c r="AK3" s="372">
        <f t="shared" si="0"/>
        <v>0</v>
      </c>
      <c r="AL3" s="372">
        <f t="shared" si="0"/>
        <v>0</v>
      </c>
      <c r="AM3" s="372">
        <f t="shared" si="0"/>
        <v>0</v>
      </c>
      <c r="AN3" s="372">
        <f t="shared" si="0"/>
        <v>33633.5</v>
      </c>
      <c r="AO3" s="372">
        <f t="shared" si="0"/>
        <v>0</v>
      </c>
    </row>
    <row r="4" spans="1:41" x14ac:dyDescent="0.3">
      <c r="A4" s="371" t="s">
        <v>213</v>
      </c>
      <c r="B4" s="396">
        <v>1</v>
      </c>
      <c r="C4" s="373" t="s">
        <v>5</v>
      </c>
      <c r="D4" s="374" t="s">
        <v>62</v>
      </c>
      <c r="E4" s="374" t="s">
        <v>207</v>
      </c>
      <c r="F4" s="374" t="s">
        <v>3</v>
      </c>
      <c r="G4" s="374" t="s">
        <v>208</v>
      </c>
      <c r="H4" s="374" t="s">
        <v>209</v>
      </c>
      <c r="I4" s="374" t="s">
        <v>210</v>
      </c>
      <c r="J4" s="374" t="s">
        <v>211</v>
      </c>
      <c r="K4" s="374">
        <v>305</v>
      </c>
      <c r="L4" s="374">
        <v>306</v>
      </c>
      <c r="M4" s="374">
        <v>407</v>
      </c>
      <c r="N4" s="374">
        <v>408</v>
      </c>
      <c r="O4" s="374">
        <v>409</v>
      </c>
      <c r="P4" s="374">
        <v>410</v>
      </c>
      <c r="Q4" s="374">
        <v>415</v>
      </c>
      <c r="R4" s="374">
        <v>416</v>
      </c>
      <c r="S4" s="374">
        <v>418</v>
      </c>
      <c r="T4" s="374">
        <v>419</v>
      </c>
      <c r="U4" s="374">
        <v>420</v>
      </c>
      <c r="V4" s="374">
        <v>421</v>
      </c>
      <c r="W4" s="374">
        <v>522</v>
      </c>
      <c r="X4" s="374">
        <v>523</v>
      </c>
      <c r="Y4" s="374">
        <v>524</v>
      </c>
      <c r="Z4" s="374">
        <v>525</v>
      </c>
      <c r="AA4" s="374">
        <v>526</v>
      </c>
      <c r="AB4" s="374">
        <v>527</v>
      </c>
      <c r="AC4" s="374">
        <v>528</v>
      </c>
      <c r="AD4" s="374">
        <v>629</v>
      </c>
      <c r="AE4" s="374">
        <v>630</v>
      </c>
      <c r="AF4" s="374">
        <v>636</v>
      </c>
      <c r="AG4" s="374">
        <v>637</v>
      </c>
      <c r="AH4" s="374">
        <v>640</v>
      </c>
      <c r="AI4" s="374">
        <v>642</v>
      </c>
      <c r="AJ4" s="374">
        <v>743</v>
      </c>
      <c r="AK4" s="374">
        <v>745</v>
      </c>
      <c r="AL4" s="374">
        <v>746</v>
      </c>
      <c r="AM4" s="374">
        <v>747</v>
      </c>
      <c r="AN4" s="374">
        <v>930</v>
      </c>
      <c r="AO4" s="374">
        <v>940</v>
      </c>
    </row>
    <row r="5" spans="1:41" x14ac:dyDescent="0.3">
      <c r="A5" s="371" t="s">
        <v>214</v>
      </c>
      <c r="B5" s="396">
        <v>2</v>
      </c>
      <c r="C5" s="371">
        <v>25</v>
      </c>
      <c r="D5" s="371">
        <v>1</v>
      </c>
      <c r="E5" s="371">
        <v>1</v>
      </c>
      <c r="F5" s="371">
        <v>29.1</v>
      </c>
      <c r="G5" s="371">
        <v>0</v>
      </c>
      <c r="H5" s="371">
        <v>0</v>
      </c>
      <c r="I5" s="371">
        <v>7.6</v>
      </c>
      <c r="J5" s="371">
        <v>0</v>
      </c>
      <c r="K5" s="371">
        <v>17.75</v>
      </c>
      <c r="L5" s="371">
        <v>0</v>
      </c>
      <c r="M5" s="371">
        <v>0</v>
      </c>
      <c r="N5" s="371">
        <v>0</v>
      </c>
      <c r="O5" s="371">
        <v>0</v>
      </c>
      <c r="P5" s="371">
        <v>0</v>
      </c>
      <c r="Q5" s="371">
        <v>0</v>
      </c>
      <c r="R5" s="371">
        <v>0.5</v>
      </c>
      <c r="S5" s="371">
        <v>0</v>
      </c>
      <c r="T5" s="371">
        <v>0</v>
      </c>
      <c r="U5" s="371">
        <v>0</v>
      </c>
      <c r="V5" s="371">
        <v>0</v>
      </c>
      <c r="W5" s="371">
        <v>0</v>
      </c>
      <c r="X5" s="371">
        <v>0</v>
      </c>
      <c r="Y5" s="371">
        <v>0</v>
      </c>
      <c r="Z5" s="371">
        <v>0</v>
      </c>
      <c r="AA5" s="371">
        <v>0</v>
      </c>
      <c r="AB5" s="371">
        <v>0</v>
      </c>
      <c r="AC5" s="371">
        <v>0</v>
      </c>
      <c r="AD5" s="371">
        <v>0</v>
      </c>
      <c r="AE5" s="371">
        <v>0</v>
      </c>
      <c r="AF5" s="371">
        <v>1</v>
      </c>
      <c r="AG5" s="371">
        <v>0</v>
      </c>
      <c r="AH5" s="371">
        <v>0</v>
      </c>
      <c r="AI5" s="371">
        <v>2</v>
      </c>
      <c r="AJ5" s="371">
        <v>0</v>
      </c>
      <c r="AK5" s="371">
        <v>0</v>
      </c>
      <c r="AL5" s="371">
        <v>0</v>
      </c>
      <c r="AM5" s="371">
        <v>0</v>
      </c>
      <c r="AN5" s="371">
        <v>0.25</v>
      </c>
      <c r="AO5" s="371">
        <v>0</v>
      </c>
    </row>
    <row r="6" spans="1:41" x14ac:dyDescent="0.3">
      <c r="A6" s="371" t="s">
        <v>215</v>
      </c>
      <c r="B6" s="396">
        <v>3</v>
      </c>
      <c r="C6" s="371">
        <v>25</v>
      </c>
      <c r="D6" s="371">
        <v>1</v>
      </c>
      <c r="E6" s="371">
        <v>2</v>
      </c>
      <c r="F6" s="371">
        <v>4595.3999999999996</v>
      </c>
      <c r="G6" s="371">
        <v>0</v>
      </c>
      <c r="H6" s="371">
        <v>0</v>
      </c>
      <c r="I6" s="371">
        <v>1114.4000000000001</v>
      </c>
      <c r="J6" s="371">
        <v>0</v>
      </c>
      <c r="K6" s="371">
        <v>2864.5</v>
      </c>
      <c r="L6" s="371">
        <v>0</v>
      </c>
      <c r="M6" s="371">
        <v>0</v>
      </c>
      <c r="N6" s="371">
        <v>0</v>
      </c>
      <c r="O6" s="371">
        <v>0</v>
      </c>
      <c r="P6" s="371">
        <v>0</v>
      </c>
      <c r="Q6" s="371">
        <v>0</v>
      </c>
      <c r="R6" s="371">
        <v>80</v>
      </c>
      <c r="S6" s="371">
        <v>0</v>
      </c>
      <c r="T6" s="371">
        <v>0</v>
      </c>
      <c r="U6" s="371">
        <v>0</v>
      </c>
      <c r="V6" s="371">
        <v>0</v>
      </c>
      <c r="W6" s="371">
        <v>0</v>
      </c>
      <c r="X6" s="371">
        <v>0</v>
      </c>
      <c r="Y6" s="371">
        <v>0</v>
      </c>
      <c r="Z6" s="371">
        <v>0</v>
      </c>
      <c r="AA6" s="371">
        <v>0</v>
      </c>
      <c r="AB6" s="371">
        <v>0</v>
      </c>
      <c r="AC6" s="371">
        <v>0</v>
      </c>
      <c r="AD6" s="371">
        <v>0</v>
      </c>
      <c r="AE6" s="371">
        <v>0</v>
      </c>
      <c r="AF6" s="371">
        <v>162.75</v>
      </c>
      <c r="AG6" s="371">
        <v>0</v>
      </c>
      <c r="AH6" s="371">
        <v>0</v>
      </c>
      <c r="AI6" s="371">
        <v>329.75</v>
      </c>
      <c r="AJ6" s="371">
        <v>0</v>
      </c>
      <c r="AK6" s="371">
        <v>0</v>
      </c>
      <c r="AL6" s="371">
        <v>0</v>
      </c>
      <c r="AM6" s="371">
        <v>0</v>
      </c>
      <c r="AN6" s="371">
        <v>44</v>
      </c>
      <c r="AO6" s="371">
        <v>0</v>
      </c>
    </row>
    <row r="7" spans="1:41" x14ac:dyDescent="0.3">
      <c r="A7" s="371" t="s">
        <v>216</v>
      </c>
      <c r="B7" s="396">
        <v>4</v>
      </c>
      <c r="C7" s="371">
        <v>25</v>
      </c>
      <c r="D7" s="371">
        <v>1</v>
      </c>
      <c r="E7" s="371">
        <v>3</v>
      </c>
      <c r="F7" s="371">
        <v>158.5</v>
      </c>
      <c r="G7" s="371">
        <v>0</v>
      </c>
      <c r="H7" s="371">
        <v>0</v>
      </c>
      <c r="I7" s="371">
        <v>153.5</v>
      </c>
      <c r="J7" s="371">
        <v>0</v>
      </c>
      <c r="K7" s="371">
        <v>0</v>
      </c>
      <c r="L7" s="371">
        <v>0</v>
      </c>
      <c r="M7" s="371">
        <v>0</v>
      </c>
      <c r="N7" s="371">
        <v>0</v>
      </c>
      <c r="O7" s="371">
        <v>0</v>
      </c>
      <c r="P7" s="371">
        <v>0</v>
      </c>
      <c r="Q7" s="371">
        <v>0</v>
      </c>
      <c r="R7" s="371">
        <v>5</v>
      </c>
      <c r="S7" s="371">
        <v>0</v>
      </c>
      <c r="T7" s="371">
        <v>0</v>
      </c>
      <c r="U7" s="371">
        <v>0</v>
      </c>
      <c r="V7" s="371">
        <v>0</v>
      </c>
      <c r="W7" s="371">
        <v>0</v>
      </c>
      <c r="X7" s="371">
        <v>0</v>
      </c>
      <c r="Y7" s="371">
        <v>0</v>
      </c>
      <c r="Z7" s="371">
        <v>0</v>
      </c>
      <c r="AA7" s="371">
        <v>0</v>
      </c>
      <c r="AB7" s="371">
        <v>0</v>
      </c>
      <c r="AC7" s="371">
        <v>0</v>
      </c>
      <c r="AD7" s="371">
        <v>0</v>
      </c>
      <c r="AE7" s="371">
        <v>0</v>
      </c>
      <c r="AF7" s="371">
        <v>0</v>
      </c>
      <c r="AG7" s="371">
        <v>0</v>
      </c>
      <c r="AH7" s="371">
        <v>0</v>
      </c>
      <c r="AI7" s="371">
        <v>0</v>
      </c>
      <c r="AJ7" s="371">
        <v>0</v>
      </c>
      <c r="AK7" s="371">
        <v>0</v>
      </c>
      <c r="AL7" s="371">
        <v>0</v>
      </c>
      <c r="AM7" s="371">
        <v>0</v>
      </c>
      <c r="AN7" s="371">
        <v>0</v>
      </c>
      <c r="AO7" s="371">
        <v>0</v>
      </c>
    </row>
    <row r="8" spans="1:41" x14ac:dyDescent="0.3">
      <c r="A8" s="371" t="s">
        <v>217</v>
      </c>
      <c r="B8" s="396">
        <v>5</v>
      </c>
      <c r="C8" s="371">
        <v>25</v>
      </c>
      <c r="D8" s="371">
        <v>1</v>
      </c>
      <c r="E8" s="371">
        <v>4</v>
      </c>
      <c r="F8" s="371">
        <v>156.5</v>
      </c>
      <c r="G8" s="371">
        <v>0</v>
      </c>
      <c r="H8" s="371">
        <v>0</v>
      </c>
      <c r="I8" s="371">
        <v>151.5</v>
      </c>
      <c r="J8" s="371">
        <v>0</v>
      </c>
      <c r="K8" s="371">
        <v>0</v>
      </c>
      <c r="L8" s="371">
        <v>0</v>
      </c>
      <c r="M8" s="371">
        <v>0</v>
      </c>
      <c r="N8" s="371">
        <v>0</v>
      </c>
      <c r="O8" s="371">
        <v>0</v>
      </c>
      <c r="P8" s="371">
        <v>0</v>
      </c>
      <c r="Q8" s="371">
        <v>0</v>
      </c>
      <c r="R8" s="371">
        <v>0</v>
      </c>
      <c r="S8" s="371">
        <v>0</v>
      </c>
      <c r="T8" s="371">
        <v>0</v>
      </c>
      <c r="U8" s="371">
        <v>0</v>
      </c>
      <c r="V8" s="371">
        <v>0</v>
      </c>
      <c r="W8" s="371">
        <v>0</v>
      </c>
      <c r="X8" s="371">
        <v>0</v>
      </c>
      <c r="Y8" s="371">
        <v>0</v>
      </c>
      <c r="Z8" s="371">
        <v>0</v>
      </c>
      <c r="AA8" s="371">
        <v>0</v>
      </c>
      <c r="AB8" s="371">
        <v>0</v>
      </c>
      <c r="AC8" s="371">
        <v>0</v>
      </c>
      <c r="AD8" s="371">
        <v>0</v>
      </c>
      <c r="AE8" s="371">
        <v>0</v>
      </c>
      <c r="AF8" s="371">
        <v>0</v>
      </c>
      <c r="AG8" s="371">
        <v>0</v>
      </c>
      <c r="AH8" s="371">
        <v>0</v>
      </c>
      <c r="AI8" s="371">
        <v>5</v>
      </c>
      <c r="AJ8" s="371">
        <v>0</v>
      </c>
      <c r="AK8" s="371">
        <v>0</v>
      </c>
      <c r="AL8" s="371">
        <v>0</v>
      </c>
      <c r="AM8" s="371">
        <v>0</v>
      </c>
      <c r="AN8" s="371">
        <v>0</v>
      </c>
      <c r="AO8" s="371">
        <v>0</v>
      </c>
    </row>
    <row r="9" spans="1:41" x14ac:dyDescent="0.3">
      <c r="A9" s="371" t="s">
        <v>218</v>
      </c>
      <c r="B9" s="396">
        <v>6</v>
      </c>
      <c r="C9" s="371">
        <v>25</v>
      </c>
      <c r="D9" s="371">
        <v>1</v>
      </c>
      <c r="E9" s="371">
        <v>5</v>
      </c>
      <c r="F9" s="371">
        <v>1458</v>
      </c>
      <c r="G9" s="371">
        <v>1458</v>
      </c>
      <c r="H9" s="371">
        <v>0</v>
      </c>
      <c r="I9" s="371">
        <v>0</v>
      </c>
      <c r="J9" s="371">
        <v>0</v>
      </c>
      <c r="K9" s="371">
        <v>0</v>
      </c>
      <c r="L9" s="371">
        <v>0</v>
      </c>
      <c r="M9" s="371">
        <v>0</v>
      </c>
      <c r="N9" s="371">
        <v>0</v>
      </c>
      <c r="O9" s="371">
        <v>0</v>
      </c>
      <c r="P9" s="371">
        <v>0</v>
      </c>
      <c r="Q9" s="371">
        <v>0</v>
      </c>
      <c r="R9" s="371">
        <v>0</v>
      </c>
      <c r="S9" s="371">
        <v>0</v>
      </c>
      <c r="T9" s="371">
        <v>0</v>
      </c>
      <c r="U9" s="371">
        <v>0</v>
      </c>
      <c r="V9" s="371">
        <v>0</v>
      </c>
      <c r="W9" s="371">
        <v>0</v>
      </c>
      <c r="X9" s="371">
        <v>0</v>
      </c>
      <c r="Y9" s="371">
        <v>0</v>
      </c>
      <c r="Z9" s="371">
        <v>0</v>
      </c>
      <c r="AA9" s="371">
        <v>0</v>
      </c>
      <c r="AB9" s="371">
        <v>0</v>
      </c>
      <c r="AC9" s="371">
        <v>0</v>
      </c>
      <c r="AD9" s="371">
        <v>0</v>
      </c>
      <c r="AE9" s="371">
        <v>0</v>
      </c>
      <c r="AF9" s="371">
        <v>0</v>
      </c>
      <c r="AG9" s="371">
        <v>0</v>
      </c>
      <c r="AH9" s="371">
        <v>0</v>
      </c>
      <c r="AI9" s="371">
        <v>0</v>
      </c>
      <c r="AJ9" s="371">
        <v>0</v>
      </c>
      <c r="AK9" s="371">
        <v>0</v>
      </c>
      <c r="AL9" s="371">
        <v>0</v>
      </c>
      <c r="AM9" s="371">
        <v>0</v>
      </c>
      <c r="AN9" s="371">
        <v>0</v>
      </c>
      <c r="AO9" s="371">
        <v>0</v>
      </c>
    </row>
    <row r="10" spans="1:41" x14ac:dyDescent="0.3">
      <c r="A10" s="371" t="s">
        <v>219</v>
      </c>
      <c r="B10" s="396">
        <v>7</v>
      </c>
      <c r="C10" s="371">
        <v>25</v>
      </c>
      <c r="D10" s="371">
        <v>1</v>
      </c>
      <c r="E10" s="371">
        <v>6</v>
      </c>
      <c r="F10" s="371">
        <v>1581275</v>
      </c>
      <c r="G10" s="371">
        <v>475200</v>
      </c>
      <c r="H10" s="371">
        <v>0</v>
      </c>
      <c r="I10" s="371">
        <v>504654</v>
      </c>
      <c r="J10" s="371">
        <v>0</v>
      </c>
      <c r="K10" s="371">
        <v>528288</v>
      </c>
      <c r="L10" s="371">
        <v>0</v>
      </c>
      <c r="M10" s="371">
        <v>0</v>
      </c>
      <c r="N10" s="371">
        <v>0</v>
      </c>
      <c r="O10" s="371">
        <v>0</v>
      </c>
      <c r="P10" s="371">
        <v>0</v>
      </c>
      <c r="Q10" s="371">
        <v>0</v>
      </c>
      <c r="R10" s="371">
        <v>14408</v>
      </c>
      <c r="S10" s="371">
        <v>0</v>
      </c>
      <c r="T10" s="371">
        <v>0</v>
      </c>
      <c r="U10" s="371">
        <v>0</v>
      </c>
      <c r="V10" s="371">
        <v>0</v>
      </c>
      <c r="W10" s="371">
        <v>0</v>
      </c>
      <c r="X10" s="371">
        <v>0</v>
      </c>
      <c r="Y10" s="371">
        <v>0</v>
      </c>
      <c r="Z10" s="371">
        <v>0</v>
      </c>
      <c r="AA10" s="371">
        <v>0</v>
      </c>
      <c r="AB10" s="371">
        <v>0</v>
      </c>
      <c r="AC10" s="371">
        <v>0</v>
      </c>
      <c r="AD10" s="371">
        <v>0</v>
      </c>
      <c r="AE10" s="371">
        <v>0</v>
      </c>
      <c r="AF10" s="371">
        <v>19046</v>
      </c>
      <c r="AG10" s="371">
        <v>0</v>
      </c>
      <c r="AH10" s="371">
        <v>0</v>
      </c>
      <c r="AI10" s="371">
        <v>34111</v>
      </c>
      <c r="AJ10" s="371">
        <v>0</v>
      </c>
      <c r="AK10" s="371">
        <v>0</v>
      </c>
      <c r="AL10" s="371">
        <v>0</v>
      </c>
      <c r="AM10" s="371">
        <v>0</v>
      </c>
      <c r="AN10" s="371">
        <v>5568</v>
      </c>
      <c r="AO10" s="371">
        <v>0</v>
      </c>
    </row>
    <row r="11" spans="1:41" x14ac:dyDescent="0.3">
      <c r="A11" s="371" t="s">
        <v>220</v>
      </c>
      <c r="B11" s="396">
        <v>8</v>
      </c>
      <c r="C11" s="371">
        <v>25</v>
      </c>
      <c r="D11" s="371">
        <v>1</v>
      </c>
      <c r="E11" s="371">
        <v>9</v>
      </c>
      <c r="F11" s="371">
        <v>10300</v>
      </c>
      <c r="G11" s="371">
        <v>0</v>
      </c>
      <c r="H11" s="371">
        <v>0</v>
      </c>
      <c r="I11" s="371">
        <v>10300</v>
      </c>
      <c r="J11" s="371">
        <v>0</v>
      </c>
      <c r="K11" s="371">
        <v>0</v>
      </c>
      <c r="L11" s="371">
        <v>0</v>
      </c>
      <c r="M11" s="371">
        <v>0</v>
      </c>
      <c r="N11" s="371">
        <v>0</v>
      </c>
      <c r="O11" s="371">
        <v>0</v>
      </c>
      <c r="P11" s="371">
        <v>0</v>
      </c>
      <c r="Q11" s="371">
        <v>0</v>
      </c>
      <c r="R11" s="371">
        <v>0</v>
      </c>
      <c r="S11" s="371">
        <v>0</v>
      </c>
      <c r="T11" s="371">
        <v>0</v>
      </c>
      <c r="U11" s="371">
        <v>0</v>
      </c>
      <c r="V11" s="371">
        <v>0</v>
      </c>
      <c r="W11" s="371">
        <v>0</v>
      </c>
      <c r="X11" s="371">
        <v>0</v>
      </c>
      <c r="Y11" s="371">
        <v>0</v>
      </c>
      <c r="Z11" s="371">
        <v>0</v>
      </c>
      <c r="AA11" s="371">
        <v>0</v>
      </c>
      <c r="AB11" s="371">
        <v>0</v>
      </c>
      <c r="AC11" s="371">
        <v>0</v>
      </c>
      <c r="AD11" s="371">
        <v>0</v>
      </c>
      <c r="AE11" s="371">
        <v>0</v>
      </c>
      <c r="AF11" s="371">
        <v>0</v>
      </c>
      <c r="AG11" s="371">
        <v>0</v>
      </c>
      <c r="AH11" s="371">
        <v>0</v>
      </c>
      <c r="AI11" s="371">
        <v>0</v>
      </c>
      <c r="AJ11" s="371">
        <v>0</v>
      </c>
      <c r="AK11" s="371">
        <v>0</v>
      </c>
      <c r="AL11" s="371">
        <v>0</v>
      </c>
      <c r="AM11" s="371">
        <v>0</v>
      </c>
      <c r="AN11" s="371">
        <v>0</v>
      </c>
      <c r="AO11" s="371">
        <v>0</v>
      </c>
    </row>
    <row r="12" spans="1:41" x14ac:dyDescent="0.3">
      <c r="A12" s="371" t="s">
        <v>221</v>
      </c>
      <c r="B12" s="396">
        <v>9</v>
      </c>
      <c r="C12" s="371">
        <v>25</v>
      </c>
      <c r="D12" s="371">
        <v>1</v>
      </c>
      <c r="E12" s="371">
        <v>10</v>
      </c>
      <c r="F12" s="371">
        <v>2900</v>
      </c>
      <c r="G12" s="371">
        <v>0</v>
      </c>
      <c r="H12" s="371">
        <v>2900</v>
      </c>
      <c r="I12" s="371">
        <v>0</v>
      </c>
      <c r="J12" s="371">
        <v>0</v>
      </c>
      <c r="K12" s="371">
        <v>0</v>
      </c>
      <c r="L12" s="371">
        <v>0</v>
      </c>
      <c r="M12" s="371">
        <v>0</v>
      </c>
      <c r="N12" s="371">
        <v>0</v>
      </c>
      <c r="O12" s="371">
        <v>0</v>
      </c>
      <c r="P12" s="371">
        <v>0</v>
      </c>
      <c r="Q12" s="371">
        <v>0</v>
      </c>
      <c r="R12" s="371">
        <v>0</v>
      </c>
      <c r="S12" s="371">
        <v>0</v>
      </c>
      <c r="T12" s="371">
        <v>0</v>
      </c>
      <c r="U12" s="371">
        <v>0</v>
      </c>
      <c r="V12" s="371">
        <v>0</v>
      </c>
      <c r="W12" s="371">
        <v>0</v>
      </c>
      <c r="X12" s="371">
        <v>0</v>
      </c>
      <c r="Y12" s="371">
        <v>0</v>
      </c>
      <c r="Z12" s="371">
        <v>0</v>
      </c>
      <c r="AA12" s="371">
        <v>0</v>
      </c>
      <c r="AB12" s="371">
        <v>0</v>
      </c>
      <c r="AC12" s="371">
        <v>0</v>
      </c>
      <c r="AD12" s="371">
        <v>0</v>
      </c>
      <c r="AE12" s="371">
        <v>0</v>
      </c>
      <c r="AF12" s="371">
        <v>0</v>
      </c>
      <c r="AG12" s="371">
        <v>0</v>
      </c>
      <c r="AH12" s="371">
        <v>0</v>
      </c>
      <c r="AI12" s="371">
        <v>0</v>
      </c>
      <c r="AJ12" s="371">
        <v>0</v>
      </c>
      <c r="AK12" s="371">
        <v>0</v>
      </c>
      <c r="AL12" s="371">
        <v>0</v>
      </c>
      <c r="AM12" s="371">
        <v>0</v>
      </c>
      <c r="AN12" s="371">
        <v>0</v>
      </c>
      <c r="AO12" s="371">
        <v>0</v>
      </c>
    </row>
    <row r="13" spans="1:41" x14ac:dyDescent="0.3">
      <c r="A13" s="371" t="s">
        <v>222</v>
      </c>
      <c r="B13" s="396">
        <v>10</v>
      </c>
      <c r="C13" s="371">
        <v>25</v>
      </c>
      <c r="D13" s="371">
        <v>1</v>
      </c>
      <c r="E13" s="371">
        <v>11</v>
      </c>
      <c r="F13" s="371">
        <v>4359.8702206865346</v>
      </c>
      <c r="G13" s="371">
        <v>0</v>
      </c>
      <c r="H13" s="371">
        <v>2276.5368873532011</v>
      </c>
      <c r="I13" s="371">
        <v>0</v>
      </c>
      <c r="J13" s="371">
        <v>0</v>
      </c>
      <c r="K13" s="371">
        <v>2083.3333333333335</v>
      </c>
      <c r="L13" s="371">
        <v>0</v>
      </c>
      <c r="M13" s="371">
        <v>0</v>
      </c>
      <c r="N13" s="371">
        <v>0</v>
      </c>
      <c r="O13" s="371">
        <v>0</v>
      </c>
      <c r="P13" s="371">
        <v>0</v>
      </c>
      <c r="Q13" s="371">
        <v>0</v>
      </c>
      <c r="R13" s="371">
        <v>0</v>
      </c>
      <c r="S13" s="371">
        <v>0</v>
      </c>
      <c r="T13" s="371">
        <v>0</v>
      </c>
      <c r="U13" s="371">
        <v>0</v>
      </c>
      <c r="V13" s="371">
        <v>0</v>
      </c>
      <c r="W13" s="371">
        <v>0</v>
      </c>
      <c r="X13" s="371">
        <v>0</v>
      </c>
      <c r="Y13" s="371">
        <v>0</v>
      </c>
      <c r="Z13" s="371">
        <v>0</v>
      </c>
      <c r="AA13" s="371">
        <v>0</v>
      </c>
      <c r="AB13" s="371">
        <v>0</v>
      </c>
      <c r="AC13" s="371">
        <v>0</v>
      </c>
      <c r="AD13" s="371">
        <v>0</v>
      </c>
      <c r="AE13" s="371">
        <v>0</v>
      </c>
      <c r="AF13" s="371">
        <v>0</v>
      </c>
      <c r="AG13" s="371">
        <v>0</v>
      </c>
      <c r="AH13" s="371">
        <v>0</v>
      </c>
      <c r="AI13" s="371">
        <v>0</v>
      </c>
      <c r="AJ13" s="371">
        <v>0</v>
      </c>
      <c r="AK13" s="371">
        <v>0</v>
      </c>
      <c r="AL13" s="371">
        <v>0</v>
      </c>
      <c r="AM13" s="371">
        <v>0</v>
      </c>
      <c r="AN13" s="371">
        <v>0</v>
      </c>
      <c r="AO13" s="371">
        <v>0</v>
      </c>
    </row>
    <row r="14" spans="1:41" x14ac:dyDescent="0.3">
      <c r="A14" s="371" t="s">
        <v>223</v>
      </c>
      <c r="B14" s="396">
        <v>11</v>
      </c>
      <c r="C14" s="371">
        <v>25</v>
      </c>
      <c r="D14" s="371">
        <v>2</v>
      </c>
      <c r="E14" s="371">
        <v>1</v>
      </c>
      <c r="F14" s="371">
        <v>29.1</v>
      </c>
      <c r="G14" s="371">
        <v>0</v>
      </c>
      <c r="H14" s="371">
        <v>0</v>
      </c>
      <c r="I14" s="371">
        <v>7.6</v>
      </c>
      <c r="J14" s="371">
        <v>0</v>
      </c>
      <c r="K14" s="371">
        <v>17.75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  <c r="Q14" s="371">
        <v>0</v>
      </c>
      <c r="R14" s="371">
        <v>0.5</v>
      </c>
      <c r="S14" s="371">
        <v>0</v>
      </c>
      <c r="T14" s="371">
        <v>0</v>
      </c>
      <c r="U14" s="371">
        <v>0</v>
      </c>
      <c r="V14" s="371">
        <v>0</v>
      </c>
      <c r="W14" s="371">
        <v>0</v>
      </c>
      <c r="X14" s="371">
        <v>0</v>
      </c>
      <c r="Y14" s="371">
        <v>0</v>
      </c>
      <c r="Z14" s="371">
        <v>0</v>
      </c>
      <c r="AA14" s="371">
        <v>0</v>
      </c>
      <c r="AB14" s="371">
        <v>0</v>
      </c>
      <c r="AC14" s="371">
        <v>0</v>
      </c>
      <c r="AD14" s="371">
        <v>0</v>
      </c>
      <c r="AE14" s="371">
        <v>0</v>
      </c>
      <c r="AF14" s="371">
        <v>1</v>
      </c>
      <c r="AG14" s="371">
        <v>0</v>
      </c>
      <c r="AH14" s="371">
        <v>0</v>
      </c>
      <c r="AI14" s="371">
        <v>2</v>
      </c>
      <c r="AJ14" s="371">
        <v>0</v>
      </c>
      <c r="AK14" s="371">
        <v>0</v>
      </c>
      <c r="AL14" s="371">
        <v>0</v>
      </c>
      <c r="AM14" s="371">
        <v>0</v>
      </c>
      <c r="AN14" s="371">
        <v>0.25</v>
      </c>
      <c r="AO14" s="371">
        <v>0</v>
      </c>
    </row>
    <row r="15" spans="1:41" x14ac:dyDescent="0.3">
      <c r="A15" s="371" t="s">
        <v>224</v>
      </c>
      <c r="B15" s="396">
        <v>12</v>
      </c>
      <c r="C15" s="371">
        <v>25</v>
      </c>
      <c r="D15" s="371">
        <v>2</v>
      </c>
      <c r="E15" s="371">
        <v>2</v>
      </c>
      <c r="F15" s="371">
        <v>4084.3</v>
      </c>
      <c r="G15" s="371">
        <v>0</v>
      </c>
      <c r="H15" s="371">
        <v>0</v>
      </c>
      <c r="I15" s="371">
        <v>980.8</v>
      </c>
      <c r="J15" s="371">
        <v>0</v>
      </c>
      <c r="K15" s="371">
        <v>2587</v>
      </c>
      <c r="L15" s="371">
        <v>0</v>
      </c>
      <c r="M15" s="371">
        <v>0</v>
      </c>
      <c r="N15" s="371">
        <v>0</v>
      </c>
      <c r="O15" s="371">
        <v>0</v>
      </c>
      <c r="P15" s="371">
        <v>0</v>
      </c>
      <c r="Q15" s="371">
        <v>0</v>
      </c>
      <c r="R15" s="371">
        <v>80</v>
      </c>
      <c r="S15" s="371">
        <v>0</v>
      </c>
      <c r="T15" s="371">
        <v>0</v>
      </c>
      <c r="U15" s="371">
        <v>0</v>
      </c>
      <c r="V15" s="371">
        <v>0</v>
      </c>
      <c r="W15" s="371">
        <v>0</v>
      </c>
      <c r="X15" s="371">
        <v>0</v>
      </c>
      <c r="Y15" s="371">
        <v>0</v>
      </c>
      <c r="Z15" s="371">
        <v>0</v>
      </c>
      <c r="AA15" s="371">
        <v>0</v>
      </c>
      <c r="AB15" s="371">
        <v>0</v>
      </c>
      <c r="AC15" s="371">
        <v>0</v>
      </c>
      <c r="AD15" s="371">
        <v>0</v>
      </c>
      <c r="AE15" s="371">
        <v>0</v>
      </c>
      <c r="AF15" s="371">
        <v>108.5</v>
      </c>
      <c r="AG15" s="371">
        <v>0</v>
      </c>
      <c r="AH15" s="371">
        <v>0</v>
      </c>
      <c r="AI15" s="371">
        <v>298</v>
      </c>
      <c r="AJ15" s="371">
        <v>0</v>
      </c>
      <c r="AK15" s="371">
        <v>0</v>
      </c>
      <c r="AL15" s="371">
        <v>0</v>
      </c>
      <c r="AM15" s="371">
        <v>0</v>
      </c>
      <c r="AN15" s="371">
        <v>30</v>
      </c>
      <c r="AO15" s="371">
        <v>0</v>
      </c>
    </row>
    <row r="16" spans="1:41" x14ac:dyDescent="0.3">
      <c r="A16" s="371" t="s">
        <v>212</v>
      </c>
      <c r="B16" s="396">
        <v>2015</v>
      </c>
      <c r="C16" s="371">
        <v>25</v>
      </c>
      <c r="D16" s="371">
        <v>2</v>
      </c>
      <c r="E16" s="371">
        <v>3</v>
      </c>
      <c r="F16" s="371">
        <v>154.9</v>
      </c>
      <c r="G16" s="371">
        <v>0</v>
      </c>
      <c r="H16" s="371">
        <v>0</v>
      </c>
      <c r="I16" s="371">
        <v>149.9</v>
      </c>
      <c r="J16" s="371">
        <v>0</v>
      </c>
      <c r="K16" s="371">
        <v>0</v>
      </c>
      <c r="L16" s="371">
        <v>0</v>
      </c>
      <c r="M16" s="371">
        <v>0</v>
      </c>
      <c r="N16" s="371">
        <v>0</v>
      </c>
      <c r="O16" s="371">
        <v>0</v>
      </c>
      <c r="P16" s="371">
        <v>0</v>
      </c>
      <c r="Q16" s="371">
        <v>0</v>
      </c>
      <c r="R16" s="371">
        <v>5</v>
      </c>
      <c r="S16" s="371">
        <v>0</v>
      </c>
      <c r="T16" s="371">
        <v>0</v>
      </c>
      <c r="U16" s="371">
        <v>0</v>
      </c>
      <c r="V16" s="371">
        <v>0</v>
      </c>
      <c r="W16" s="371">
        <v>0</v>
      </c>
      <c r="X16" s="371">
        <v>0</v>
      </c>
      <c r="Y16" s="371">
        <v>0</v>
      </c>
      <c r="Z16" s="371">
        <v>0</v>
      </c>
      <c r="AA16" s="371">
        <v>0</v>
      </c>
      <c r="AB16" s="371">
        <v>0</v>
      </c>
      <c r="AC16" s="371">
        <v>0</v>
      </c>
      <c r="AD16" s="371">
        <v>0</v>
      </c>
      <c r="AE16" s="371">
        <v>0</v>
      </c>
      <c r="AF16" s="371">
        <v>0</v>
      </c>
      <c r="AG16" s="371">
        <v>0</v>
      </c>
      <c r="AH16" s="371">
        <v>0</v>
      </c>
      <c r="AI16" s="371">
        <v>0</v>
      </c>
      <c r="AJ16" s="371">
        <v>0</v>
      </c>
      <c r="AK16" s="371">
        <v>0</v>
      </c>
      <c r="AL16" s="371">
        <v>0</v>
      </c>
      <c r="AM16" s="371">
        <v>0</v>
      </c>
      <c r="AN16" s="371">
        <v>0</v>
      </c>
      <c r="AO16" s="371">
        <v>0</v>
      </c>
    </row>
    <row r="17" spans="3:41" x14ac:dyDescent="0.3">
      <c r="C17" s="371">
        <v>25</v>
      </c>
      <c r="D17" s="371">
        <v>2</v>
      </c>
      <c r="E17" s="371">
        <v>4</v>
      </c>
      <c r="F17" s="371">
        <v>209.6</v>
      </c>
      <c r="G17" s="371">
        <v>0</v>
      </c>
      <c r="H17" s="371">
        <v>0</v>
      </c>
      <c r="I17" s="371">
        <v>164.6</v>
      </c>
      <c r="J17" s="371">
        <v>0</v>
      </c>
      <c r="K17" s="371">
        <v>15</v>
      </c>
      <c r="L17" s="371">
        <v>0</v>
      </c>
      <c r="M17" s="371">
        <v>0</v>
      </c>
      <c r="N17" s="371">
        <v>0</v>
      </c>
      <c r="O17" s="371">
        <v>0</v>
      </c>
      <c r="P17" s="371">
        <v>0</v>
      </c>
      <c r="Q17" s="371">
        <v>0</v>
      </c>
      <c r="R17" s="371">
        <v>0</v>
      </c>
      <c r="S17" s="371">
        <v>0</v>
      </c>
      <c r="T17" s="371">
        <v>0</v>
      </c>
      <c r="U17" s="371">
        <v>0</v>
      </c>
      <c r="V17" s="371">
        <v>0</v>
      </c>
      <c r="W17" s="371">
        <v>0</v>
      </c>
      <c r="X17" s="371">
        <v>0</v>
      </c>
      <c r="Y17" s="371">
        <v>0</v>
      </c>
      <c r="Z17" s="371">
        <v>0</v>
      </c>
      <c r="AA17" s="371">
        <v>0</v>
      </c>
      <c r="AB17" s="371">
        <v>0</v>
      </c>
      <c r="AC17" s="371">
        <v>0</v>
      </c>
      <c r="AD17" s="371">
        <v>0</v>
      </c>
      <c r="AE17" s="371">
        <v>0</v>
      </c>
      <c r="AF17" s="371">
        <v>12</v>
      </c>
      <c r="AG17" s="371">
        <v>0</v>
      </c>
      <c r="AH17" s="371">
        <v>0</v>
      </c>
      <c r="AI17" s="371">
        <v>18</v>
      </c>
      <c r="AJ17" s="371">
        <v>0</v>
      </c>
      <c r="AK17" s="371">
        <v>0</v>
      </c>
      <c r="AL17" s="371">
        <v>0</v>
      </c>
      <c r="AM17" s="371">
        <v>0</v>
      </c>
      <c r="AN17" s="371">
        <v>0</v>
      </c>
      <c r="AO17" s="371">
        <v>0</v>
      </c>
    </row>
    <row r="18" spans="3:41" x14ac:dyDescent="0.3">
      <c r="C18" s="371">
        <v>25</v>
      </c>
      <c r="D18" s="371">
        <v>2</v>
      </c>
      <c r="E18" s="371">
        <v>5</v>
      </c>
      <c r="F18" s="371">
        <v>1241</v>
      </c>
      <c r="G18" s="371">
        <v>1241</v>
      </c>
      <c r="H18" s="371">
        <v>0</v>
      </c>
      <c r="I18" s="371">
        <v>0</v>
      </c>
      <c r="J18" s="371">
        <v>0</v>
      </c>
      <c r="K18" s="371">
        <v>0</v>
      </c>
      <c r="L18" s="371">
        <v>0</v>
      </c>
      <c r="M18" s="371">
        <v>0</v>
      </c>
      <c r="N18" s="371">
        <v>0</v>
      </c>
      <c r="O18" s="371">
        <v>0</v>
      </c>
      <c r="P18" s="371">
        <v>0</v>
      </c>
      <c r="Q18" s="371">
        <v>0</v>
      </c>
      <c r="R18" s="371">
        <v>0</v>
      </c>
      <c r="S18" s="371">
        <v>0</v>
      </c>
      <c r="T18" s="371">
        <v>0</v>
      </c>
      <c r="U18" s="371">
        <v>0</v>
      </c>
      <c r="V18" s="371">
        <v>0</v>
      </c>
      <c r="W18" s="371">
        <v>0</v>
      </c>
      <c r="X18" s="371">
        <v>0</v>
      </c>
      <c r="Y18" s="371">
        <v>0</v>
      </c>
      <c r="Z18" s="371">
        <v>0</v>
      </c>
      <c r="AA18" s="371">
        <v>0</v>
      </c>
      <c r="AB18" s="371">
        <v>0</v>
      </c>
      <c r="AC18" s="371">
        <v>0</v>
      </c>
      <c r="AD18" s="371">
        <v>0</v>
      </c>
      <c r="AE18" s="371">
        <v>0</v>
      </c>
      <c r="AF18" s="371">
        <v>0</v>
      </c>
      <c r="AG18" s="371">
        <v>0</v>
      </c>
      <c r="AH18" s="371">
        <v>0</v>
      </c>
      <c r="AI18" s="371">
        <v>0</v>
      </c>
      <c r="AJ18" s="371">
        <v>0</v>
      </c>
      <c r="AK18" s="371">
        <v>0</v>
      </c>
      <c r="AL18" s="371">
        <v>0</v>
      </c>
      <c r="AM18" s="371">
        <v>0</v>
      </c>
      <c r="AN18" s="371">
        <v>0</v>
      </c>
      <c r="AO18" s="371">
        <v>0</v>
      </c>
    </row>
    <row r="19" spans="3:41" x14ac:dyDescent="0.3">
      <c r="C19" s="371">
        <v>25</v>
      </c>
      <c r="D19" s="371">
        <v>2</v>
      </c>
      <c r="E19" s="371">
        <v>6</v>
      </c>
      <c r="F19" s="371">
        <v>1516908</v>
      </c>
      <c r="G19" s="371">
        <v>402650</v>
      </c>
      <c r="H19" s="371">
        <v>0</v>
      </c>
      <c r="I19" s="371">
        <v>511930</v>
      </c>
      <c r="J19" s="371">
        <v>0</v>
      </c>
      <c r="K19" s="371">
        <v>524244</v>
      </c>
      <c r="L19" s="371">
        <v>0</v>
      </c>
      <c r="M19" s="371">
        <v>0</v>
      </c>
      <c r="N19" s="371">
        <v>0</v>
      </c>
      <c r="O19" s="371">
        <v>0</v>
      </c>
      <c r="P19" s="371">
        <v>0</v>
      </c>
      <c r="Q19" s="371">
        <v>0</v>
      </c>
      <c r="R19" s="371">
        <v>14366</v>
      </c>
      <c r="S19" s="371">
        <v>0</v>
      </c>
      <c r="T19" s="371">
        <v>0</v>
      </c>
      <c r="U19" s="371">
        <v>0</v>
      </c>
      <c r="V19" s="371">
        <v>0</v>
      </c>
      <c r="W19" s="371">
        <v>0</v>
      </c>
      <c r="X19" s="371">
        <v>0</v>
      </c>
      <c r="Y19" s="371">
        <v>0</v>
      </c>
      <c r="Z19" s="371">
        <v>0</v>
      </c>
      <c r="AA19" s="371">
        <v>0</v>
      </c>
      <c r="AB19" s="371">
        <v>0</v>
      </c>
      <c r="AC19" s="371">
        <v>0</v>
      </c>
      <c r="AD19" s="371">
        <v>0</v>
      </c>
      <c r="AE19" s="371">
        <v>0</v>
      </c>
      <c r="AF19" s="371">
        <v>21771</v>
      </c>
      <c r="AG19" s="371">
        <v>0</v>
      </c>
      <c r="AH19" s="371">
        <v>0</v>
      </c>
      <c r="AI19" s="371">
        <v>36403</v>
      </c>
      <c r="AJ19" s="371">
        <v>0</v>
      </c>
      <c r="AK19" s="371">
        <v>0</v>
      </c>
      <c r="AL19" s="371">
        <v>0</v>
      </c>
      <c r="AM19" s="371">
        <v>0</v>
      </c>
      <c r="AN19" s="371">
        <v>5544</v>
      </c>
      <c r="AO19" s="371">
        <v>0</v>
      </c>
    </row>
    <row r="20" spans="3:41" x14ac:dyDescent="0.3">
      <c r="C20" s="371">
        <v>25</v>
      </c>
      <c r="D20" s="371">
        <v>2</v>
      </c>
      <c r="E20" s="371">
        <v>9</v>
      </c>
      <c r="F20" s="371">
        <v>14300</v>
      </c>
      <c r="G20" s="371">
        <v>0</v>
      </c>
      <c r="H20" s="371">
        <v>0</v>
      </c>
      <c r="I20" s="371">
        <v>14300</v>
      </c>
      <c r="J20" s="371">
        <v>0</v>
      </c>
      <c r="K20" s="371">
        <v>0</v>
      </c>
      <c r="L20" s="371">
        <v>0</v>
      </c>
      <c r="M20" s="371">
        <v>0</v>
      </c>
      <c r="N20" s="371">
        <v>0</v>
      </c>
      <c r="O20" s="371">
        <v>0</v>
      </c>
      <c r="P20" s="371">
        <v>0</v>
      </c>
      <c r="Q20" s="371">
        <v>0</v>
      </c>
      <c r="R20" s="371">
        <v>0</v>
      </c>
      <c r="S20" s="371">
        <v>0</v>
      </c>
      <c r="T20" s="371">
        <v>0</v>
      </c>
      <c r="U20" s="371">
        <v>0</v>
      </c>
      <c r="V20" s="371">
        <v>0</v>
      </c>
      <c r="W20" s="371">
        <v>0</v>
      </c>
      <c r="X20" s="371">
        <v>0</v>
      </c>
      <c r="Y20" s="371">
        <v>0</v>
      </c>
      <c r="Z20" s="371">
        <v>0</v>
      </c>
      <c r="AA20" s="371">
        <v>0</v>
      </c>
      <c r="AB20" s="371">
        <v>0</v>
      </c>
      <c r="AC20" s="371">
        <v>0</v>
      </c>
      <c r="AD20" s="371">
        <v>0</v>
      </c>
      <c r="AE20" s="371">
        <v>0</v>
      </c>
      <c r="AF20" s="371">
        <v>0</v>
      </c>
      <c r="AG20" s="371">
        <v>0</v>
      </c>
      <c r="AH20" s="371">
        <v>0</v>
      </c>
      <c r="AI20" s="371">
        <v>0</v>
      </c>
      <c r="AJ20" s="371">
        <v>0</v>
      </c>
      <c r="AK20" s="371">
        <v>0</v>
      </c>
      <c r="AL20" s="371">
        <v>0</v>
      </c>
      <c r="AM20" s="371">
        <v>0</v>
      </c>
      <c r="AN20" s="371">
        <v>0</v>
      </c>
      <c r="AO20" s="371">
        <v>0</v>
      </c>
    </row>
    <row r="21" spans="3:41" x14ac:dyDescent="0.3">
      <c r="C21" s="371">
        <v>25</v>
      </c>
      <c r="D21" s="371">
        <v>2</v>
      </c>
      <c r="E21" s="371">
        <v>11</v>
      </c>
      <c r="F21" s="371">
        <v>4359.8702206865346</v>
      </c>
      <c r="G21" s="371">
        <v>0</v>
      </c>
      <c r="H21" s="371">
        <v>2276.5368873532011</v>
      </c>
      <c r="I21" s="371">
        <v>0</v>
      </c>
      <c r="J21" s="371">
        <v>0</v>
      </c>
      <c r="K21" s="371">
        <v>2083.3333333333335</v>
      </c>
      <c r="L21" s="371">
        <v>0</v>
      </c>
      <c r="M21" s="371">
        <v>0</v>
      </c>
      <c r="N21" s="371">
        <v>0</v>
      </c>
      <c r="O21" s="371">
        <v>0</v>
      </c>
      <c r="P21" s="371">
        <v>0</v>
      </c>
      <c r="Q21" s="371">
        <v>0</v>
      </c>
      <c r="R21" s="371">
        <v>0</v>
      </c>
      <c r="S21" s="371">
        <v>0</v>
      </c>
      <c r="T21" s="371">
        <v>0</v>
      </c>
      <c r="U21" s="371">
        <v>0</v>
      </c>
      <c r="V21" s="371">
        <v>0</v>
      </c>
      <c r="W21" s="371">
        <v>0</v>
      </c>
      <c r="X21" s="371">
        <v>0</v>
      </c>
      <c r="Y21" s="371">
        <v>0</v>
      </c>
      <c r="Z21" s="371">
        <v>0</v>
      </c>
      <c r="AA21" s="371">
        <v>0</v>
      </c>
      <c r="AB21" s="371">
        <v>0</v>
      </c>
      <c r="AC21" s="371">
        <v>0</v>
      </c>
      <c r="AD21" s="371">
        <v>0</v>
      </c>
      <c r="AE21" s="371">
        <v>0</v>
      </c>
      <c r="AF21" s="371">
        <v>0</v>
      </c>
      <c r="AG21" s="371">
        <v>0</v>
      </c>
      <c r="AH21" s="371">
        <v>0</v>
      </c>
      <c r="AI21" s="371">
        <v>0</v>
      </c>
      <c r="AJ21" s="371">
        <v>0</v>
      </c>
      <c r="AK21" s="371">
        <v>0</v>
      </c>
      <c r="AL21" s="371">
        <v>0</v>
      </c>
      <c r="AM21" s="371">
        <v>0</v>
      </c>
      <c r="AN21" s="371">
        <v>0</v>
      </c>
      <c r="AO21" s="371">
        <v>0</v>
      </c>
    </row>
    <row r="22" spans="3:41" x14ac:dyDescent="0.3">
      <c r="C22" s="371">
        <v>25</v>
      </c>
      <c r="D22" s="371">
        <v>3</v>
      </c>
      <c r="E22" s="371">
        <v>1</v>
      </c>
      <c r="F22" s="371">
        <v>29.1</v>
      </c>
      <c r="G22" s="371">
        <v>0</v>
      </c>
      <c r="H22" s="371">
        <v>0</v>
      </c>
      <c r="I22" s="371">
        <v>7.6</v>
      </c>
      <c r="J22" s="371">
        <v>0</v>
      </c>
      <c r="K22" s="371">
        <v>17.75</v>
      </c>
      <c r="L22" s="371">
        <v>0</v>
      </c>
      <c r="M22" s="371">
        <v>0</v>
      </c>
      <c r="N22" s="371">
        <v>0</v>
      </c>
      <c r="O22" s="371">
        <v>0</v>
      </c>
      <c r="P22" s="371">
        <v>0</v>
      </c>
      <c r="Q22" s="371">
        <v>0</v>
      </c>
      <c r="R22" s="371">
        <v>0.5</v>
      </c>
      <c r="S22" s="371">
        <v>0</v>
      </c>
      <c r="T22" s="371">
        <v>0</v>
      </c>
      <c r="U22" s="371">
        <v>0</v>
      </c>
      <c r="V22" s="371">
        <v>0</v>
      </c>
      <c r="W22" s="371">
        <v>0</v>
      </c>
      <c r="X22" s="371">
        <v>0</v>
      </c>
      <c r="Y22" s="371">
        <v>0</v>
      </c>
      <c r="Z22" s="371">
        <v>0</v>
      </c>
      <c r="AA22" s="371">
        <v>0</v>
      </c>
      <c r="AB22" s="371">
        <v>0</v>
      </c>
      <c r="AC22" s="371">
        <v>0</v>
      </c>
      <c r="AD22" s="371">
        <v>0</v>
      </c>
      <c r="AE22" s="371">
        <v>0</v>
      </c>
      <c r="AF22" s="371">
        <v>1</v>
      </c>
      <c r="AG22" s="371">
        <v>0</v>
      </c>
      <c r="AH22" s="371">
        <v>0</v>
      </c>
      <c r="AI22" s="371">
        <v>2</v>
      </c>
      <c r="AJ22" s="371">
        <v>0</v>
      </c>
      <c r="AK22" s="371">
        <v>0</v>
      </c>
      <c r="AL22" s="371">
        <v>0</v>
      </c>
      <c r="AM22" s="371">
        <v>0</v>
      </c>
      <c r="AN22" s="371">
        <v>0.25</v>
      </c>
      <c r="AO22" s="371">
        <v>0</v>
      </c>
    </row>
    <row r="23" spans="3:41" x14ac:dyDescent="0.3">
      <c r="C23" s="371">
        <v>25</v>
      </c>
      <c r="D23" s="371">
        <v>3</v>
      </c>
      <c r="E23" s="371">
        <v>2</v>
      </c>
      <c r="F23" s="371">
        <v>4826.3999999999996</v>
      </c>
      <c r="G23" s="371">
        <v>0</v>
      </c>
      <c r="H23" s="371">
        <v>0</v>
      </c>
      <c r="I23" s="371">
        <v>1314.4</v>
      </c>
      <c r="J23" s="371">
        <v>0</v>
      </c>
      <c r="K23" s="371">
        <v>2882.75</v>
      </c>
      <c r="L23" s="371">
        <v>0</v>
      </c>
      <c r="M23" s="371">
        <v>0</v>
      </c>
      <c r="N23" s="371">
        <v>0</v>
      </c>
      <c r="O23" s="371">
        <v>0</v>
      </c>
      <c r="P23" s="371">
        <v>0</v>
      </c>
      <c r="Q23" s="371">
        <v>0</v>
      </c>
      <c r="R23" s="371">
        <v>76</v>
      </c>
      <c r="S23" s="371">
        <v>0</v>
      </c>
      <c r="T23" s="371">
        <v>0</v>
      </c>
      <c r="U23" s="371">
        <v>0</v>
      </c>
      <c r="V23" s="371">
        <v>0</v>
      </c>
      <c r="W23" s="371">
        <v>0</v>
      </c>
      <c r="X23" s="371">
        <v>0</v>
      </c>
      <c r="Y23" s="371">
        <v>0</v>
      </c>
      <c r="Z23" s="371">
        <v>0</v>
      </c>
      <c r="AA23" s="371">
        <v>0</v>
      </c>
      <c r="AB23" s="371">
        <v>0</v>
      </c>
      <c r="AC23" s="371">
        <v>0</v>
      </c>
      <c r="AD23" s="371">
        <v>0</v>
      </c>
      <c r="AE23" s="371">
        <v>0</v>
      </c>
      <c r="AF23" s="371">
        <v>162.75</v>
      </c>
      <c r="AG23" s="371">
        <v>0</v>
      </c>
      <c r="AH23" s="371">
        <v>0</v>
      </c>
      <c r="AI23" s="371">
        <v>346.5</v>
      </c>
      <c r="AJ23" s="371">
        <v>0</v>
      </c>
      <c r="AK23" s="371">
        <v>0</v>
      </c>
      <c r="AL23" s="371">
        <v>0</v>
      </c>
      <c r="AM23" s="371">
        <v>0</v>
      </c>
      <c r="AN23" s="371">
        <v>44</v>
      </c>
      <c r="AO23" s="371">
        <v>0</v>
      </c>
    </row>
    <row r="24" spans="3:41" x14ac:dyDescent="0.3">
      <c r="C24" s="371">
        <v>25</v>
      </c>
      <c r="D24" s="371">
        <v>3</v>
      </c>
      <c r="E24" s="371">
        <v>3</v>
      </c>
      <c r="F24" s="371">
        <v>193.5</v>
      </c>
      <c r="G24" s="371">
        <v>0</v>
      </c>
      <c r="H24" s="371">
        <v>0</v>
      </c>
      <c r="I24" s="371">
        <v>183.5</v>
      </c>
      <c r="J24" s="371">
        <v>0</v>
      </c>
      <c r="K24" s="371">
        <v>0</v>
      </c>
      <c r="L24" s="371">
        <v>0</v>
      </c>
      <c r="M24" s="371">
        <v>0</v>
      </c>
      <c r="N24" s="371">
        <v>0</v>
      </c>
      <c r="O24" s="371">
        <v>0</v>
      </c>
      <c r="P24" s="371">
        <v>0</v>
      </c>
      <c r="Q24" s="371">
        <v>0</v>
      </c>
      <c r="R24" s="371">
        <v>10</v>
      </c>
      <c r="S24" s="371">
        <v>0</v>
      </c>
      <c r="T24" s="371">
        <v>0</v>
      </c>
      <c r="U24" s="371">
        <v>0</v>
      </c>
      <c r="V24" s="371">
        <v>0</v>
      </c>
      <c r="W24" s="371">
        <v>0</v>
      </c>
      <c r="X24" s="371">
        <v>0</v>
      </c>
      <c r="Y24" s="371">
        <v>0</v>
      </c>
      <c r="Z24" s="371">
        <v>0</v>
      </c>
      <c r="AA24" s="371">
        <v>0</v>
      </c>
      <c r="AB24" s="371">
        <v>0</v>
      </c>
      <c r="AC24" s="371">
        <v>0</v>
      </c>
      <c r="AD24" s="371">
        <v>0</v>
      </c>
      <c r="AE24" s="371">
        <v>0</v>
      </c>
      <c r="AF24" s="371">
        <v>0</v>
      </c>
      <c r="AG24" s="371">
        <v>0</v>
      </c>
      <c r="AH24" s="371">
        <v>0</v>
      </c>
      <c r="AI24" s="371">
        <v>0</v>
      </c>
      <c r="AJ24" s="371">
        <v>0</v>
      </c>
      <c r="AK24" s="371">
        <v>0</v>
      </c>
      <c r="AL24" s="371">
        <v>0</v>
      </c>
      <c r="AM24" s="371">
        <v>0</v>
      </c>
      <c r="AN24" s="371">
        <v>0</v>
      </c>
      <c r="AO24" s="371">
        <v>0</v>
      </c>
    </row>
    <row r="25" spans="3:41" x14ac:dyDescent="0.3">
      <c r="C25" s="371">
        <v>25</v>
      </c>
      <c r="D25" s="371">
        <v>3</v>
      </c>
      <c r="E25" s="371">
        <v>4</v>
      </c>
      <c r="F25" s="371">
        <v>182</v>
      </c>
      <c r="G25" s="371">
        <v>0</v>
      </c>
      <c r="H25" s="371">
        <v>0</v>
      </c>
      <c r="I25" s="371">
        <v>128</v>
      </c>
      <c r="J25" s="371">
        <v>0</v>
      </c>
      <c r="K25" s="371">
        <v>18</v>
      </c>
      <c r="L25" s="371">
        <v>0</v>
      </c>
      <c r="M25" s="371">
        <v>0</v>
      </c>
      <c r="N25" s="371">
        <v>0</v>
      </c>
      <c r="O25" s="371">
        <v>0</v>
      </c>
      <c r="P25" s="371">
        <v>0</v>
      </c>
      <c r="Q25" s="371">
        <v>0</v>
      </c>
      <c r="R25" s="371">
        <v>0</v>
      </c>
      <c r="S25" s="371">
        <v>0</v>
      </c>
      <c r="T25" s="371">
        <v>0</v>
      </c>
      <c r="U25" s="371">
        <v>0</v>
      </c>
      <c r="V25" s="371">
        <v>0</v>
      </c>
      <c r="W25" s="371">
        <v>0</v>
      </c>
      <c r="X25" s="371">
        <v>0</v>
      </c>
      <c r="Y25" s="371">
        <v>0</v>
      </c>
      <c r="Z25" s="371">
        <v>0</v>
      </c>
      <c r="AA25" s="371">
        <v>0</v>
      </c>
      <c r="AB25" s="371">
        <v>0</v>
      </c>
      <c r="AC25" s="371">
        <v>0</v>
      </c>
      <c r="AD25" s="371">
        <v>0</v>
      </c>
      <c r="AE25" s="371">
        <v>0</v>
      </c>
      <c r="AF25" s="371">
        <v>12</v>
      </c>
      <c r="AG25" s="371">
        <v>0</v>
      </c>
      <c r="AH25" s="371">
        <v>0</v>
      </c>
      <c r="AI25" s="371">
        <v>24</v>
      </c>
      <c r="AJ25" s="371">
        <v>0</v>
      </c>
      <c r="AK25" s="371">
        <v>0</v>
      </c>
      <c r="AL25" s="371">
        <v>0</v>
      </c>
      <c r="AM25" s="371">
        <v>0</v>
      </c>
      <c r="AN25" s="371">
        <v>0</v>
      </c>
      <c r="AO25" s="371">
        <v>0</v>
      </c>
    </row>
    <row r="26" spans="3:41" x14ac:dyDescent="0.3">
      <c r="C26" s="371">
        <v>25</v>
      </c>
      <c r="D26" s="371">
        <v>3</v>
      </c>
      <c r="E26" s="371">
        <v>5</v>
      </c>
      <c r="F26" s="371">
        <v>1372</v>
      </c>
      <c r="G26" s="371">
        <v>1372</v>
      </c>
      <c r="H26" s="371">
        <v>0</v>
      </c>
      <c r="I26" s="371">
        <v>0</v>
      </c>
      <c r="J26" s="371">
        <v>0</v>
      </c>
      <c r="K26" s="371">
        <v>0</v>
      </c>
      <c r="L26" s="371">
        <v>0</v>
      </c>
      <c r="M26" s="371">
        <v>0</v>
      </c>
      <c r="N26" s="371">
        <v>0</v>
      </c>
      <c r="O26" s="371">
        <v>0</v>
      </c>
      <c r="P26" s="371">
        <v>0</v>
      </c>
      <c r="Q26" s="371">
        <v>0</v>
      </c>
      <c r="R26" s="371">
        <v>0</v>
      </c>
      <c r="S26" s="371">
        <v>0</v>
      </c>
      <c r="T26" s="371">
        <v>0</v>
      </c>
      <c r="U26" s="371">
        <v>0</v>
      </c>
      <c r="V26" s="371">
        <v>0</v>
      </c>
      <c r="W26" s="371">
        <v>0</v>
      </c>
      <c r="X26" s="371">
        <v>0</v>
      </c>
      <c r="Y26" s="371">
        <v>0</v>
      </c>
      <c r="Z26" s="371">
        <v>0</v>
      </c>
      <c r="AA26" s="371">
        <v>0</v>
      </c>
      <c r="AB26" s="371">
        <v>0</v>
      </c>
      <c r="AC26" s="371">
        <v>0</v>
      </c>
      <c r="AD26" s="371">
        <v>0</v>
      </c>
      <c r="AE26" s="371">
        <v>0</v>
      </c>
      <c r="AF26" s="371">
        <v>0</v>
      </c>
      <c r="AG26" s="371">
        <v>0</v>
      </c>
      <c r="AH26" s="371">
        <v>0</v>
      </c>
      <c r="AI26" s="371">
        <v>0</v>
      </c>
      <c r="AJ26" s="371">
        <v>0</v>
      </c>
      <c r="AK26" s="371">
        <v>0</v>
      </c>
      <c r="AL26" s="371">
        <v>0</v>
      </c>
      <c r="AM26" s="371">
        <v>0</v>
      </c>
      <c r="AN26" s="371">
        <v>0</v>
      </c>
      <c r="AO26" s="371">
        <v>0</v>
      </c>
    </row>
    <row r="27" spans="3:41" x14ac:dyDescent="0.3">
      <c r="C27" s="371">
        <v>25</v>
      </c>
      <c r="D27" s="371">
        <v>3</v>
      </c>
      <c r="E27" s="371">
        <v>6</v>
      </c>
      <c r="F27" s="371">
        <v>1542987</v>
      </c>
      <c r="G27" s="371">
        <v>444250</v>
      </c>
      <c r="H27" s="371">
        <v>0</v>
      </c>
      <c r="I27" s="371">
        <v>487571</v>
      </c>
      <c r="J27" s="371">
        <v>0</v>
      </c>
      <c r="K27" s="371">
        <v>531634</v>
      </c>
      <c r="L27" s="371">
        <v>0</v>
      </c>
      <c r="M27" s="371">
        <v>0</v>
      </c>
      <c r="N27" s="371">
        <v>0</v>
      </c>
      <c r="O27" s="371">
        <v>0</v>
      </c>
      <c r="P27" s="371">
        <v>0</v>
      </c>
      <c r="Q27" s="371">
        <v>0</v>
      </c>
      <c r="R27" s="371">
        <v>15236</v>
      </c>
      <c r="S27" s="371">
        <v>0</v>
      </c>
      <c r="T27" s="371">
        <v>0</v>
      </c>
      <c r="U27" s="371">
        <v>0</v>
      </c>
      <c r="V27" s="371">
        <v>0</v>
      </c>
      <c r="W27" s="371">
        <v>0</v>
      </c>
      <c r="X27" s="371">
        <v>0</v>
      </c>
      <c r="Y27" s="371">
        <v>0</v>
      </c>
      <c r="Z27" s="371">
        <v>0</v>
      </c>
      <c r="AA27" s="371">
        <v>0</v>
      </c>
      <c r="AB27" s="371">
        <v>0</v>
      </c>
      <c r="AC27" s="371">
        <v>0</v>
      </c>
      <c r="AD27" s="371">
        <v>0</v>
      </c>
      <c r="AE27" s="371">
        <v>0</v>
      </c>
      <c r="AF27" s="371">
        <v>21523</v>
      </c>
      <c r="AG27" s="371">
        <v>0</v>
      </c>
      <c r="AH27" s="371">
        <v>0</v>
      </c>
      <c r="AI27" s="371">
        <v>37205</v>
      </c>
      <c r="AJ27" s="371">
        <v>0</v>
      </c>
      <c r="AK27" s="371">
        <v>0</v>
      </c>
      <c r="AL27" s="371">
        <v>0</v>
      </c>
      <c r="AM27" s="371">
        <v>0</v>
      </c>
      <c r="AN27" s="371">
        <v>5568</v>
      </c>
      <c r="AO27" s="371">
        <v>0</v>
      </c>
    </row>
    <row r="28" spans="3:41" x14ac:dyDescent="0.3">
      <c r="C28" s="371">
        <v>25</v>
      </c>
      <c r="D28" s="371">
        <v>3</v>
      </c>
      <c r="E28" s="371">
        <v>11</v>
      </c>
      <c r="F28" s="371">
        <v>4359.8702206865346</v>
      </c>
      <c r="G28" s="371">
        <v>0</v>
      </c>
      <c r="H28" s="371">
        <v>2276.5368873532011</v>
      </c>
      <c r="I28" s="371">
        <v>0</v>
      </c>
      <c r="J28" s="371">
        <v>0</v>
      </c>
      <c r="K28" s="371">
        <v>2083.3333333333335</v>
      </c>
      <c r="L28" s="371">
        <v>0</v>
      </c>
      <c r="M28" s="371">
        <v>0</v>
      </c>
      <c r="N28" s="371">
        <v>0</v>
      </c>
      <c r="O28" s="371">
        <v>0</v>
      </c>
      <c r="P28" s="371">
        <v>0</v>
      </c>
      <c r="Q28" s="371">
        <v>0</v>
      </c>
      <c r="R28" s="371">
        <v>0</v>
      </c>
      <c r="S28" s="371">
        <v>0</v>
      </c>
      <c r="T28" s="371">
        <v>0</v>
      </c>
      <c r="U28" s="371">
        <v>0</v>
      </c>
      <c r="V28" s="371">
        <v>0</v>
      </c>
      <c r="W28" s="371">
        <v>0</v>
      </c>
      <c r="X28" s="371">
        <v>0</v>
      </c>
      <c r="Y28" s="371">
        <v>0</v>
      </c>
      <c r="Z28" s="371">
        <v>0</v>
      </c>
      <c r="AA28" s="371">
        <v>0</v>
      </c>
      <c r="AB28" s="371">
        <v>0</v>
      </c>
      <c r="AC28" s="371">
        <v>0</v>
      </c>
      <c r="AD28" s="371">
        <v>0</v>
      </c>
      <c r="AE28" s="371">
        <v>0</v>
      </c>
      <c r="AF28" s="371">
        <v>0</v>
      </c>
      <c r="AG28" s="371">
        <v>0</v>
      </c>
      <c r="AH28" s="371">
        <v>0</v>
      </c>
      <c r="AI28" s="371">
        <v>0</v>
      </c>
      <c r="AJ28" s="371">
        <v>0</v>
      </c>
      <c r="AK28" s="371">
        <v>0</v>
      </c>
      <c r="AL28" s="371">
        <v>0</v>
      </c>
      <c r="AM28" s="371">
        <v>0</v>
      </c>
      <c r="AN28" s="371">
        <v>0</v>
      </c>
      <c r="AO28" s="371">
        <v>0</v>
      </c>
    </row>
    <row r="29" spans="3:41" x14ac:dyDescent="0.3">
      <c r="C29" s="371">
        <v>25</v>
      </c>
      <c r="D29" s="371">
        <v>4</v>
      </c>
      <c r="E29" s="371">
        <v>1</v>
      </c>
      <c r="F29" s="371">
        <v>29.1</v>
      </c>
      <c r="G29" s="371">
        <v>0</v>
      </c>
      <c r="H29" s="371">
        <v>0</v>
      </c>
      <c r="I29" s="371">
        <v>7.6</v>
      </c>
      <c r="J29" s="371">
        <v>0</v>
      </c>
      <c r="K29" s="371">
        <v>17.75</v>
      </c>
      <c r="L29" s="371">
        <v>0</v>
      </c>
      <c r="M29" s="371">
        <v>0</v>
      </c>
      <c r="N29" s="371">
        <v>0</v>
      </c>
      <c r="O29" s="371">
        <v>0</v>
      </c>
      <c r="P29" s="371">
        <v>0</v>
      </c>
      <c r="Q29" s="371">
        <v>0</v>
      </c>
      <c r="R29" s="371">
        <v>0.5</v>
      </c>
      <c r="S29" s="371">
        <v>0</v>
      </c>
      <c r="T29" s="371">
        <v>0</v>
      </c>
      <c r="U29" s="371">
        <v>0</v>
      </c>
      <c r="V29" s="371">
        <v>0</v>
      </c>
      <c r="W29" s="371">
        <v>0</v>
      </c>
      <c r="X29" s="371">
        <v>0</v>
      </c>
      <c r="Y29" s="371">
        <v>0</v>
      </c>
      <c r="Z29" s="371">
        <v>0</v>
      </c>
      <c r="AA29" s="371">
        <v>0</v>
      </c>
      <c r="AB29" s="371">
        <v>0</v>
      </c>
      <c r="AC29" s="371">
        <v>0</v>
      </c>
      <c r="AD29" s="371">
        <v>0</v>
      </c>
      <c r="AE29" s="371">
        <v>0</v>
      </c>
      <c r="AF29" s="371">
        <v>1</v>
      </c>
      <c r="AG29" s="371">
        <v>0</v>
      </c>
      <c r="AH29" s="371">
        <v>0</v>
      </c>
      <c r="AI29" s="371">
        <v>2</v>
      </c>
      <c r="AJ29" s="371">
        <v>0</v>
      </c>
      <c r="AK29" s="371">
        <v>0</v>
      </c>
      <c r="AL29" s="371">
        <v>0</v>
      </c>
      <c r="AM29" s="371">
        <v>0</v>
      </c>
      <c r="AN29" s="371">
        <v>0.25</v>
      </c>
      <c r="AO29" s="371">
        <v>0</v>
      </c>
    </row>
    <row r="30" spans="3:41" x14ac:dyDescent="0.3">
      <c r="C30" s="371">
        <v>25</v>
      </c>
      <c r="D30" s="371">
        <v>4</v>
      </c>
      <c r="E30" s="371">
        <v>2</v>
      </c>
      <c r="F30" s="371">
        <v>4872.6499999999996</v>
      </c>
      <c r="G30" s="371">
        <v>0</v>
      </c>
      <c r="H30" s="371">
        <v>0</v>
      </c>
      <c r="I30" s="371">
        <v>1322.4</v>
      </c>
      <c r="J30" s="371">
        <v>0</v>
      </c>
      <c r="K30" s="371">
        <v>2940</v>
      </c>
      <c r="L30" s="371">
        <v>0</v>
      </c>
      <c r="M30" s="371">
        <v>0</v>
      </c>
      <c r="N30" s="371">
        <v>0</v>
      </c>
      <c r="O30" s="371">
        <v>0</v>
      </c>
      <c r="P30" s="371">
        <v>0</v>
      </c>
      <c r="Q30" s="371">
        <v>0</v>
      </c>
      <c r="R30" s="371">
        <v>88</v>
      </c>
      <c r="S30" s="371">
        <v>0</v>
      </c>
      <c r="T30" s="371">
        <v>0</v>
      </c>
      <c r="U30" s="371">
        <v>0</v>
      </c>
      <c r="V30" s="371">
        <v>0</v>
      </c>
      <c r="W30" s="371">
        <v>0</v>
      </c>
      <c r="X30" s="371">
        <v>0</v>
      </c>
      <c r="Y30" s="371">
        <v>0</v>
      </c>
      <c r="Z30" s="371">
        <v>0</v>
      </c>
      <c r="AA30" s="371">
        <v>0</v>
      </c>
      <c r="AB30" s="371">
        <v>0</v>
      </c>
      <c r="AC30" s="371">
        <v>0</v>
      </c>
      <c r="AD30" s="371">
        <v>0</v>
      </c>
      <c r="AE30" s="371">
        <v>0</v>
      </c>
      <c r="AF30" s="371">
        <v>170.5</v>
      </c>
      <c r="AG30" s="371">
        <v>0</v>
      </c>
      <c r="AH30" s="371">
        <v>0</v>
      </c>
      <c r="AI30" s="371">
        <v>307.75</v>
      </c>
      <c r="AJ30" s="371">
        <v>0</v>
      </c>
      <c r="AK30" s="371">
        <v>0</v>
      </c>
      <c r="AL30" s="371">
        <v>0</v>
      </c>
      <c r="AM30" s="371">
        <v>0</v>
      </c>
      <c r="AN30" s="371">
        <v>44</v>
      </c>
      <c r="AO30" s="371">
        <v>0</v>
      </c>
    </row>
    <row r="31" spans="3:41" x14ac:dyDescent="0.3">
      <c r="C31" s="371">
        <v>25</v>
      </c>
      <c r="D31" s="371">
        <v>4</v>
      </c>
      <c r="E31" s="371">
        <v>3</v>
      </c>
      <c r="F31" s="371">
        <v>184.25</v>
      </c>
      <c r="G31" s="371">
        <v>0</v>
      </c>
      <c r="H31" s="371">
        <v>0</v>
      </c>
      <c r="I31" s="371">
        <v>184.25</v>
      </c>
      <c r="J31" s="371">
        <v>0</v>
      </c>
      <c r="K31" s="371">
        <v>0</v>
      </c>
      <c r="L31" s="371">
        <v>0</v>
      </c>
      <c r="M31" s="371">
        <v>0</v>
      </c>
      <c r="N31" s="371">
        <v>0</v>
      </c>
      <c r="O31" s="371">
        <v>0</v>
      </c>
      <c r="P31" s="371">
        <v>0</v>
      </c>
      <c r="Q31" s="371">
        <v>0</v>
      </c>
      <c r="R31" s="371">
        <v>0</v>
      </c>
      <c r="S31" s="371">
        <v>0</v>
      </c>
      <c r="T31" s="371">
        <v>0</v>
      </c>
      <c r="U31" s="371">
        <v>0</v>
      </c>
      <c r="V31" s="371">
        <v>0</v>
      </c>
      <c r="W31" s="371">
        <v>0</v>
      </c>
      <c r="X31" s="371">
        <v>0</v>
      </c>
      <c r="Y31" s="371">
        <v>0</v>
      </c>
      <c r="Z31" s="371">
        <v>0</v>
      </c>
      <c r="AA31" s="371">
        <v>0</v>
      </c>
      <c r="AB31" s="371">
        <v>0</v>
      </c>
      <c r="AC31" s="371">
        <v>0</v>
      </c>
      <c r="AD31" s="371">
        <v>0</v>
      </c>
      <c r="AE31" s="371">
        <v>0</v>
      </c>
      <c r="AF31" s="371">
        <v>0</v>
      </c>
      <c r="AG31" s="371">
        <v>0</v>
      </c>
      <c r="AH31" s="371">
        <v>0</v>
      </c>
      <c r="AI31" s="371">
        <v>0</v>
      </c>
      <c r="AJ31" s="371">
        <v>0</v>
      </c>
      <c r="AK31" s="371">
        <v>0</v>
      </c>
      <c r="AL31" s="371">
        <v>0</v>
      </c>
      <c r="AM31" s="371">
        <v>0</v>
      </c>
      <c r="AN31" s="371">
        <v>0</v>
      </c>
      <c r="AO31" s="371">
        <v>0</v>
      </c>
    </row>
    <row r="32" spans="3:41" x14ac:dyDescent="0.3">
      <c r="C32" s="371">
        <v>25</v>
      </c>
      <c r="D32" s="371">
        <v>4</v>
      </c>
      <c r="E32" s="371">
        <v>4</v>
      </c>
      <c r="F32" s="371">
        <v>163.75</v>
      </c>
      <c r="G32" s="371">
        <v>0</v>
      </c>
      <c r="H32" s="371">
        <v>0</v>
      </c>
      <c r="I32" s="371">
        <v>139.75</v>
      </c>
      <c r="J32" s="371">
        <v>0</v>
      </c>
      <c r="K32" s="371">
        <v>0</v>
      </c>
      <c r="L32" s="371">
        <v>0</v>
      </c>
      <c r="M32" s="371">
        <v>0</v>
      </c>
      <c r="N32" s="371">
        <v>0</v>
      </c>
      <c r="O32" s="371">
        <v>0</v>
      </c>
      <c r="P32" s="371">
        <v>0</v>
      </c>
      <c r="Q32" s="371">
        <v>0</v>
      </c>
      <c r="R32" s="371">
        <v>0</v>
      </c>
      <c r="S32" s="371">
        <v>0</v>
      </c>
      <c r="T32" s="371">
        <v>0</v>
      </c>
      <c r="U32" s="371">
        <v>0</v>
      </c>
      <c r="V32" s="371">
        <v>0</v>
      </c>
      <c r="W32" s="371">
        <v>0</v>
      </c>
      <c r="X32" s="371">
        <v>0</v>
      </c>
      <c r="Y32" s="371">
        <v>0</v>
      </c>
      <c r="Z32" s="371">
        <v>0</v>
      </c>
      <c r="AA32" s="371">
        <v>0</v>
      </c>
      <c r="AB32" s="371">
        <v>0</v>
      </c>
      <c r="AC32" s="371">
        <v>0</v>
      </c>
      <c r="AD32" s="371">
        <v>0</v>
      </c>
      <c r="AE32" s="371">
        <v>0</v>
      </c>
      <c r="AF32" s="371">
        <v>6</v>
      </c>
      <c r="AG32" s="371">
        <v>0</v>
      </c>
      <c r="AH32" s="371">
        <v>0</v>
      </c>
      <c r="AI32" s="371">
        <v>18</v>
      </c>
      <c r="AJ32" s="371">
        <v>0</v>
      </c>
      <c r="AK32" s="371">
        <v>0</v>
      </c>
      <c r="AL32" s="371">
        <v>0</v>
      </c>
      <c r="AM32" s="371">
        <v>0</v>
      </c>
      <c r="AN32" s="371">
        <v>0</v>
      </c>
      <c r="AO32" s="371">
        <v>0</v>
      </c>
    </row>
    <row r="33" spans="3:41" x14ac:dyDescent="0.3">
      <c r="C33" s="371">
        <v>25</v>
      </c>
      <c r="D33" s="371">
        <v>4</v>
      </c>
      <c r="E33" s="371">
        <v>5</v>
      </c>
      <c r="F33" s="371">
        <v>1351</v>
      </c>
      <c r="G33" s="371">
        <v>1351</v>
      </c>
      <c r="H33" s="371">
        <v>0</v>
      </c>
      <c r="I33" s="371">
        <v>0</v>
      </c>
      <c r="J33" s="371">
        <v>0</v>
      </c>
      <c r="K33" s="371">
        <v>0</v>
      </c>
      <c r="L33" s="371">
        <v>0</v>
      </c>
      <c r="M33" s="371">
        <v>0</v>
      </c>
      <c r="N33" s="371">
        <v>0</v>
      </c>
      <c r="O33" s="371">
        <v>0</v>
      </c>
      <c r="P33" s="371">
        <v>0</v>
      </c>
      <c r="Q33" s="371">
        <v>0</v>
      </c>
      <c r="R33" s="371">
        <v>0</v>
      </c>
      <c r="S33" s="371">
        <v>0</v>
      </c>
      <c r="T33" s="371">
        <v>0</v>
      </c>
      <c r="U33" s="371">
        <v>0</v>
      </c>
      <c r="V33" s="371">
        <v>0</v>
      </c>
      <c r="W33" s="371">
        <v>0</v>
      </c>
      <c r="X33" s="371">
        <v>0</v>
      </c>
      <c r="Y33" s="371">
        <v>0</v>
      </c>
      <c r="Z33" s="371">
        <v>0</v>
      </c>
      <c r="AA33" s="371">
        <v>0</v>
      </c>
      <c r="AB33" s="371">
        <v>0</v>
      </c>
      <c r="AC33" s="371">
        <v>0</v>
      </c>
      <c r="AD33" s="371">
        <v>0</v>
      </c>
      <c r="AE33" s="371">
        <v>0</v>
      </c>
      <c r="AF33" s="371">
        <v>0</v>
      </c>
      <c r="AG33" s="371">
        <v>0</v>
      </c>
      <c r="AH33" s="371">
        <v>0</v>
      </c>
      <c r="AI33" s="371">
        <v>0</v>
      </c>
      <c r="AJ33" s="371">
        <v>0</v>
      </c>
      <c r="AK33" s="371">
        <v>0</v>
      </c>
      <c r="AL33" s="371">
        <v>0</v>
      </c>
      <c r="AM33" s="371">
        <v>0</v>
      </c>
      <c r="AN33" s="371">
        <v>0</v>
      </c>
      <c r="AO33" s="371">
        <v>0</v>
      </c>
    </row>
    <row r="34" spans="3:41" x14ac:dyDescent="0.3">
      <c r="C34" s="371">
        <v>25</v>
      </c>
      <c r="D34" s="371">
        <v>4</v>
      </c>
      <c r="E34" s="371">
        <v>6</v>
      </c>
      <c r="F34" s="371">
        <v>1575719</v>
      </c>
      <c r="G34" s="371">
        <v>437900</v>
      </c>
      <c r="H34" s="371">
        <v>0</v>
      </c>
      <c r="I34" s="371">
        <v>527540</v>
      </c>
      <c r="J34" s="371">
        <v>0</v>
      </c>
      <c r="K34" s="371">
        <v>534391</v>
      </c>
      <c r="L34" s="371">
        <v>0</v>
      </c>
      <c r="M34" s="371">
        <v>0</v>
      </c>
      <c r="N34" s="371">
        <v>0</v>
      </c>
      <c r="O34" s="371">
        <v>0</v>
      </c>
      <c r="P34" s="371">
        <v>0</v>
      </c>
      <c r="Q34" s="371">
        <v>0</v>
      </c>
      <c r="R34" s="371">
        <v>13520</v>
      </c>
      <c r="S34" s="371">
        <v>0</v>
      </c>
      <c r="T34" s="371">
        <v>0</v>
      </c>
      <c r="U34" s="371">
        <v>0</v>
      </c>
      <c r="V34" s="371">
        <v>0</v>
      </c>
      <c r="W34" s="371">
        <v>0</v>
      </c>
      <c r="X34" s="371">
        <v>0</v>
      </c>
      <c r="Y34" s="371">
        <v>0</v>
      </c>
      <c r="Z34" s="371">
        <v>0</v>
      </c>
      <c r="AA34" s="371">
        <v>0</v>
      </c>
      <c r="AB34" s="371">
        <v>0</v>
      </c>
      <c r="AC34" s="371">
        <v>0</v>
      </c>
      <c r="AD34" s="371">
        <v>0</v>
      </c>
      <c r="AE34" s="371">
        <v>0</v>
      </c>
      <c r="AF34" s="371">
        <v>20157</v>
      </c>
      <c r="AG34" s="371">
        <v>0</v>
      </c>
      <c r="AH34" s="371">
        <v>0</v>
      </c>
      <c r="AI34" s="371">
        <v>36643</v>
      </c>
      <c r="AJ34" s="371">
        <v>0</v>
      </c>
      <c r="AK34" s="371">
        <v>0</v>
      </c>
      <c r="AL34" s="371">
        <v>0</v>
      </c>
      <c r="AM34" s="371">
        <v>0</v>
      </c>
      <c r="AN34" s="371">
        <v>5568</v>
      </c>
      <c r="AO34" s="371">
        <v>0</v>
      </c>
    </row>
    <row r="35" spans="3:41" x14ac:dyDescent="0.3">
      <c r="C35" s="371">
        <v>25</v>
      </c>
      <c r="D35" s="371">
        <v>4</v>
      </c>
      <c r="E35" s="371">
        <v>9</v>
      </c>
      <c r="F35" s="371">
        <v>43100</v>
      </c>
      <c r="G35" s="371">
        <v>0</v>
      </c>
      <c r="H35" s="371">
        <v>0</v>
      </c>
      <c r="I35" s="371">
        <v>35600</v>
      </c>
      <c r="J35" s="371">
        <v>0</v>
      </c>
      <c r="K35" s="371">
        <v>7500</v>
      </c>
      <c r="L35" s="371">
        <v>0</v>
      </c>
      <c r="M35" s="371">
        <v>0</v>
      </c>
      <c r="N35" s="371">
        <v>0</v>
      </c>
      <c r="O35" s="371">
        <v>0</v>
      </c>
      <c r="P35" s="371">
        <v>0</v>
      </c>
      <c r="Q35" s="371">
        <v>0</v>
      </c>
      <c r="R35" s="371">
        <v>0</v>
      </c>
      <c r="S35" s="371">
        <v>0</v>
      </c>
      <c r="T35" s="371">
        <v>0</v>
      </c>
      <c r="U35" s="371">
        <v>0</v>
      </c>
      <c r="V35" s="371">
        <v>0</v>
      </c>
      <c r="W35" s="371">
        <v>0</v>
      </c>
      <c r="X35" s="371">
        <v>0</v>
      </c>
      <c r="Y35" s="371">
        <v>0</v>
      </c>
      <c r="Z35" s="371">
        <v>0</v>
      </c>
      <c r="AA35" s="371">
        <v>0</v>
      </c>
      <c r="AB35" s="371">
        <v>0</v>
      </c>
      <c r="AC35" s="371">
        <v>0</v>
      </c>
      <c r="AD35" s="371">
        <v>0</v>
      </c>
      <c r="AE35" s="371">
        <v>0</v>
      </c>
      <c r="AF35" s="371">
        <v>0</v>
      </c>
      <c r="AG35" s="371">
        <v>0</v>
      </c>
      <c r="AH35" s="371">
        <v>0</v>
      </c>
      <c r="AI35" s="371">
        <v>0</v>
      </c>
      <c r="AJ35" s="371">
        <v>0</v>
      </c>
      <c r="AK35" s="371">
        <v>0</v>
      </c>
      <c r="AL35" s="371">
        <v>0</v>
      </c>
      <c r="AM35" s="371">
        <v>0</v>
      </c>
      <c r="AN35" s="371">
        <v>0</v>
      </c>
      <c r="AO35" s="371">
        <v>0</v>
      </c>
    </row>
    <row r="36" spans="3:41" x14ac:dyDescent="0.3">
      <c r="C36" s="371">
        <v>25</v>
      </c>
      <c r="D36" s="371">
        <v>4</v>
      </c>
      <c r="E36" s="371">
        <v>10</v>
      </c>
      <c r="F36" s="371">
        <v>3900</v>
      </c>
      <c r="G36" s="371">
        <v>0</v>
      </c>
      <c r="H36" s="371">
        <v>3900</v>
      </c>
      <c r="I36" s="371">
        <v>0</v>
      </c>
      <c r="J36" s="371">
        <v>0</v>
      </c>
      <c r="K36" s="371">
        <v>0</v>
      </c>
      <c r="L36" s="371">
        <v>0</v>
      </c>
      <c r="M36" s="371">
        <v>0</v>
      </c>
      <c r="N36" s="371">
        <v>0</v>
      </c>
      <c r="O36" s="371">
        <v>0</v>
      </c>
      <c r="P36" s="371">
        <v>0</v>
      </c>
      <c r="Q36" s="371">
        <v>0</v>
      </c>
      <c r="R36" s="371">
        <v>0</v>
      </c>
      <c r="S36" s="371">
        <v>0</v>
      </c>
      <c r="T36" s="371">
        <v>0</v>
      </c>
      <c r="U36" s="371">
        <v>0</v>
      </c>
      <c r="V36" s="371">
        <v>0</v>
      </c>
      <c r="W36" s="371">
        <v>0</v>
      </c>
      <c r="X36" s="371">
        <v>0</v>
      </c>
      <c r="Y36" s="371">
        <v>0</v>
      </c>
      <c r="Z36" s="371">
        <v>0</v>
      </c>
      <c r="AA36" s="371">
        <v>0</v>
      </c>
      <c r="AB36" s="371">
        <v>0</v>
      </c>
      <c r="AC36" s="371">
        <v>0</v>
      </c>
      <c r="AD36" s="371">
        <v>0</v>
      </c>
      <c r="AE36" s="371">
        <v>0</v>
      </c>
      <c r="AF36" s="371">
        <v>0</v>
      </c>
      <c r="AG36" s="371">
        <v>0</v>
      </c>
      <c r="AH36" s="371">
        <v>0</v>
      </c>
      <c r="AI36" s="371">
        <v>0</v>
      </c>
      <c r="AJ36" s="371">
        <v>0</v>
      </c>
      <c r="AK36" s="371">
        <v>0</v>
      </c>
      <c r="AL36" s="371">
        <v>0</v>
      </c>
      <c r="AM36" s="371">
        <v>0</v>
      </c>
      <c r="AN36" s="371">
        <v>0</v>
      </c>
      <c r="AO36" s="371">
        <v>0</v>
      </c>
    </row>
    <row r="37" spans="3:41" x14ac:dyDescent="0.3">
      <c r="C37" s="371">
        <v>25</v>
      </c>
      <c r="D37" s="371">
        <v>4</v>
      </c>
      <c r="E37" s="371">
        <v>11</v>
      </c>
      <c r="F37" s="371">
        <v>4359.8702206865346</v>
      </c>
      <c r="G37" s="371">
        <v>0</v>
      </c>
      <c r="H37" s="371">
        <v>2276.5368873532011</v>
      </c>
      <c r="I37" s="371">
        <v>0</v>
      </c>
      <c r="J37" s="371">
        <v>0</v>
      </c>
      <c r="K37" s="371">
        <v>2083.3333333333335</v>
      </c>
      <c r="L37" s="371">
        <v>0</v>
      </c>
      <c r="M37" s="371">
        <v>0</v>
      </c>
      <c r="N37" s="371">
        <v>0</v>
      </c>
      <c r="O37" s="371">
        <v>0</v>
      </c>
      <c r="P37" s="371">
        <v>0</v>
      </c>
      <c r="Q37" s="371">
        <v>0</v>
      </c>
      <c r="R37" s="371">
        <v>0</v>
      </c>
      <c r="S37" s="371">
        <v>0</v>
      </c>
      <c r="T37" s="371">
        <v>0</v>
      </c>
      <c r="U37" s="371">
        <v>0</v>
      </c>
      <c r="V37" s="371">
        <v>0</v>
      </c>
      <c r="W37" s="371">
        <v>0</v>
      </c>
      <c r="X37" s="371">
        <v>0</v>
      </c>
      <c r="Y37" s="371">
        <v>0</v>
      </c>
      <c r="Z37" s="371">
        <v>0</v>
      </c>
      <c r="AA37" s="371">
        <v>0</v>
      </c>
      <c r="AB37" s="371">
        <v>0</v>
      </c>
      <c r="AC37" s="371">
        <v>0</v>
      </c>
      <c r="AD37" s="371">
        <v>0</v>
      </c>
      <c r="AE37" s="371">
        <v>0</v>
      </c>
      <c r="AF37" s="371">
        <v>0</v>
      </c>
      <c r="AG37" s="371">
        <v>0</v>
      </c>
      <c r="AH37" s="371">
        <v>0</v>
      </c>
      <c r="AI37" s="371">
        <v>0</v>
      </c>
      <c r="AJ37" s="371">
        <v>0</v>
      </c>
      <c r="AK37" s="371">
        <v>0</v>
      </c>
      <c r="AL37" s="371">
        <v>0</v>
      </c>
      <c r="AM37" s="371">
        <v>0</v>
      </c>
      <c r="AN37" s="371">
        <v>0</v>
      </c>
      <c r="AO37" s="371">
        <v>0</v>
      </c>
    </row>
    <row r="38" spans="3:41" x14ac:dyDescent="0.3">
      <c r="C38" s="371">
        <v>25</v>
      </c>
      <c r="D38" s="371">
        <v>5</v>
      </c>
      <c r="E38" s="371">
        <v>1</v>
      </c>
      <c r="F38" s="371">
        <v>30.1</v>
      </c>
      <c r="G38" s="371">
        <v>0</v>
      </c>
      <c r="H38" s="371">
        <v>0</v>
      </c>
      <c r="I38" s="371">
        <v>7.6</v>
      </c>
      <c r="J38" s="371">
        <v>0</v>
      </c>
      <c r="K38" s="371">
        <v>18.75</v>
      </c>
      <c r="L38" s="371">
        <v>0</v>
      </c>
      <c r="M38" s="371">
        <v>0</v>
      </c>
      <c r="N38" s="371">
        <v>0</v>
      </c>
      <c r="O38" s="371">
        <v>0</v>
      </c>
      <c r="P38" s="371">
        <v>0</v>
      </c>
      <c r="Q38" s="371">
        <v>0</v>
      </c>
      <c r="R38" s="371">
        <v>0.5</v>
      </c>
      <c r="S38" s="371">
        <v>0</v>
      </c>
      <c r="T38" s="371">
        <v>0</v>
      </c>
      <c r="U38" s="371">
        <v>0</v>
      </c>
      <c r="V38" s="371">
        <v>0</v>
      </c>
      <c r="W38" s="371">
        <v>0</v>
      </c>
      <c r="X38" s="371">
        <v>0</v>
      </c>
      <c r="Y38" s="371">
        <v>0</v>
      </c>
      <c r="Z38" s="371">
        <v>0</v>
      </c>
      <c r="AA38" s="371">
        <v>0</v>
      </c>
      <c r="AB38" s="371">
        <v>0</v>
      </c>
      <c r="AC38" s="371">
        <v>0</v>
      </c>
      <c r="AD38" s="371">
        <v>0</v>
      </c>
      <c r="AE38" s="371">
        <v>0</v>
      </c>
      <c r="AF38" s="371">
        <v>1</v>
      </c>
      <c r="AG38" s="371">
        <v>0</v>
      </c>
      <c r="AH38" s="371">
        <v>0</v>
      </c>
      <c r="AI38" s="371">
        <v>2</v>
      </c>
      <c r="AJ38" s="371">
        <v>0</v>
      </c>
      <c r="AK38" s="371">
        <v>0</v>
      </c>
      <c r="AL38" s="371">
        <v>0</v>
      </c>
      <c r="AM38" s="371">
        <v>0</v>
      </c>
      <c r="AN38" s="371">
        <v>0.25</v>
      </c>
      <c r="AO38" s="371">
        <v>0</v>
      </c>
    </row>
    <row r="39" spans="3:41" x14ac:dyDescent="0.3">
      <c r="C39" s="371">
        <v>25</v>
      </c>
      <c r="D39" s="371">
        <v>5</v>
      </c>
      <c r="E39" s="371">
        <v>2</v>
      </c>
      <c r="F39" s="371">
        <v>4648.45</v>
      </c>
      <c r="G39" s="371">
        <v>0</v>
      </c>
      <c r="H39" s="371">
        <v>0</v>
      </c>
      <c r="I39" s="371">
        <v>1275.2</v>
      </c>
      <c r="J39" s="371">
        <v>0</v>
      </c>
      <c r="K39" s="371">
        <v>2793.5</v>
      </c>
      <c r="L39" s="371">
        <v>0</v>
      </c>
      <c r="M39" s="371">
        <v>0</v>
      </c>
      <c r="N39" s="371">
        <v>0</v>
      </c>
      <c r="O39" s="371">
        <v>0</v>
      </c>
      <c r="P39" s="371">
        <v>0</v>
      </c>
      <c r="Q39" s="371">
        <v>0</v>
      </c>
      <c r="R39" s="371">
        <v>84</v>
      </c>
      <c r="S39" s="371">
        <v>0</v>
      </c>
      <c r="T39" s="371">
        <v>0</v>
      </c>
      <c r="U39" s="371">
        <v>0</v>
      </c>
      <c r="V39" s="371">
        <v>0</v>
      </c>
      <c r="W39" s="371">
        <v>0</v>
      </c>
      <c r="X39" s="371">
        <v>0</v>
      </c>
      <c r="Y39" s="371">
        <v>0</v>
      </c>
      <c r="Z39" s="371">
        <v>0</v>
      </c>
      <c r="AA39" s="371">
        <v>0</v>
      </c>
      <c r="AB39" s="371">
        <v>0</v>
      </c>
      <c r="AC39" s="371">
        <v>0</v>
      </c>
      <c r="AD39" s="371">
        <v>0</v>
      </c>
      <c r="AE39" s="371">
        <v>0</v>
      </c>
      <c r="AF39" s="371">
        <v>155</v>
      </c>
      <c r="AG39" s="371">
        <v>0</v>
      </c>
      <c r="AH39" s="371">
        <v>0</v>
      </c>
      <c r="AI39" s="371">
        <v>298.75</v>
      </c>
      <c r="AJ39" s="371">
        <v>0</v>
      </c>
      <c r="AK39" s="371">
        <v>0</v>
      </c>
      <c r="AL39" s="371">
        <v>0</v>
      </c>
      <c r="AM39" s="371">
        <v>0</v>
      </c>
      <c r="AN39" s="371">
        <v>42</v>
      </c>
      <c r="AO39" s="371">
        <v>0</v>
      </c>
    </row>
    <row r="40" spans="3:41" x14ac:dyDescent="0.3">
      <c r="C40" s="371">
        <v>25</v>
      </c>
      <c r="D40" s="371">
        <v>5</v>
      </c>
      <c r="E40" s="371">
        <v>3</v>
      </c>
      <c r="F40" s="371">
        <v>218.75</v>
      </c>
      <c r="G40" s="371">
        <v>0</v>
      </c>
      <c r="H40" s="371">
        <v>0</v>
      </c>
      <c r="I40" s="371">
        <v>203.75</v>
      </c>
      <c r="J40" s="371">
        <v>0</v>
      </c>
      <c r="K40" s="371">
        <v>0</v>
      </c>
      <c r="L40" s="371">
        <v>0</v>
      </c>
      <c r="M40" s="371">
        <v>0</v>
      </c>
      <c r="N40" s="371">
        <v>0</v>
      </c>
      <c r="O40" s="371">
        <v>0</v>
      </c>
      <c r="P40" s="371">
        <v>0</v>
      </c>
      <c r="Q40" s="371">
        <v>0</v>
      </c>
      <c r="R40" s="371">
        <v>15</v>
      </c>
      <c r="S40" s="371">
        <v>0</v>
      </c>
      <c r="T40" s="371">
        <v>0</v>
      </c>
      <c r="U40" s="371">
        <v>0</v>
      </c>
      <c r="V40" s="371">
        <v>0</v>
      </c>
      <c r="W40" s="371">
        <v>0</v>
      </c>
      <c r="X40" s="371">
        <v>0</v>
      </c>
      <c r="Y40" s="371">
        <v>0</v>
      </c>
      <c r="Z40" s="371">
        <v>0</v>
      </c>
      <c r="AA40" s="371">
        <v>0</v>
      </c>
      <c r="AB40" s="371">
        <v>0</v>
      </c>
      <c r="AC40" s="371">
        <v>0</v>
      </c>
      <c r="AD40" s="371">
        <v>0</v>
      </c>
      <c r="AE40" s="371">
        <v>0</v>
      </c>
      <c r="AF40" s="371">
        <v>0</v>
      </c>
      <c r="AG40" s="371">
        <v>0</v>
      </c>
      <c r="AH40" s="371">
        <v>0</v>
      </c>
      <c r="AI40" s="371">
        <v>0</v>
      </c>
      <c r="AJ40" s="371">
        <v>0</v>
      </c>
      <c r="AK40" s="371">
        <v>0</v>
      </c>
      <c r="AL40" s="371">
        <v>0</v>
      </c>
      <c r="AM40" s="371">
        <v>0</v>
      </c>
      <c r="AN40" s="371">
        <v>0</v>
      </c>
      <c r="AO40" s="371">
        <v>0</v>
      </c>
    </row>
    <row r="41" spans="3:41" x14ac:dyDescent="0.3">
      <c r="C41" s="371">
        <v>25</v>
      </c>
      <c r="D41" s="371">
        <v>5</v>
      </c>
      <c r="E41" s="371">
        <v>4</v>
      </c>
      <c r="F41" s="371">
        <v>189.5</v>
      </c>
      <c r="G41" s="371">
        <v>0</v>
      </c>
      <c r="H41" s="371">
        <v>0</v>
      </c>
      <c r="I41" s="371">
        <v>137.5</v>
      </c>
      <c r="J41" s="371">
        <v>0</v>
      </c>
      <c r="K41" s="371">
        <v>10</v>
      </c>
      <c r="L41" s="371">
        <v>0</v>
      </c>
      <c r="M41" s="371">
        <v>0</v>
      </c>
      <c r="N41" s="371">
        <v>0</v>
      </c>
      <c r="O41" s="371">
        <v>0</v>
      </c>
      <c r="P41" s="371">
        <v>0</v>
      </c>
      <c r="Q41" s="371">
        <v>0</v>
      </c>
      <c r="R41" s="371">
        <v>0</v>
      </c>
      <c r="S41" s="371">
        <v>0</v>
      </c>
      <c r="T41" s="371">
        <v>0</v>
      </c>
      <c r="U41" s="371">
        <v>0</v>
      </c>
      <c r="V41" s="371">
        <v>0</v>
      </c>
      <c r="W41" s="371">
        <v>0</v>
      </c>
      <c r="X41" s="371">
        <v>0</v>
      </c>
      <c r="Y41" s="371">
        <v>0</v>
      </c>
      <c r="Z41" s="371">
        <v>0</v>
      </c>
      <c r="AA41" s="371">
        <v>0</v>
      </c>
      <c r="AB41" s="371">
        <v>0</v>
      </c>
      <c r="AC41" s="371">
        <v>0</v>
      </c>
      <c r="AD41" s="371">
        <v>0</v>
      </c>
      <c r="AE41" s="371">
        <v>0</v>
      </c>
      <c r="AF41" s="371">
        <v>12</v>
      </c>
      <c r="AG41" s="371">
        <v>0</v>
      </c>
      <c r="AH41" s="371">
        <v>0</v>
      </c>
      <c r="AI41" s="371">
        <v>30</v>
      </c>
      <c r="AJ41" s="371">
        <v>0</v>
      </c>
      <c r="AK41" s="371">
        <v>0</v>
      </c>
      <c r="AL41" s="371">
        <v>0</v>
      </c>
      <c r="AM41" s="371">
        <v>0</v>
      </c>
      <c r="AN41" s="371">
        <v>0</v>
      </c>
      <c r="AO41" s="371">
        <v>0</v>
      </c>
    </row>
    <row r="42" spans="3:41" x14ac:dyDescent="0.3">
      <c r="C42" s="371">
        <v>25</v>
      </c>
      <c r="D42" s="371">
        <v>5</v>
      </c>
      <c r="E42" s="371">
        <v>5</v>
      </c>
      <c r="F42" s="371">
        <v>1521</v>
      </c>
      <c r="G42" s="371">
        <v>1521</v>
      </c>
      <c r="H42" s="371">
        <v>0</v>
      </c>
      <c r="I42" s="371">
        <v>0</v>
      </c>
      <c r="J42" s="371">
        <v>0</v>
      </c>
      <c r="K42" s="371">
        <v>0</v>
      </c>
      <c r="L42" s="371">
        <v>0</v>
      </c>
      <c r="M42" s="371">
        <v>0</v>
      </c>
      <c r="N42" s="371">
        <v>0</v>
      </c>
      <c r="O42" s="371">
        <v>0</v>
      </c>
      <c r="P42" s="371">
        <v>0</v>
      </c>
      <c r="Q42" s="371">
        <v>0</v>
      </c>
      <c r="R42" s="371">
        <v>0</v>
      </c>
      <c r="S42" s="371">
        <v>0</v>
      </c>
      <c r="T42" s="371">
        <v>0</v>
      </c>
      <c r="U42" s="371">
        <v>0</v>
      </c>
      <c r="V42" s="371">
        <v>0</v>
      </c>
      <c r="W42" s="371">
        <v>0</v>
      </c>
      <c r="X42" s="371">
        <v>0</v>
      </c>
      <c r="Y42" s="371">
        <v>0</v>
      </c>
      <c r="Z42" s="371">
        <v>0</v>
      </c>
      <c r="AA42" s="371">
        <v>0</v>
      </c>
      <c r="AB42" s="371">
        <v>0</v>
      </c>
      <c r="AC42" s="371">
        <v>0</v>
      </c>
      <c r="AD42" s="371">
        <v>0</v>
      </c>
      <c r="AE42" s="371">
        <v>0</v>
      </c>
      <c r="AF42" s="371">
        <v>0</v>
      </c>
      <c r="AG42" s="371">
        <v>0</v>
      </c>
      <c r="AH42" s="371">
        <v>0</v>
      </c>
      <c r="AI42" s="371">
        <v>0</v>
      </c>
      <c r="AJ42" s="371">
        <v>0</v>
      </c>
      <c r="AK42" s="371">
        <v>0</v>
      </c>
      <c r="AL42" s="371">
        <v>0</v>
      </c>
      <c r="AM42" s="371">
        <v>0</v>
      </c>
      <c r="AN42" s="371">
        <v>0</v>
      </c>
      <c r="AO42" s="371">
        <v>0</v>
      </c>
    </row>
    <row r="43" spans="3:41" x14ac:dyDescent="0.3">
      <c r="C43" s="371">
        <v>25</v>
      </c>
      <c r="D43" s="371">
        <v>5</v>
      </c>
      <c r="E43" s="371">
        <v>6</v>
      </c>
      <c r="F43" s="371">
        <v>1643718</v>
      </c>
      <c r="G43" s="371">
        <v>499700</v>
      </c>
      <c r="H43" s="371">
        <v>0</v>
      </c>
      <c r="I43" s="371">
        <v>506474</v>
      </c>
      <c r="J43" s="371">
        <v>0</v>
      </c>
      <c r="K43" s="371">
        <v>555135</v>
      </c>
      <c r="L43" s="371">
        <v>0</v>
      </c>
      <c r="M43" s="371">
        <v>0</v>
      </c>
      <c r="N43" s="371">
        <v>0</v>
      </c>
      <c r="O43" s="371">
        <v>0</v>
      </c>
      <c r="P43" s="371">
        <v>0</v>
      </c>
      <c r="Q43" s="371">
        <v>0</v>
      </c>
      <c r="R43" s="371">
        <v>15935</v>
      </c>
      <c r="S43" s="371">
        <v>0</v>
      </c>
      <c r="T43" s="371">
        <v>0</v>
      </c>
      <c r="U43" s="371">
        <v>0</v>
      </c>
      <c r="V43" s="371">
        <v>0</v>
      </c>
      <c r="W43" s="371">
        <v>0</v>
      </c>
      <c r="X43" s="371">
        <v>0</v>
      </c>
      <c r="Y43" s="371">
        <v>0</v>
      </c>
      <c r="Z43" s="371">
        <v>0</v>
      </c>
      <c r="AA43" s="371">
        <v>0</v>
      </c>
      <c r="AB43" s="371">
        <v>0</v>
      </c>
      <c r="AC43" s="371">
        <v>0</v>
      </c>
      <c r="AD43" s="371">
        <v>0</v>
      </c>
      <c r="AE43" s="371">
        <v>0</v>
      </c>
      <c r="AF43" s="371">
        <v>21538</v>
      </c>
      <c r="AG43" s="371">
        <v>0</v>
      </c>
      <c r="AH43" s="371">
        <v>0</v>
      </c>
      <c r="AI43" s="371">
        <v>39368</v>
      </c>
      <c r="AJ43" s="371">
        <v>0</v>
      </c>
      <c r="AK43" s="371">
        <v>0</v>
      </c>
      <c r="AL43" s="371">
        <v>0</v>
      </c>
      <c r="AM43" s="371">
        <v>0</v>
      </c>
      <c r="AN43" s="371">
        <v>5568</v>
      </c>
      <c r="AO43" s="371">
        <v>0</v>
      </c>
    </row>
    <row r="44" spans="3:41" x14ac:dyDescent="0.3">
      <c r="C44" s="371">
        <v>25</v>
      </c>
      <c r="D44" s="371">
        <v>5</v>
      </c>
      <c r="E44" s="371">
        <v>11</v>
      </c>
      <c r="F44" s="371">
        <v>4359.8702206865346</v>
      </c>
      <c r="G44" s="371">
        <v>0</v>
      </c>
      <c r="H44" s="371">
        <v>2276.5368873532011</v>
      </c>
      <c r="I44" s="371">
        <v>0</v>
      </c>
      <c r="J44" s="371">
        <v>0</v>
      </c>
      <c r="K44" s="371">
        <v>2083.3333333333335</v>
      </c>
      <c r="L44" s="371">
        <v>0</v>
      </c>
      <c r="M44" s="371">
        <v>0</v>
      </c>
      <c r="N44" s="371">
        <v>0</v>
      </c>
      <c r="O44" s="371">
        <v>0</v>
      </c>
      <c r="P44" s="371">
        <v>0</v>
      </c>
      <c r="Q44" s="371">
        <v>0</v>
      </c>
      <c r="R44" s="371">
        <v>0</v>
      </c>
      <c r="S44" s="371">
        <v>0</v>
      </c>
      <c r="T44" s="371">
        <v>0</v>
      </c>
      <c r="U44" s="371">
        <v>0</v>
      </c>
      <c r="V44" s="371">
        <v>0</v>
      </c>
      <c r="W44" s="371">
        <v>0</v>
      </c>
      <c r="X44" s="371">
        <v>0</v>
      </c>
      <c r="Y44" s="371">
        <v>0</v>
      </c>
      <c r="Z44" s="371">
        <v>0</v>
      </c>
      <c r="AA44" s="371">
        <v>0</v>
      </c>
      <c r="AB44" s="371">
        <v>0</v>
      </c>
      <c r="AC44" s="371">
        <v>0</v>
      </c>
      <c r="AD44" s="371">
        <v>0</v>
      </c>
      <c r="AE44" s="371">
        <v>0</v>
      </c>
      <c r="AF44" s="371">
        <v>0</v>
      </c>
      <c r="AG44" s="371">
        <v>0</v>
      </c>
      <c r="AH44" s="371">
        <v>0</v>
      </c>
      <c r="AI44" s="371">
        <v>0</v>
      </c>
      <c r="AJ44" s="371">
        <v>0</v>
      </c>
      <c r="AK44" s="371">
        <v>0</v>
      </c>
      <c r="AL44" s="371">
        <v>0</v>
      </c>
      <c r="AM44" s="371">
        <v>0</v>
      </c>
      <c r="AN44" s="371">
        <v>0</v>
      </c>
      <c r="AO44" s="371">
        <v>0</v>
      </c>
    </row>
    <row r="45" spans="3:41" x14ac:dyDescent="0.3">
      <c r="C45" s="371">
        <v>25</v>
      </c>
      <c r="D45" s="371">
        <v>6</v>
      </c>
      <c r="E45" s="371">
        <v>1</v>
      </c>
      <c r="F45" s="371">
        <v>30.1</v>
      </c>
      <c r="G45" s="371">
        <v>0</v>
      </c>
      <c r="H45" s="371">
        <v>0</v>
      </c>
      <c r="I45" s="371">
        <v>7.6</v>
      </c>
      <c r="J45" s="371">
        <v>0</v>
      </c>
      <c r="K45" s="371">
        <v>18.75</v>
      </c>
      <c r="L45" s="371">
        <v>0</v>
      </c>
      <c r="M45" s="371">
        <v>0</v>
      </c>
      <c r="N45" s="371">
        <v>0</v>
      </c>
      <c r="O45" s="371">
        <v>0</v>
      </c>
      <c r="P45" s="371">
        <v>0</v>
      </c>
      <c r="Q45" s="371">
        <v>0</v>
      </c>
      <c r="R45" s="371">
        <v>0.5</v>
      </c>
      <c r="S45" s="371">
        <v>0</v>
      </c>
      <c r="T45" s="371">
        <v>0</v>
      </c>
      <c r="U45" s="371">
        <v>0</v>
      </c>
      <c r="V45" s="371">
        <v>0</v>
      </c>
      <c r="W45" s="371">
        <v>0</v>
      </c>
      <c r="X45" s="371">
        <v>0</v>
      </c>
      <c r="Y45" s="371">
        <v>0</v>
      </c>
      <c r="Z45" s="371">
        <v>0</v>
      </c>
      <c r="AA45" s="371">
        <v>0</v>
      </c>
      <c r="AB45" s="371">
        <v>0</v>
      </c>
      <c r="AC45" s="371">
        <v>0</v>
      </c>
      <c r="AD45" s="371">
        <v>0</v>
      </c>
      <c r="AE45" s="371">
        <v>0</v>
      </c>
      <c r="AF45" s="371">
        <v>1</v>
      </c>
      <c r="AG45" s="371">
        <v>0</v>
      </c>
      <c r="AH45" s="371">
        <v>0</v>
      </c>
      <c r="AI45" s="371">
        <v>2</v>
      </c>
      <c r="AJ45" s="371">
        <v>0</v>
      </c>
      <c r="AK45" s="371">
        <v>0</v>
      </c>
      <c r="AL45" s="371">
        <v>0</v>
      </c>
      <c r="AM45" s="371">
        <v>0</v>
      </c>
      <c r="AN45" s="371">
        <v>0.25</v>
      </c>
      <c r="AO45" s="371">
        <v>0</v>
      </c>
    </row>
    <row r="46" spans="3:41" x14ac:dyDescent="0.3">
      <c r="C46" s="371">
        <v>25</v>
      </c>
      <c r="D46" s="371">
        <v>6</v>
      </c>
      <c r="E46" s="371">
        <v>2</v>
      </c>
      <c r="F46" s="371">
        <v>4424.75</v>
      </c>
      <c r="G46" s="371">
        <v>0</v>
      </c>
      <c r="H46" s="371">
        <v>0</v>
      </c>
      <c r="I46" s="371">
        <v>1246</v>
      </c>
      <c r="J46" s="371">
        <v>0</v>
      </c>
      <c r="K46" s="371">
        <v>2601</v>
      </c>
      <c r="L46" s="371">
        <v>0</v>
      </c>
      <c r="M46" s="371">
        <v>0</v>
      </c>
      <c r="N46" s="371">
        <v>0</v>
      </c>
      <c r="O46" s="371">
        <v>0</v>
      </c>
      <c r="P46" s="371">
        <v>0</v>
      </c>
      <c r="Q46" s="371">
        <v>0</v>
      </c>
      <c r="R46" s="371">
        <v>88</v>
      </c>
      <c r="S46" s="371">
        <v>0</v>
      </c>
      <c r="T46" s="371">
        <v>0</v>
      </c>
      <c r="U46" s="371">
        <v>0</v>
      </c>
      <c r="V46" s="371">
        <v>0</v>
      </c>
      <c r="W46" s="371">
        <v>0</v>
      </c>
      <c r="X46" s="371">
        <v>0</v>
      </c>
      <c r="Y46" s="371">
        <v>0</v>
      </c>
      <c r="Z46" s="371">
        <v>0</v>
      </c>
      <c r="AA46" s="371">
        <v>0</v>
      </c>
      <c r="AB46" s="371">
        <v>0</v>
      </c>
      <c r="AC46" s="371">
        <v>0</v>
      </c>
      <c r="AD46" s="371">
        <v>0</v>
      </c>
      <c r="AE46" s="371">
        <v>0</v>
      </c>
      <c r="AF46" s="371">
        <v>124</v>
      </c>
      <c r="AG46" s="371">
        <v>0</v>
      </c>
      <c r="AH46" s="371">
        <v>0</v>
      </c>
      <c r="AI46" s="371">
        <v>321.75</v>
      </c>
      <c r="AJ46" s="371">
        <v>0</v>
      </c>
      <c r="AK46" s="371">
        <v>0</v>
      </c>
      <c r="AL46" s="371">
        <v>0</v>
      </c>
      <c r="AM46" s="371">
        <v>0</v>
      </c>
      <c r="AN46" s="371">
        <v>44</v>
      </c>
      <c r="AO46" s="371">
        <v>0</v>
      </c>
    </row>
    <row r="47" spans="3:41" x14ac:dyDescent="0.3">
      <c r="C47" s="371">
        <v>25</v>
      </c>
      <c r="D47" s="371">
        <v>6</v>
      </c>
      <c r="E47" s="371">
        <v>3</v>
      </c>
      <c r="F47" s="371">
        <v>177.5</v>
      </c>
      <c r="G47" s="371">
        <v>0</v>
      </c>
      <c r="H47" s="371">
        <v>0</v>
      </c>
      <c r="I47" s="371">
        <v>157.5</v>
      </c>
      <c r="J47" s="371">
        <v>0</v>
      </c>
      <c r="K47" s="371">
        <v>12</v>
      </c>
      <c r="L47" s="371">
        <v>0</v>
      </c>
      <c r="M47" s="371">
        <v>0</v>
      </c>
      <c r="N47" s="371">
        <v>0</v>
      </c>
      <c r="O47" s="371">
        <v>0</v>
      </c>
      <c r="P47" s="371">
        <v>0</v>
      </c>
      <c r="Q47" s="371">
        <v>0</v>
      </c>
      <c r="R47" s="371">
        <v>8</v>
      </c>
      <c r="S47" s="371">
        <v>0</v>
      </c>
      <c r="T47" s="371">
        <v>0</v>
      </c>
      <c r="U47" s="371">
        <v>0</v>
      </c>
      <c r="V47" s="371">
        <v>0</v>
      </c>
      <c r="W47" s="371">
        <v>0</v>
      </c>
      <c r="X47" s="371">
        <v>0</v>
      </c>
      <c r="Y47" s="371">
        <v>0</v>
      </c>
      <c r="Z47" s="371">
        <v>0</v>
      </c>
      <c r="AA47" s="371">
        <v>0</v>
      </c>
      <c r="AB47" s="371">
        <v>0</v>
      </c>
      <c r="AC47" s="371">
        <v>0</v>
      </c>
      <c r="AD47" s="371">
        <v>0</v>
      </c>
      <c r="AE47" s="371">
        <v>0</v>
      </c>
      <c r="AF47" s="371">
        <v>0</v>
      </c>
      <c r="AG47" s="371">
        <v>0</v>
      </c>
      <c r="AH47" s="371">
        <v>0</v>
      </c>
      <c r="AI47" s="371">
        <v>0</v>
      </c>
      <c r="AJ47" s="371">
        <v>0</v>
      </c>
      <c r="AK47" s="371">
        <v>0</v>
      </c>
      <c r="AL47" s="371">
        <v>0</v>
      </c>
      <c r="AM47" s="371">
        <v>0</v>
      </c>
      <c r="AN47" s="371">
        <v>0</v>
      </c>
      <c r="AO47" s="371">
        <v>0</v>
      </c>
    </row>
    <row r="48" spans="3:41" x14ac:dyDescent="0.3">
      <c r="C48" s="371">
        <v>25</v>
      </c>
      <c r="D48" s="371">
        <v>6</v>
      </c>
      <c r="E48" s="371">
        <v>4</v>
      </c>
      <c r="F48" s="371">
        <v>303.5</v>
      </c>
      <c r="G48" s="371">
        <v>0</v>
      </c>
      <c r="H48" s="371">
        <v>0</v>
      </c>
      <c r="I48" s="371">
        <v>170</v>
      </c>
      <c r="J48" s="371">
        <v>0</v>
      </c>
      <c r="K48" s="371">
        <v>78</v>
      </c>
      <c r="L48" s="371">
        <v>0</v>
      </c>
      <c r="M48" s="371">
        <v>0</v>
      </c>
      <c r="N48" s="371">
        <v>0</v>
      </c>
      <c r="O48" s="371">
        <v>0</v>
      </c>
      <c r="P48" s="371">
        <v>0</v>
      </c>
      <c r="Q48" s="371">
        <v>0</v>
      </c>
      <c r="R48" s="371">
        <v>0</v>
      </c>
      <c r="S48" s="371">
        <v>0</v>
      </c>
      <c r="T48" s="371">
        <v>0</v>
      </c>
      <c r="U48" s="371">
        <v>0</v>
      </c>
      <c r="V48" s="371">
        <v>0</v>
      </c>
      <c r="W48" s="371">
        <v>0</v>
      </c>
      <c r="X48" s="371">
        <v>0</v>
      </c>
      <c r="Y48" s="371">
        <v>0</v>
      </c>
      <c r="Z48" s="371">
        <v>0</v>
      </c>
      <c r="AA48" s="371">
        <v>0</v>
      </c>
      <c r="AB48" s="371">
        <v>0</v>
      </c>
      <c r="AC48" s="371">
        <v>0</v>
      </c>
      <c r="AD48" s="371">
        <v>0</v>
      </c>
      <c r="AE48" s="371">
        <v>0</v>
      </c>
      <c r="AF48" s="371">
        <v>12</v>
      </c>
      <c r="AG48" s="371">
        <v>0</v>
      </c>
      <c r="AH48" s="371">
        <v>0</v>
      </c>
      <c r="AI48" s="371">
        <v>43.5</v>
      </c>
      <c r="AJ48" s="371">
        <v>0</v>
      </c>
      <c r="AK48" s="371">
        <v>0</v>
      </c>
      <c r="AL48" s="371">
        <v>0</v>
      </c>
      <c r="AM48" s="371">
        <v>0</v>
      </c>
      <c r="AN48" s="371">
        <v>0</v>
      </c>
      <c r="AO48" s="371">
        <v>0</v>
      </c>
    </row>
    <row r="49" spans="3:41" x14ac:dyDescent="0.3">
      <c r="C49" s="371">
        <v>25</v>
      </c>
      <c r="D49" s="371">
        <v>6</v>
      </c>
      <c r="E49" s="371">
        <v>5</v>
      </c>
      <c r="F49" s="371">
        <v>1308</v>
      </c>
      <c r="G49" s="371">
        <v>1308</v>
      </c>
      <c r="H49" s="371">
        <v>0</v>
      </c>
      <c r="I49" s="371">
        <v>0</v>
      </c>
      <c r="J49" s="371">
        <v>0</v>
      </c>
      <c r="K49" s="371">
        <v>0</v>
      </c>
      <c r="L49" s="371">
        <v>0</v>
      </c>
      <c r="M49" s="371">
        <v>0</v>
      </c>
      <c r="N49" s="371">
        <v>0</v>
      </c>
      <c r="O49" s="371">
        <v>0</v>
      </c>
      <c r="P49" s="371">
        <v>0</v>
      </c>
      <c r="Q49" s="371">
        <v>0</v>
      </c>
      <c r="R49" s="371">
        <v>0</v>
      </c>
      <c r="S49" s="371">
        <v>0</v>
      </c>
      <c r="T49" s="371">
        <v>0</v>
      </c>
      <c r="U49" s="371">
        <v>0</v>
      </c>
      <c r="V49" s="371">
        <v>0</v>
      </c>
      <c r="W49" s="371">
        <v>0</v>
      </c>
      <c r="X49" s="371">
        <v>0</v>
      </c>
      <c r="Y49" s="371">
        <v>0</v>
      </c>
      <c r="Z49" s="371">
        <v>0</v>
      </c>
      <c r="AA49" s="371">
        <v>0</v>
      </c>
      <c r="AB49" s="371">
        <v>0</v>
      </c>
      <c r="AC49" s="371">
        <v>0</v>
      </c>
      <c r="AD49" s="371">
        <v>0</v>
      </c>
      <c r="AE49" s="371">
        <v>0</v>
      </c>
      <c r="AF49" s="371">
        <v>0</v>
      </c>
      <c r="AG49" s="371">
        <v>0</v>
      </c>
      <c r="AH49" s="371">
        <v>0</v>
      </c>
      <c r="AI49" s="371">
        <v>0</v>
      </c>
      <c r="AJ49" s="371">
        <v>0</v>
      </c>
      <c r="AK49" s="371">
        <v>0</v>
      </c>
      <c r="AL49" s="371">
        <v>0</v>
      </c>
      <c r="AM49" s="371">
        <v>0</v>
      </c>
      <c r="AN49" s="371">
        <v>0</v>
      </c>
      <c r="AO49" s="371">
        <v>0</v>
      </c>
    </row>
    <row r="50" spans="3:41" x14ac:dyDescent="0.3">
      <c r="C50" s="371">
        <v>25</v>
      </c>
      <c r="D50" s="371">
        <v>6</v>
      </c>
      <c r="E50" s="371">
        <v>6</v>
      </c>
      <c r="F50" s="371">
        <v>1639742</v>
      </c>
      <c r="G50" s="371">
        <v>423350</v>
      </c>
      <c r="H50" s="371">
        <v>0</v>
      </c>
      <c r="I50" s="371">
        <v>551426</v>
      </c>
      <c r="J50" s="371">
        <v>0</v>
      </c>
      <c r="K50" s="371">
        <v>582563</v>
      </c>
      <c r="L50" s="371">
        <v>0</v>
      </c>
      <c r="M50" s="371">
        <v>0</v>
      </c>
      <c r="N50" s="371">
        <v>0</v>
      </c>
      <c r="O50" s="371">
        <v>0</v>
      </c>
      <c r="P50" s="371">
        <v>0</v>
      </c>
      <c r="Q50" s="371">
        <v>0</v>
      </c>
      <c r="R50" s="371">
        <v>14750</v>
      </c>
      <c r="S50" s="371">
        <v>0</v>
      </c>
      <c r="T50" s="371">
        <v>0</v>
      </c>
      <c r="U50" s="371">
        <v>0</v>
      </c>
      <c r="V50" s="371">
        <v>0</v>
      </c>
      <c r="W50" s="371">
        <v>0</v>
      </c>
      <c r="X50" s="371">
        <v>0</v>
      </c>
      <c r="Y50" s="371">
        <v>0</v>
      </c>
      <c r="Z50" s="371">
        <v>0</v>
      </c>
      <c r="AA50" s="371">
        <v>0</v>
      </c>
      <c r="AB50" s="371">
        <v>0</v>
      </c>
      <c r="AC50" s="371">
        <v>0</v>
      </c>
      <c r="AD50" s="371">
        <v>0</v>
      </c>
      <c r="AE50" s="371">
        <v>0</v>
      </c>
      <c r="AF50" s="371">
        <v>22130</v>
      </c>
      <c r="AG50" s="371">
        <v>0</v>
      </c>
      <c r="AH50" s="371">
        <v>0</v>
      </c>
      <c r="AI50" s="371">
        <v>39955</v>
      </c>
      <c r="AJ50" s="371">
        <v>0</v>
      </c>
      <c r="AK50" s="371">
        <v>0</v>
      </c>
      <c r="AL50" s="371">
        <v>0</v>
      </c>
      <c r="AM50" s="371">
        <v>0</v>
      </c>
      <c r="AN50" s="371">
        <v>5568</v>
      </c>
      <c r="AO50" s="371">
        <v>0</v>
      </c>
    </row>
    <row r="51" spans="3:41" x14ac:dyDescent="0.3">
      <c r="C51" s="371">
        <v>25</v>
      </c>
      <c r="D51" s="371">
        <v>6</v>
      </c>
      <c r="E51" s="371">
        <v>9</v>
      </c>
      <c r="F51" s="371">
        <v>43500</v>
      </c>
      <c r="G51" s="371">
        <v>0</v>
      </c>
      <c r="H51" s="371">
        <v>0</v>
      </c>
      <c r="I51" s="371">
        <v>36000</v>
      </c>
      <c r="J51" s="371">
        <v>0</v>
      </c>
      <c r="K51" s="371">
        <v>7500</v>
      </c>
      <c r="L51" s="371">
        <v>0</v>
      </c>
      <c r="M51" s="371">
        <v>0</v>
      </c>
      <c r="N51" s="371">
        <v>0</v>
      </c>
      <c r="O51" s="371">
        <v>0</v>
      </c>
      <c r="P51" s="371">
        <v>0</v>
      </c>
      <c r="Q51" s="371">
        <v>0</v>
      </c>
      <c r="R51" s="371">
        <v>0</v>
      </c>
      <c r="S51" s="371">
        <v>0</v>
      </c>
      <c r="T51" s="371">
        <v>0</v>
      </c>
      <c r="U51" s="371">
        <v>0</v>
      </c>
      <c r="V51" s="371">
        <v>0</v>
      </c>
      <c r="W51" s="371">
        <v>0</v>
      </c>
      <c r="X51" s="371">
        <v>0</v>
      </c>
      <c r="Y51" s="371">
        <v>0</v>
      </c>
      <c r="Z51" s="371">
        <v>0</v>
      </c>
      <c r="AA51" s="371">
        <v>0</v>
      </c>
      <c r="AB51" s="371">
        <v>0</v>
      </c>
      <c r="AC51" s="371">
        <v>0</v>
      </c>
      <c r="AD51" s="371">
        <v>0</v>
      </c>
      <c r="AE51" s="371">
        <v>0</v>
      </c>
      <c r="AF51" s="371">
        <v>0</v>
      </c>
      <c r="AG51" s="371">
        <v>0</v>
      </c>
      <c r="AH51" s="371">
        <v>0</v>
      </c>
      <c r="AI51" s="371">
        <v>0</v>
      </c>
      <c r="AJ51" s="371">
        <v>0</v>
      </c>
      <c r="AK51" s="371">
        <v>0</v>
      </c>
      <c r="AL51" s="371">
        <v>0</v>
      </c>
      <c r="AM51" s="371">
        <v>0</v>
      </c>
      <c r="AN51" s="371">
        <v>0</v>
      </c>
      <c r="AO51" s="371">
        <v>0</v>
      </c>
    </row>
    <row r="52" spans="3:41" x14ac:dyDescent="0.3">
      <c r="C52" s="371">
        <v>25</v>
      </c>
      <c r="D52" s="371">
        <v>6</v>
      </c>
      <c r="E52" s="371">
        <v>11</v>
      </c>
      <c r="F52" s="371">
        <v>4359.8702206865346</v>
      </c>
      <c r="G52" s="371">
        <v>0</v>
      </c>
      <c r="H52" s="371">
        <v>2276.5368873532011</v>
      </c>
      <c r="I52" s="371">
        <v>0</v>
      </c>
      <c r="J52" s="371">
        <v>0</v>
      </c>
      <c r="K52" s="371">
        <v>2083.3333333333335</v>
      </c>
      <c r="L52" s="371">
        <v>0</v>
      </c>
      <c r="M52" s="371">
        <v>0</v>
      </c>
      <c r="N52" s="371">
        <v>0</v>
      </c>
      <c r="O52" s="371">
        <v>0</v>
      </c>
      <c r="P52" s="371">
        <v>0</v>
      </c>
      <c r="Q52" s="371">
        <v>0</v>
      </c>
      <c r="R52" s="371">
        <v>0</v>
      </c>
      <c r="S52" s="371">
        <v>0</v>
      </c>
      <c r="T52" s="371">
        <v>0</v>
      </c>
      <c r="U52" s="371">
        <v>0</v>
      </c>
      <c r="V52" s="371">
        <v>0</v>
      </c>
      <c r="W52" s="371">
        <v>0</v>
      </c>
      <c r="X52" s="371">
        <v>0</v>
      </c>
      <c r="Y52" s="371">
        <v>0</v>
      </c>
      <c r="Z52" s="371">
        <v>0</v>
      </c>
      <c r="AA52" s="371">
        <v>0</v>
      </c>
      <c r="AB52" s="371">
        <v>0</v>
      </c>
      <c r="AC52" s="371">
        <v>0</v>
      </c>
      <c r="AD52" s="371">
        <v>0</v>
      </c>
      <c r="AE52" s="371">
        <v>0</v>
      </c>
      <c r="AF52" s="371">
        <v>0</v>
      </c>
      <c r="AG52" s="371">
        <v>0</v>
      </c>
      <c r="AH52" s="371">
        <v>0</v>
      </c>
      <c r="AI52" s="371">
        <v>0</v>
      </c>
      <c r="AJ52" s="371">
        <v>0</v>
      </c>
      <c r="AK52" s="371">
        <v>0</v>
      </c>
      <c r="AL52" s="371">
        <v>0</v>
      </c>
      <c r="AM52" s="371">
        <v>0</v>
      </c>
      <c r="AN52" s="371">
        <v>0</v>
      </c>
      <c r="AO52" s="3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9" bestFit="1" customWidth="1"/>
    <col min="2" max="2" width="11.6640625" style="269" hidden="1" customWidth="1"/>
    <col min="3" max="4" width="11" style="271" customWidth="1"/>
    <col min="5" max="5" width="11" style="272" customWidth="1"/>
    <col min="6" max="16384" width="8.88671875" style="269"/>
  </cols>
  <sheetData>
    <row r="1" spans="1:5" ht="18.600000000000001" thickBot="1" x14ac:dyDescent="0.4">
      <c r="A1" s="470" t="s">
        <v>145</v>
      </c>
      <c r="B1" s="470"/>
      <c r="C1" s="471"/>
      <c r="D1" s="471"/>
      <c r="E1" s="471"/>
    </row>
    <row r="2" spans="1:5" ht="14.4" customHeight="1" thickBot="1" x14ac:dyDescent="0.35">
      <c r="A2" s="375" t="s">
        <v>320</v>
      </c>
      <c r="B2" s="270"/>
    </row>
    <row r="3" spans="1:5" ht="14.4" customHeight="1" thickBot="1" x14ac:dyDescent="0.35">
      <c r="A3" s="273"/>
      <c r="C3" s="274" t="s">
        <v>125</v>
      </c>
      <c r="D3" s="275" t="s">
        <v>88</v>
      </c>
      <c r="E3" s="276" t="s">
        <v>90</v>
      </c>
    </row>
    <row r="4" spans="1:5" ht="14.4" customHeight="1" thickBot="1" x14ac:dyDescent="0.35">
      <c r="A4" s="277" t="str">
        <f>HYPERLINK("#HI!A1","NÁKLADY CELKEM (v tisících Kč)")</f>
        <v>NÁKLADY CELKEM (v tisících Kč)</v>
      </c>
      <c r="B4" s="278"/>
      <c r="C4" s="279">
        <f ca="1">IF(ISERROR(VLOOKUP("Náklady celkem",INDIRECT("HI!$A:$G"),6,0)),0,VLOOKUP("Náklady celkem",INDIRECT("HI!$A:$G"),6,0))</f>
        <v>21550.108204117849</v>
      </c>
      <c r="D4" s="279">
        <f ca="1">IF(ISERROR(VLOOKUP("Náklady celkem",INDIRECT("HI!$A:$G"),5,0)),0,VLOOKUP("Náklady celkem",INDIRECT("HI!$A:$G"),5,0))</f>
        <v>21057.449890000004</v>
      </c>
      <c r="E4" s="280">
        <f ca="1">IF(C4=0,0,D4/C4)</f>
        <v>0.9771389401180034</v>
      </c>
    </row>
    <row r="5" spans="1:5" ht="14.4" customHeight="1" x14ac:dyDescent="0.3">
      <c r="A5" s="281" t="s">
        <v>187</v>
      </c>
      <c r="B5" s="282"/>
      <c r="C5" s="283"/>
      <c r="D5" s="283"/>
      <c r="E5" s="284"/>
    </row>
    <row r="6" spans="1:5" ht="14.4" customHeight="1" x14ac:dyDescent="0.3">
      <c r="A6" s="285" t="s">
        <v>192</v>
      </c>
      <c r="B6" s="286"/>
      <c r="C6" s="287"/>
      <c r="D6" s="287"/>
      <c r="E6" s="284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6" t="s">
        <v>130</v>
      </c>
      <c r="C7" s="287">
        <f>IF(ISERROR(HI!F5),"",HI!F5)</f>
        <v>603.30638915725149</v>
      </c>
      <c r="D7" s="287">
        <f>IF(ISERROR(HI!E5),"",HI!E5)</f>
        <v>615.39603999999997</v>
      </c>
      <c r="E7" s="284">
        <f t="shared" ref="E7:E15" si="0">IF(C7=0,0,D7/C7)</f>
        <v>1.0200389902378397</v>
      </c>
    </row>
    <row r="8" spans="1:5" ht="14.4" customHeight="1" x14ac:dyDescent="0.3">
      <c r="A8" s="288" t="str">
        <f>HYPERLINK("#'LŽ PL'!A1","% plnění pozitivního listu")</f>
        <v>% plnění pozitivního listu</v>
      </c>
      <c r="B8" s="286" t="s">
        <v>179</v>
      </c>
      <c r="C8" s="289">
        <v>0.9</v>
      </c>
      <c r="D8" s="289">
        <f>IF(ISERROR(VLOOKUP("celkem",'LŽ PL'!$A:$F,5,0)),0,VLOOKUP("celkem",'LŽ PL'!$A:$F,5,0))</f>
        <v>0.95463233392576885</v>
      </c>
      <c r="E8" s="284">
        <f t="shared" si="0"/>
        <v>1.0607025932508543</v>
      </c>
    </row>
    <row r="9" spans="1:5" ht="14.4" customHeight="1" x14ac:dyDescent="0.3">
      <c r="A9" s="457" t="str">
        <f>HYPERLINK("#'LŽ Statim'!A1","% podíl statimových žádanek")</f>
        <v>% podíl statimových žádanek</v>
      </c>
      <c r="B9" s="455" t="s">
        <v>301</v>
      </c>
      <c r="C9" s="456">
        <v>0.3</v>
      </c>
      <c r="D9" s="456">
        <f>IF('LŽ Statim'!G3="",0,'LŽ Statim'!G3)</f>
        <v>0.12728719172633254</v>
      </c>
      <c r="E9" s="284">
        <f>IF(C9=0,0,D9/C9)</f>
        <v>0.42429063908777515</v>
      </c>
    </row>
    <row r="10" spans="1:5" ht="14.4" customHeight="1" x14ac:dyDescent="0.3">
      <c r="A10" s="290" t="s">
        <v>188</v>
      </c>
      <c r="B10" s="286"/>
      <c r="C10" s="287"/>
      <c r="D10" s="287"/>
      <c r="E10" s="284"/>
    </row>
    <row r="11" spans="1:5" ht="14.4" customHeight="1" x14ac:dyDescent="0.3">
      <c r="A11" s="288" t="str">
        <f>HYPERLINK("#'Léky Recepty'!A1","% záchytu v lékárně (Úhrada Kč)")</f>
        <v>% záchytu v lékárně (Úhrada Kč)</v>
      </c>
      <c r="B11" s="286" t="s">
        <v>135</v>
      </c>
      <c r="C11" s="289">
        <v>0.6</v>
      </c>
      <c r="D11" s="289">
        <f>IF(ISERROR(VLOOKUP("Celkem",'Léky Recepty'!B:H,5,0)),0,VLOOKUP("Celkem",'Léky Recepty'!B:H,5,0))</f>
        <v>0.41970458725422594</v>
      </c>
      <c r="E11" s="284">
        <f t="shared" si="0"/>
        <v>0.69950764542370991</v>
      </c>
    </row>
    <row r="12" spans="1:5" ht="14.4" customHeight="1" x14ac:dyDescent="0.3">
      <c r="A12" s="288" t="str">
        <f>HYPERLINK("#'LRp PL'!A1","% plnění pozitivního listu")</f>
        <v>% plnění pozitivního listu</v>
      </c>
      <c r="B12" s="286" t="s">
        <v>180</v>
      </c>
      <c r="C12" s="289">
        <v>0.8</v>
      </c>
      <c r="D12" s="289">
        <f>IF(ISERROR(VLOOKUP("Celkem",'LRp PL'!A:F,5,0)),0,VLOOKUP("Celkem",'LRp PL'!A:F,5,0))</f>
        <v>0.92016439705454711</v>
      </c>
      <c r="E12" s="284">
        <f t="shared" si="0"/>
        <v>1.1502054963181838</v>
      </c>
    </row>
    <row r="13" spans="1:5" ht="14.4" customHeight="1" x14ac:dyDescent="0.3">
      <c r="A13" s="290" t="s">
        <v>189</v>
      </c>
      <c r="B13" s="286"/>
      <c r="C13" s="287"/>
      <c r="D13" s="287"/>
      <c r="E13" s="284"/>
    </row>
    <row r="14" spans="1:5" ht="14.4" customHeight="1" x14ac:dyDescent="0.3">
      <c r="A14" s="291" t="s">
        <v>193</v>
      </c>
      <c r="B14" s="286"/>
      <c r="C14" s="283"/>
      <c r="D14" s="283"/>
      <c r="E14" s="284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6" t="s">
        <v>130</v>
      </c>
      <c r="C15" s="287">
        <f>IF(ISERROR(HI!F6),"",HI!F6)</f>
        <v>1221.33288056588</v>
      </c>
      <c r="D15" s="287">
        <f>IF(ISERROR(HI!E6),"",HI!E6)</f>
        <v>873.76778000000002</v>
      </c>
      <c r="E15" s="284">
        <f t="shared" si="0"/>
        <v>0.71542148246689086</v>
      </c>
    </row>
    <row r="16" spans="1:5" ht="14.4" customHeight="1" thickBot="1" x14ac:dyDescent="0.35">
      <c r="A16" s="293" t="str">
        <f>HYPERLINK("#HI!A1","Osobní náklady")</f>
        <v>Osobní náklady</v>
      </c>
      <c r="B16" s="286"/>
      <c r="C16" s="283">
        <f ca="1">IF(ISERROR(VLOOKUP("Osobní náklady (Kč) *",INDIRECT("HI!$A:$G"),6,0)),0,VLOOKUP("Osobní náklady (Kč) *",INDIRECT("HI!$A:$G"),6,0))</f>
        <v>15215.499520748621</v>
      </c>
      <c r="D16" s="283">
        <f ca="1">IF(ISERROR(VLOOKUP("Osobní náklady (Kč) *",INDIRECT("HI!$A:$G"),5,0)),0,VLOOKUP("Osobní náklady (Kč) *",INDIRECT("HI!$A:$G"),5,0))</f>
        <v>12792.012320000003</v>
      </c>
      <c r="E16" s="284">
        <f ca="1">IF(C16=0,0,D16/C16)</f>
        <v>0.8407224687271142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23369.242499999997</v>
      </c>
      <c r="D18" s="303">
        <f ca="1">IF(ISERROR(VLOOKUP("Výnosy celkem",INDIRECT("HI!$A:$G"),5,0)),0,VLOOKUP("Výnosy celkem",INDIRECT("HI!$A:$G"),5,0))</f>
        <v>26458.783530000001</v>
      </c>
      <c r="E18" s="304">
        <f t="shared" ref="E18:E28" ca="1" si="1">IF(C18=0,0,D18/C18)</f>
        <v>1.1322054418323575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2"/>
      <c r="C19" s="283">
        <f ca="1">IF(ISERROR(VLOOKUP("Ambulance *",INDIRECT("HI!$A:$G"),6,0)),0,VLOOKUP("Ambulance *",INDIRECT("HI!$A:$G"),6,0))</f>
        <v>7942.6724999999988</v>
      </c>
      <c r="D19" s="283">
        <f ca="1">IF(ISERROR(VLOOKUP("Ambulance *",INDIRECT("HI!$A:$G"),5,0)),0,VLOOKUP("Ambulance *",INDIRECT("HI!$A:$G"),5,0))</f>
        <v>8757.4035299999996</v>
      </c>
      <c r="E19" s="284">
        <f t="shared" ca="1" si="1"/>
        <v>1.1025764350727039</v>
      </c>
    </row>
    <row r="20" spans="1:5" ht="14.4" customHeight="1" x14ac:dyDescent="0.3">
      <c r="A20" s="306" t="str">
        <f>HYPERLINK("#'ZV Vykáz.-A'!A1","Zdravotní výkony vykázané u ambulantních pacientů (min. 100 %)")</f>
        <v>Zdravotní výkony vykázané u ambulantních pacientů (min. 100 %)</v>
      </c>
      <c r="B20" s="269" t="s">
        <v>147</v>
      </c>
      <c r="C20" s="289">
        <v>1</v>
      </c>
      <c r="D20" s="289">
        <f>IF(ISERROR(VLOOKUP("Celkem:",'ZV Vykáz.-A'!$A:$S,7,0)),"",VLOOKUP("Celkem:",'ZV Vykáz.-A'!$A:$S,7,0))</f>
        <v>1.1025764350727039</v>
      </c>
      <c r="E20" s="284">
        <f t="shared" si="1"/>
        <v>1.1025764350727039</v>
      </c>
    </row>
    <row r="21" spans="1:5" ht="14.4" customHeight="1" x14ac:dyDescent="0.3">
      <c r="A21" s="306" t="str">
        <f>HYPERLINK("#'ZV Vykáz.-H'!A1","Zdravotní výkony vykázané u hospitalizovaných pacientů (max. 85 %)")</f>
        <v>Zdravotní výkony vykázané u hospitalizovaných pacientů (max. 85 %)</v>
      </c>
      <c r="B21" s="269" t="s">
        <v>149</v>
      </c>
      <c r="C21" s="289">
        <v>0.85</v>
      </c>
      <c r="D21" s="289">
        <f>IF(ISERROR(VLOOKUP("Celkem:",'ZV Vykáz.-H'!$A:$S,7,0)),"",VLOOKUP("Celkem:",'ZV Vykáz.-H'!$A:$S,7,0))</f>
        <v>1.1505138505470494</v>
      </c>
      <c r="E21" s="284">
        <f t="shared" si="1"/>
        <v>1.3535457065259404</v>
      </c>
    </row>
    <row r="22" spans="1:5" ht="14.4" customHeight="1" x14ac:dyDescent="0.3">
      <c r="A22" s="307" t="str">
        <f>HYPERLINK("#HI!A1","Hospitalizace (casemix * 30000)")</f>
        <v>Hospitalizace (casemix * 30000)</v>
      </c>
      <c r="B22" s="286"/>
      <c r="C22" s="283">
        <f ca="1">IF(ISERROR(VLOOKUP("Hospitalizace *",INDIRECT("HI!$A:$G"),6,0)),0,VLOOKUP("Hospitalizace *",INDIRECT("HI!$A:$G"),6,0))</f>
        <v>15426.569999999998</v>
      </c>
      <c r="D22" s="283">
        <f ca="1">IF(ISERROR(VLOOKUP("Hospitalizace *",INDIRECT("HI!$A:$G"),5,0)),0,VLOOKUP("Hospitalizace *",INDIRECT("HI!$A:$G"),5,0))</f>
        <v>17701.38</v>
      </c>
      <c r="E22" s="284">
        <f ca="1">IF(C22=0,0,D22/C22)</f>
        <v>1.1474605177949475</v>
      </c>
    </row>
    <row r="23" spans="1:5" ht="14.4" customHeight="1" x14ac:dyDescent="0.3">
      <c r="A23" s="306" t="str">
        <f>HYPERLINK("#'CaseMix'!A1","Casemix (min. 100 %)")</f>
        <v>Casemix (min. 100 %)</v>
      </c>
      <c r="B23" s="286" t="s">
        <v>65</v>
      </c>
      <c r="C23" s="289">
        <v>1</v>
      </c>
      <c r="D23" s="289">
        <f>IF(ISERROR(VLOOKUP("Celkem",CaseMix!A:M,5,0)),0,VLOOKUP("Celkem",CaseMix!A:M,5,0))</f>
        <v>1.1474605177949475</v>
      </c>
      <c r="E23" s="284">
        <f t="shared" si="1"/>
        <v>1.1474605177949475</v>
      </c>
    </row>
    <row r="24" spans="1:5" ht="14.4" customHeight="1" x14ac:dyDescent="0.3">
      <c r="A24" s="308" t="str">
        <f>HYPERLINK("#'CaseMix'!A1","DRG mimo vyjmenované baze")</f>
        <v>DRG mimo vyjmenované baze</v>
      </c>
      <c r="B24" s="286" t="s">
        <v>65</v>
      </c>
      <c r="C24" s="289">
        <v>1</v>
      </c>
      <c r="D24" s="289">
        <f>IF(ISERROR(CaseMix!E26),"",CaseMix!E26)</f>
        <v>1.1474605177949475</v>
      </c>
      <c r="E24" s="284">
        <f t="shared" si="1"/>
        <v>1.1474605177949475</v>
      </c>
    </row>
    <row r="25" spans="1:5" ht="14.4" customHeight="1" x14ac:dyDescent="0.3">
      <c r="A25" s="308" t="str">
        <f>HYPERLINK("#'CaseMix'!A1","Vyjmenované baze DRG")</f>
        <v>Vyjmenované baze DRG</v>
      </c>
      <c r="B25" s="286" t="s">
        <v>65</v>
      </c>
      <c r="C25" s="289">
        <v>1</v>
      </c>
      <c r="D25" s="289">
        <f>IF(ISERROR(CaseMix!E39),"",CaseMix!E39)</f>
        <v>0</v>
      </c>
      <c r="E25" s="284">
        <f t="shared" si="1"/>
        <v>0</v>
      </c>
    </row>
    <row r="26" spans="1:5" ht="14.4" customHeight="1" x14ac:dyDescent="0.3">
      <c r="A26" s="306" t="str">
        <f>HYPERLINK("#'CaseMix'!A1","Počet hospitalizací ukončených na pracovišti (min. 95 %)")</f>
        <v>Počet hospitalizací ukončených na pracovišti (min. 95 %)</v>
      </c>
      <c r="B26" s="286" t="s">
        <v>65</v>
      </c>
      <c r="C26" s="289">
        <v>0.95</v>
      </c>
      <c r="D26" s="289">
        <f>IF(ISERROR(CaseMix!I13),"",CaseMix!I13)</f>
        <v>1.1215469613259668</v>
      </c>
      <c r="E26" s="284">
        <f t="shared" si="1"/>
        <v>1.1805757487641757</v>
      </c>
    </row>
    <row r="27" spans="1:5" ht="14.4" customHeight="1" x14ac:dyDescent="0.3">
      <c r="A27" s="306" t="str">
        <f>HYPERLINK("#'ALOS'!A1","Průměrná délka hospitalizace (max. 100 % republikového průměru)")</f>
        <v>Průměrná délka hospitalizace (max. 100 % republikového průměru)</v>
      </c>
      <c r="B27" s="286" t="s">
        <v>80</v>
      </c>
      <c r="C27" s="289">
        <v>1</v>
      </c>
      <c r="D27" s="309">
        <f>IF(ISERROR(INDEX(ALOS!$E:$E,COUNT(ALOS!$E:$E)+32)),0,INDEX(ALOS!$E:$E,COUNT(ALOS!$E:$E)+32))</f>
        <v>0.99430595632301577</v>
      </c>
      <c r="E27" s="284">
        <f t="shared" si="1"/>
        <v>0.99430595632301577</v>
      </c>
    </row>
    <row r="28" spans="1:5" ht="27.6" x14ac:dyDescent="0.3">
      <c r="A28" s="31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86" t="s">
        <v>144</v>
      </c>
      <c r="C28" s="289">
        <f>IF(E23&gt;1,95%,95%-2*ABS(C23-D23))</f>
        <v>0.95</v>
      </c>
      <c r="D28" s="289">
        <f>IF(ISERROR(VLOOKUP("Celkem:",'ZV Vyžád.'!$A:$M,7,0)),"",VLOOKUP("Celkem:",'ZV Vyžád.'!$A:$M,7,0))</f>
        <v>1.197752175314212</v>
      </c>
      <c r="E28" s="284">
        <f t="shared" si="1"/>
        <v>1.2607917634886443</v>
      </c>
    </row>
    <row r="29" spans="1:5" ht="14.4" customHeight="1" thickBot="1" x14ac:dyDescent="0.35">
      <c r="A29" s="311" t="s">
        <v>190</v>
      </c>
      <c r="B29" s="294"/>
      <c r="C29" s="295"/>
      <c r="D29" s="295"/>
      <c r="E29" s="296"/>
    </row>
    <row r="30" spans="1:5" ht="14.4" customHeight="1" thickBot="1" x14ac:dyDescent="0.35">
      <c r="A30" s="312"/>
      <c r="B30" s="313"/>
      <c r="C30" s="314"/>
      <c r="D30" s="314"/>
      <c r="E30" s="315"/>
    </row>
    <row r="31" spans="1:5" ht="14.4" customHeight="1" thickBot="1" x14ac:dyDescent="0.35">
      <c r="A31" s="316" t="s">
        <v>191</v>
      </c>
      <c r="B31" s="317"/>
      <c r="C31" s="318"/>
      <c r="D31" s="318"/>
      <c r="E31" s="319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48" bestFit="1" customWidth="1"/>
    <col min="2" max="2" width="7.77734375" style="213" customWidth="1"/>
    <col min="3" max="3" width="5.44140625" style="248" hidden="1" customWidth="1"/>
    <col min="4" max="4" width="7.77734375" style="213" customWidth="1"/>
    <col min="5" max="5" width="5.44140625" style="248" hidden="1" customWidth="1"/>
    <col min="6" max="6" width="7.77734375" style="213" customWidth="1"/>
    <col min="7" max="7" width="7.77734375" style="332" customWidth="1"/>
    <col min="8" max="8" width="7.77734375" style="213" customWidth="1"/>
    <col min="9" max="9" width="5.44140625" style="248" hidden="1" customWidth="1"/>
    <col min="10" max="10" width="7.77734375" style="213" customWidth="1"/>
    <col min="11" max="11" width="5.44140625" style="248" hidden="1" customWidth="1"/>
    <col min="12" max="12" width="7.77734375" style="213" customWidth="1"/>
    <col min="13" max="13" width="7.77734375" style="332" customWidth="1"/>
    <col min="14" max="14" width="7.77734375" style="213" customWidth="1"/>
    <col min="15" max="15" width="5" style="248" hidden="1" customWidth="1"/>
    <col min="16" max="16" width="7.77734375" style="213" customWidth="1"/>
    <col min="17" max="17" width="5" style="248" hidden="1" customWidth="1"/>
    <col min="18" max="18" width="7.77734375" style="213" customWidth="1"/>
    <col min="19" max="19" width="7.77734375" style="332" customWidth="1"/>
    <col min="20" max="16384" width="8.88671875" style="248"/>
  </cols>
  <sheetData>
    <row r="1" spans="1:19" ht="18.600000000000001" customHeight="1" thickBot="1" x14ac:dyDescent="0.4">
      <c r="A1" s="533" t="s">
        <v>2345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</row>
    <row r="2" spans="1:19" ht="14.4" customHeight="1" thickBot="1" x14ac:dyDescent="0.35">
      <c r="A2" s="375" t="s">
        <v>320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19" ht="14.4" customHeight="1" thickBot="1" x14ac:dyDescent="0.35">
      <c r="A3" s="342" t="s">
        <v>153</v>
      </c>
      <c r="B3" s="343">
        <f>SUBTOTAL(9,B6:B1048576)/2</f>
        <v>7942672.4999999991</v>
      </c>
      <c r="C3" s="344">
        <f t="shared" ref="C3:R3" si="0">SUBTOTAL(9,C6:C1048576)</f>
        <v>7</v>
      </c>
      <c r="D3" s="344">
        <f>SUBTOTAL(9,D6:D1048576)/2</f>
        <v>8503226.7499999981</v>
      </c>
      <c r="E3" s="344">
        <f t="shared" si="0"/>
        <v>7.5793879085422509</v>
      </c>
      <c r="F3" s="344">
        <f>SUBTOTAL(9,F6:F1048576)/2</f>
        <v>8757403.5299999993</v>
      </c>
      <c r="G3" s="345">
        <f>IF(B3&lt;&gt;0,F3/B3,"")</f>
        <v>1.1025764350727039</v>
      </c>
      <c r="H3" s="346">
        <f t="shared" si="0"/>
        <v>133633.17000000001</v>
      </c>
      <c r="I3" s="344">
        <f t="shared" si="0"/>
        <v>2</v>
      </c>
      <c r="J3" s="344">
        <f t="shared" si="0"/>
        <v>107494.85</v>
      </c>
      <c r="K3" s="344">
        <f t="shared" si="0"/>
        <v>1.8504280199563117</v>
      </c>
      <c r="L3" s="344">
        <f t="shared" si="0"/>
        <v>109176.6</v>
      </c>
      <c r="M3" s="347">
        <f>IF(H3&lt;&gt;0,L3/H3,"")</f>
        <v>0.81698727943069815</v>
      </c>
      <c r="N3" s="343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IF(N3&lt;&gt;0,R3/N3,"")</f>
        <v/>
      </c>
    </row>
    <row r="4" spans="1:19" ht="14.4" customHeight="1" x14ac:dyDescent="0.3">
      <c r="A4" s="534" t="s">
        <v>319</v>
      </c>
      <c r="B4" s="535" t="s">
        <v>117</v>
      </c>
      <c r="C4" s="536"/>
      <c r="D4" s="536"/>
      <c r="E4" s="536"/>
      <c r="F4" s="536"/>
      <c r="G4" s="537"/>
      <c r="H4" s="535" t="s">
        <v>118</v>
      </c>
      <c r="I4" s="536"/>
      <c r="J4" s="536"/>
      <c r="K4" s="536"/>
      <c r="L4" s="536"/>
      <c r="M4" s="537"/>
      <c r="N4" s="535" t="s">
        <v>119</v>
      </c>
      <c r="O4" s="536"/>
      <c r="P4" s="536"/>
      <c r="Q4" s="536"/>
      <c r="R4" s="536"/>
      <c r="S4" s="537"/>
    </row>
    <row r="5" spans="1:19" ht="14.4" customHeight="1" thickBot="1" x14ac:dyDescent="0.35">
      <c r="A5" s="738"/>
      <c r="B5" s="739">
        <v>2013</v>
      </c>
      <c r="C5" s="740"/>
      <c r="D5" s="740">
        <v>2014</v>
      </c>
      <c r="E5" s="740"/>
      <c r="F5" s="740">
        <v>2015</v>
      </c>
      <c r="G5" s="741" t="s">
        <v>2</v>
      </c>
      <c r="H5" s="739">
        <v>2013</v>
      </c>
      <c r="I5" s="740"/>
      <c r="J5" s="740">
        <v>2014</v>
      </c>
      <c r="K5" s="740"/>
      <c r="L5" s="740">
        <v>2015</v>
      </c>
      <c r="M5" s="741" t="s">
        <v>2</v>
      </c>
      <c r="N5" s="739">
        <v>2013</v>
      </c>
      <c r="O5" s="740"/>
      <c r="P5" s="740">
        <v>2014</v>
      </c>
      <c r="Q5" s="740"/>
      <c r="R5" s="740">
        <v>2015</v>
      </c>
      <c r="S5" s="741" t="s">
        <v>2</v>
      </c>
    </row>
    <row r="6" spans="1:19" ht="14.4" customHeight="1" x14ac:dyDescent="0.3">
      <c r="A6" s="703" t="s">
        <v>2342</v>
      </c>
      <c r="B6" s="742">
        <v>5766138.9299999988</v>
      </c>
      <c r="C6" s="689">
        <v>1</v>
      </c>
      <c r="D6" s="742">
        <v>6055987.8699999964</v>
      </c>
      <c r="E6" s="689">
        <v>1.050267422189912</v>
      </c>
      <c r="F6" s="742">
        <v>6124650.1399999959</v>
      </c>
      <c r="G6" s="694">
        <v>1.062175263959517</v>
      </c>
      <c r="H6" s="742">
        <v>132457</v>
      </c>
      <c r="I6" s="689">
        <v>1</v>
      </c>
      <c r="J6" s="742">
        <v>106262</v>
      </c>
      <c r="K6" s="689">
        <v>0.80223770733143585</v>
      </c>
      <c r="L6" s="742">
        <v>108943</v>
      </c>
      <c r="M6" s="694">
        <v>0.82247823822070554</v>
      </c>
      <c r="N6" s="742"/>
      <c r="O6" s="689"/>
      <c r="P6" s="742"/>
      <c r="Q6" s="689"/>
      <c r="R6" s="742"/>
      <c r="S6" s="229"/>
    </row>
    <row r="7" spans="1:19" ht="14.4" customHeight="1" x14ac:dyDescent="0.3">
      <c r="A7" s="640" t="s">
        <v>2343</v>
      </c>
      <c r="B7" s="743">
        <v>2059882.5700000005</v>
      </c>
      <c r="C7" s="614">
        <v>1</v>
      </c>
      <c r="D7" s="743">
        <v>2324327.88</v>
      </c>
      <c r="E7" s="614">
        <v>1.1283788279251274</v>
      </c>
      <c r="F7" s="743">
        <v>2523351.3900000011</v>
      </c>
      <c r="G7" s="630">
        <v>1.224997690038224</v>
      </c>
      <c r="H7" s="743"/>
      <c r="I7" s="614"/>
      <c r="J7" s="743"/>
      <c r="K7" s="614"/>
      <c r="L7" s="743"/>
      <c r="M7" s="630"/>
      <c r="N7" s="743"/>
      <c r="O7" s="614"/>
      <c r="P7" s="743"/>
      <c r="Q7" s="614"/>
      <c r="R7" s="743"/>
      <c r="S7" s="653"/>
    </row>
    <row r="8" spans="1:19" ht="14.4" customHeight="1" thickBot="1" x14ac:dyDescent="0.35">
      <c r="A8" s="745" t="s">
        <v>2344</v>
      </c>
      <c r="B8" s="744">
        <v>116651</v>
      </c>
      <c r="C8" s="620">
        <v>1</v>
      </c>
      <c r="D8" s="744">
        <v>122911</v>
      </c>
      <c r="E8" s="620">
        <v>1.0536643492126085</v>
      </c>
      <c r="F8" s="744">
        <v>109402</v>
      </c>
      <c r="G8" s="631">
        <v>0.93785736941817899</v>
      </c>
      <c r="H8" s="744">
        <v>1176.1699999999998</v>
      </c>
      <c r="I8" s="620">
        <v>1</v>
      </c>
      <c r="J8" s="744">
        <v>1232.8499999999999</v>
      </c>
      <c r="K8" s="620">
        <v>1.0481903126248757</v>
      </c>
      <c r="L8" s="744">
        <v>233.60000000000002</v>
      </c>
      <c r="M8" s="631">
        <v>0.19861074504535914</v>
      </c>
      <c r="N8" s="744"/>
      <c r="O8" s="620"/>
      <c r="P8" s="744"/>
      <c r="Q8" s="620"/>
      <c r="R8" s="744"/>
      <c r="S8" s="654"/>
    </row>
    <row r="9" spans="1:19" ht="14.4" customHeight="1" thickBot="1" x14ac:dyDescent="0.35"/>
    <row r="10" spans="1:19" ht="14.4" customHeight="1" x14ac:dyDescent="0.3">
      <c r="A10" s="703" t="s">
        <v>343</v>
      </c>
      <c r="B10" s="742">
        <v>4936482.5899999989</v>
      </c>
      <c r="C10" s="689">
        <v>1</v>
      </c>
      <c r="D10" s="742">
        <v>5116805.959999999</v>
      </c>
      <c r="E10" s="689">
        <v>1.0365287158847247</v>
      </c>
      <c r="F10" s="742">
        <v>5269249.0999999996</v>
      </c>
      <c r="G10" s="694">
        <v>1.0674096391374088</v>
      </c>
      <c r="H10" s="742"/>
      <c r="I10" s="689"/>
      <c r="J10" s="742"/>
      <c r="K10" s="689"/>
      <c r="L10" s="742"/>
      <c r="M10" s="694"/>
      <c r="N10" s="742"/>
      <c r="O10" s="689"/>
      <c r="P10" s="742"/>
      <c r="Q10" s="689"/>
      <c r="R10" s="742"/>
      <c r="S10" s="229"/>
    </row>
    <row r="11" spans="1:19" ht="14.4" customHeight="1" x14ac:dyDescent="0.3">
      <c r="A11" s="640" t="s">
        <v>346</v>
      </c>
      <c r="B11" s="743">
        <v>2059882.570000001</v>
      </c>
      <c r="C11" s="614">
        <v>1</v>
      </c>
      <c r="D11" s="743">
        <v>2324327.88</v>
      </c>
      <c r="E11" s="614">
        <v>1.1283788279251272</v>
      </c>
      <c r="F11" s="743">
        <v>2523351.39</v>
      </c>
      <c r="G11" s="630">
        <v>1.2249976900382233</v>
      </c>
      <c r="H11" s="743"/>
      <c r="I11" s="614"/>
      <c r="J11" s="743"/>
      <c r="K11" s="614"/>
      <c r="L11" s="743"/>
      <c r="M11" s="630"/>
      <c r="N11" s="743"/>
      <c r="O11" s="614"/>
      <c r="P11" s="743"/>
      <c r="Q11" s="614"/>
      <c r="R11" s="743"/>
      <c r="S11" s="653"/>
    </row>
    <row r="12" spans="1:19" ht="14.4" customHeight="1" x14ac:dyDescent="0.3">
      <c r="A12" s="640" t="s">
        <v>2346</v>
      </c>
      <c r="B12" s="743">
        <v>59274</v>
      </c>
      <c r="C12" s="614">
        <v>1</v>
      </c>
      <c r="D12" s="743">
        <v>62554</v>
      </c>
      <c r="E12" s="614">
        <v>1.0553362351115161</v>
      </c>
      <c r="F12" s="743">
        <v>40063</v>
      </c>
      <c r="G12" s="630">
        <v>0.67589499611971526</v>
      </c>
      <c r="H12" s="743"/>
      <c r="I12" s="614"/>
      <c r="J12" s="743"/>
      <c r="K12" s="614"/>
      <c r="L12" s="743"/>
      <c r="M12" s="630"/>
      <c r="N12" s="743"/>
      <c r="O12" s="614"/>
      <c r="P12" s="743"/>
      <c r="Q12" s="614"/>
      <c r="R12" s="743"/>
      <c r="S12" s="653"/>
    </row>
    <row r="13" spans="1:19" ht="14.4" customHeight="1" thickBot="1" x14ac:dyDescent="0.35">
      <c r="A13" s="745" t="s">
        <v>2347</v>
      </c>
      <c r="B13" s="744">
        <v>887033.34</v>
      </c>
      <c r="C13" s="620">
        <v>1</v>
      </c>
      <c r="D13" s="744">
        <v>999538.91</v>
      </c>
      <c r="E13" s="620">
        <v>1.1268335302932357</v>
      </c>
      <c r="F13" s="744">
        <v>924740.0400000005</v>
      </c>
      <c r="G13" s="631">
        <v>1.0425087742474264</v>
      </c>
      <c r="H13" s="744"/>
      <c r="I13" s="620"/>
      <c r="J13" s="744"/>
      <c r="K13" s="620"/>
      <c r="L13" s="744"/>
      <c r="M13" s="631"/>
      <c r="N13" s="744"/>
      <c r="O13" s="620"/>
      <c r="P13" s="744"/>
      <c r="Q13" s="620"/>
      <c r="R13" s="744"/>
      <c r="S13" s="654"/>
    </row>
    <row r="14" spans="1:19" ht="14.4" customHeight="1" x14ac:dyDescent="0.3">
      <c r="A14" s="668" t="s">
        <v>1254</v>
      </c>
    </row>
    <row r="15" spans="1:19" ht="14.4" customHeight="1" x14ac:dyDescent="0.3">
      <c r="A15" s="669" t="s">
        <v>1255</v>
      </c>
    </row>
    <row r="16" spans="1:19" ht="14.4" customHeight="1" x14ac:dyDescent="0.3">
      <c r="A16" s="668" t="s">
        <v>2348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48" bestFit="1" customWidth="1"/>
    <col min="2" max="4" width="7.77734375" style="329" customWidth="1"/>
    <col min="5" max="7" width="7.77734375" style="213" customWidth="1"/>
    <col min="8" max="16384" width="8.88671875" style="248"/>
  </cols>
  <sheetData>
    <row r="1" spans="1:7" ht="18.600000000000001" customHeight="1" thickBot="1" x14ac:dyDescent="0.4">
      <c r="A1" s="533" t="s">
        <v>2355</v>
      </c>
      <c r="B1" s="470"/>
      <c r="C1" s="470"/>
      <c r="D1" s="470"/>
      <c r="E1" s="470"/>
      <c r="F1" s="470"/>
      <c r="G1" s="470"/>
    </row>
    <row r="2" spans="1:7" ht="14.4" customHeight="1" thickBot="1" x14ac:dyDescent="0.35">
      <c r="A2" s="375" t="s">
        <v>320</v>
      </c>
      <c r="B2" s="218"/>
      <c r="C2" s="218"/>
      <c r="D2" s="218"/>
      <c r="E2" s="218"/>
      <c r="F2" s="218"/>
      <c r="G2" s="218"/>
    </row>
    <row r="3" spans="1:7" ht="14.4" customHeight="1" thickBot="1" x14ac:dyDescent="0.35">
      <c r="A3" s="342" t="s">
        <v>153</v>
      </c>
      <c r="B3" s="460">
        <f t="shared" ref="B3:G3" si="0">SUBTOTAL(9,B6:B1048576)</f>
        <v>33955</v>
      </c>
      <c r="C3" s="461">
        <f t="shared" si="0"/>
        <v>37312</v>
      </c>
      <c r="D3" s="461">
        <f t="shared" si="0"/>
        <v>35519</v>
      </c>
      <c r="E3" s="346">
        <f t="shared" si="0"/>
        <v>7942672.4999999981</v>
      </c>
      <c r="F3" s="344">
        <f t="shared" si="0"/>
        <v>8503226.7499999944</v>
      </c>
      <c r="G3" s="462">
        <f t="shared" si="0"/>
        <v>8757403.5299999975</v>
      </c>
    </row>
    <row r="4" spans="1:7" ht="14.4" customHeight="1" x14ac:dyDescent="0.3">
      <c r="A4" s="534" t="s">
        <v>161</v>
      </c>
      <c r="B4" s="535" t="s">
        <v>303</v>
      </c>
      <c r="C4" s="536"/>
      <c r="D4" s="536"/>
      <c r="E4" s="538" t="s">
        <v>117</v>
      </c>
      <c r="F4" s="539"/>
      <c r="G4" s="540"/>
    </row>
    <row r="5" spans="1:7" ht="14.4" customHeight="1" thickBot="1" x14ac:dyDescent="0.35">
      <c r="A5" s="738"/>
      <c r="B5" s="739">
        <v>2013</v>
      </c>
      <c r="C5" s="740">
        <v>2014</v>
      </c>
      <c r="D5" s="740">
        <v>2015</v>
      </c>
      <c r="E5" s="739">
        <v>2013</v>
      </c>
      <c r="F5" s="740">
        <v>2014</v>
      </c>
      <c r="G5" s="746">
        <v>2015</v>
      </c>
    </row>
    <row r="6" spans="1:7" ht="14.4" customHeight="1" x14ac:dyDescent="0.3">
      <c r="A6" s="703" t="s">
        <v>2349</v>
      </c>
      <c r="B6" s="223">
        <v>19073</v>
      </c>
      <c r="C6" s="223">
        <v>20167</v>
      </c>
      <c r="D6" s="223">
        <v>20951</v>
      </c>
      <c r="E6" s="742">
        <v>6082899.9399999995</v>
      </c>
      <c r="F6" s="742">
        <v>6377721.3199999956</v>
      </c>
      <c r="G6" s="747">
        <v>6456643.2199999969</v>
      </c>
    </row>
    <row r="7" spans="1:7" ht="14.4" customHeight="1" x14ac:dyDescent="0.3">
      <c r="A7" s="640" t="s">
        <v>1257</v>
      </c>
      <c r="B7" s="617">
        <v>661</v>
      </c>
      <c r="C7" s="617">
        <v>1356</v>
      </c>
      <c r="D7" s="617">
        <v>911</v>
      </c>
      <c r="E7" s="743">
        <v>92137.799999999988</v>
      </c>
      <c r="F7" s="743">
        <v>200035.53999999998</v>
      </c>
      <c r="G7" s="748">
        <v>135764.46000000002</v>
      </c>
    </row>
    <row r="8" spans="1:7" ht="14.4" customHeight="1" x14ac:dyDescent="0.3">
      <c r="A8" s="640" t="s">
        <v>1258</v>
      </c>
      <c r="B8" s="617">
        <v>293</v>
      </c>
      <c r="C8" s="617">
        <v>448</v>
      </c>
      <c r="D8" s="617">
        <v>934</v>
      </c>
      <c r="E8" s="743">
        <v>40595.55999999999</v>
      </c>
      <c r="F8" s="743">
        <v>63300</v>
      </c>
      <c r="G8" s="748">
        <v>134667.81999999998</v>
      </c>
    </row>
    <row r="9" spans="1:7" ht="14.4" customHeight="1" x14ac:dyDescent="0.3">
      <c r="A9" s="640" t="s">
        <v>1259</v>
      </c>
      <c r="B9" s="617">
        <v>854</v>
      </c>
      <c r="C9" s="617">
        <v>1079</v>
      </c>
      <c r="D9" s="617">
        <v>811</v>
      </c>
      <c r="E9" s="743">
        <v>121964.44</v>
      </c>
      <c r="F9" s="743">
        <v>187446.68</v>
      </c>
      <c r="G9" s="748">
        <v>137765.59</v>
      </c>
    </row>
    <row r="10" spans="1:7" ht="14.4" customHeight="1" x14ac:dyDescent="0.3">
      <c r="A10" s="640" t="s">
        <v>2350</v>
      </c>
      <c r="B10" s="617">
        <v>856</v>
      </c>
      <c r="C10" s="617"/>
      <c r="D10" s="617"/>
      <c r="E10" s="743">
        <v>130076.69999999998</v>
      </c>
      <c r="F10" s="743"/>
      <c r="G10" s="748"/>
    </row>
    <row r="11" spans="1:7" ht="14.4" customHeight="1" x14ac:dyDescent="0.3">
      <c r="A11" s="640" t="s">
        <v>1260</v>
      </c>
      <c r="B11" s="617">
        <v>1359</v>
      </c>
      <c r="C11" s="617">
        <v>1790</v>
      </c>
      <c r="D11" s="617">
        <v>1135</v>
      </c>
      <c r="E11" s="743">
        <v>181325.57</v>
      </c>
      <c r="F11" s="743">
        <v>206950.05000000005</v>
      </c>
      <c r="G11" s="748">
        <v>170117.77000000005</v>
      </c>
    </row>
    <row r="12" spans="1:7" ht="14.4" customHeight="1" x14ac:dyDescent="0.3">
      <c r="A12" s="640" t="s">
        <v>2351</v>
      </c>
      <c r="B12" s="617">
        <v>6</v>
      </c>
      <c r="C12" s="617">
        <v>11</v>
      </c>
      <c r="D12" s="617"/>
      <c r="E12" s="743">
        <v>555.55999999999995</v>
      </c>
      <c r="F12" s="743">
        <v>3066.6699999999996</v>
      </c>
      <c r="G12" s="748"/>
    </row>
    <row r="13" spans="1:7" ht="14.4" customHeight="1" x14ac:dyDescent="0.3">
      <c r="A13" s="640" t="s">
        <v>2352</v>
      </c>
      <c r="B13" s="617">
        <v>755</v>
      </c>
      <c r="C13" s="617">
        <v>401</v>
      </c>
      <c r="D13" s="617"/>
      <c r="E13" s="743">
        <v>110617.79</v>
      </c>
      <c r="F13" s="743">
        <v>62688.919999999991</v>
      </c>
      <c r="G13" s="748"/>
    </row>
    <row r="14" spans="1:7" ht="14.4" customHeight="1" x14ac:dyDescent="0.3">
      <c r="A14" s="640" t="s">
        <v>1261</v>
      </c>
      <c r="B14" s="617">
        <v>889</v>
      </c>
      <c r="C14" s="617">
        <v>1021</v>
      </c>
      <c r="D14" s="617">
        <v>805</v>
      </c>
      <c r="E14" s="743">
        <v>142102.24000000002</v>
      </c>
      <c r="F14" s="743">
        <v>166475.53</v>
      </c>
      <c r="G14" s="748">
        <v>127933.32</v>
      </c>
    </row>
    <row r="15" spans="1:7" ht="14.4" customHeight="1" x14ac:dyDescent="0.3">
      <c r="A15" s="640" t="s">
        <v>1262</v>
      </c>
      <c r="B15" s="617">
        <v>135</v>
      </c>
      <c r="C15" s="617">
        <v>227</v>
      </c>
      <c r="D15" s="617">
        <v>2</v>
      </c>
      <c r="E15" s="743">
        <v>0</v>
      </c>
      <c r="F15" s="743">
        <v>34</v>
      </c>
      <c r="G15" s="748">
        <v>327.78</v>
      </c>
    </row>
    <row r="16" spans="1:7" ht="14.4" customHeight="1" x14ac:dyDescent="0.3">
      <c r="A16" s="640" t="s">
        <v>1263</v>
      </c>
      <c r="B16" s="617">
        <v>58</v>
      </c>
      <c r="C16" s="617">
        <v>87</v>
      </c>
      <c r="D16" s="617">
        <v>4</v>
      </c>
      <c r="E16" s="743">
        <v>0</v>
      </c>
      <c r="F16" s="743">
        <v>0</v>
      </c>
      <c r="G16" s="748">
        <v>1605.5500000000002</v>
      </c>
    </row>
    <row r="17" spans="1:7" ht="14.4" customHeight="1" x14ac:dyDescent="0.3">
      <c r="A17" s="640" t="s">
        <v>1264</v>
      </c>
      <c r="B17" s="617">
        <v>104</v>
      </c>
      <c r="C17" s="617">
        <v>156</v>
      </c>
      <c r="D17" s="617"/>
      <c r="E17" s="743">
        <v>0</v>
      </c>
      <c r="F17" s="743">
        <v>0</v>
      </c>
      <c r="G17" s="748"/>
    </row>
    <row r="18" spans="1:7" ht="14.4" customHeight="1" x14ac:dyDescent="0.3">
      <c r="A18" s="640" t="s">
        <v>1265</v>
      </c>
      <c r="B18" s="617">
        <v>883</v>
      </c>
      <c r="C18" s="617">
        <v>649</v>
      </c>
      <c r="D18" s="617">
        <v>505</v>
      </c>
      <c r="E18" s="743">
        <v>136750.03999999998</v>
      </c>
      <c r="F18" s="743">
        <v>105181.12</v>
      </c>
      <c r="G18" s="748">
        <v>80618.91</v>
      </c>
    </row>
    <row r="19" spans="1:7" ht="14.4" customHeight="1" x14ac:dyDescent="0.3">
      <c r="A19" s="640" t="s">
        <v>1266</v>
      </c>
      <c r="B19" s="617">
        <v>1419</v>
      </c>
      <c r="C19" s="617">
        <v>2467</v>
      </c>
      <c r="D19" s="617">
        <v>1494</v>
      </c>
      <c r="E19" s="743">
        <v>127740.02</v>
      </c>
      <c r="F19" s="743">
        <v>253325.77</v>
      </c>
      <c r="G19" s="748">
        <v>224944.44999999998</v>
      </c>
    </row>
    <row r="20" spans="1:7" ht="14.4" customHeight="1" x14ac:dyDescent="0.3">
      <c r="A20" s="640" t="s">
        <v>1279</v>
      </c>
      <c r="B20" s="617"/>
      <c r="C20" s="617">
        <v>336</v>
      </c>
      <c r="D20" s="617">
        <v>339</v>
      </c>
      <c r="E20" s="743"/>
      <c r="F20" s="743">
        <v>53573.35</v>
      </c>
      <c r="G20" s="748">
        <v>55717.799999999996</v>
      </c>
    </row>
    <row r="21" spans="1:7" ht="14.4" customHeight="1" x14ac:dyDescent="0.3">
      <c r="A21" s="640" t="s">
        <v>1267</v>
      </c>
      <c r="B21" s="617">
        <v>1451</v>
      </c>
      <c r="C21" s="617">
        <v>1232</v>
      </c>
      <c r="D21" s="617">
        <v>777</v>
      </c>
      <c r="E21" s="743">
        <v>187718.89000000004</v>
      </c>
      <c r="F21" s="743">
        <v>131326.67000000001</v>
      </c>
      <c r="G21" s="748">
        <v>119570.04999999997</v>
      </c>
    </row>
    <row r="22" spans="1:7" ht="14.4" customHeight="1" x14ac:dyDescent="0.3">
      <c r="A22" s="640" t="s">
        <v>1268</v>
      </c>
      <c r="B22" s="617">
        <v>1149</v>
      </c>
      <c r="C22" s="617">
        <v>1139</v>
      </c>
      <c r="D22" s="617">
        <v>1457</v>
      </c>
      <c r="E22" s="743">
        <v>192716.68999999997</v>
      </c>
      <c r="F22" s="743">
        <v>182923.35000000003</v>
      </c>
      <c r="G22" s="748">
        <v>238926.70000000004</v>
      </c>
    </row>
    <row r="23" spans="1:7" ht="14.4" customHeight="1" x14ac:dyDescent="0.3">
      <c r="A23" s="640" t="s">
        <v>1269</v>
      </c>
      <c r="B23" s="617">
        <v>238</v>
      </c>
      <c r="C23" s="617">
        <v>221</v>
      </c>
      <c r="D23" s="617"/>
      <c r="E23" s="743">
        <v>744.44999999999993</v>
      </c>
      <c r="F23" s="743">
        <v>2622.2299999999996</v>
      </c>
      <c r="G23" s="748"/>
    </row>
    <row r="24" spans="1:7" ht="14.4" customHeight="1" x14ac:dyDescent="0.3">
      <c r="A24" s="640" t="s">
        <v>1270</v>
      </c>
      <c r="B24" s="617">
        <v>219</v>
      </c>
      <c r="C24" s="617">
        <v>274</v>
      </c>
      <c r="D24" s="617"/>
      <c r="E24" s="743">
        <v>0</v>
      </c>
      <c r="F24" s="743">
        <v>0</v>
      </c>
      <c r="G24" s="748"/>
    </row>
    <row r="25" spans="1:7" ht="14.4" customHeight="1" x14ac:dyDescent="0.3">
      <c r="A25" s="640" t="s">
        <v>1271</v>
      </c>
      <c r="B25" s="617">
        <v>403</v>
      </c>
      <c r="C25" s="617">
        <v>914</v>
      </c>
      <c r="D25" s="617">
        <v>1047</v>
      </c>
      <c r="E25" s="743">
        <v>69622.25999999998</v>
      </c>
      <c r="F25" s="743">
        <v>141230</v>
      </c>
      <c r="G25" s="748">
        <v>175553.36000000002</v>
      </c>
    </row>
    <row r="26" spans="1:7" ht="14.4" customHeight="1" x14ac:dyDescent="0.3">
      <c r="A26" s="640" t="s">
        <v>1272</v>
      </c>
      <c r="B26" s="617">
        <v>423</v>
      </c>
      <c r="C26" s="617">
        <v>389</v>
      </c>
      <c r="D26" s="617"/>
      <c r="E26" s="743">
        <v>505.56</v>
      </c>
      <c r="F26" s="743">
        <v>0</v>
      </c>
      <c r="G26" s="748"/>
    </row>
    <row r="27" spans="1:7" ht="14.4" customHeight="1" x14ac:dyDescent="0.3">
      <c r="A27" s="640" t="s">
        <v>1273</v>
      </c>
      <c r="B27" s="617">
        <v>189</v>
      </c>
      <c r="C27" s="617">
        <v>211</v>
      </c>
      <c r="D27" s="617"/>
      <c r="E27" s="743">
        <v>0</v>
      </c>
      <c r="F27" s="743">
        <v>88.89</v>
      </c>
      <c r="G27" s="748"/>
    </row>
    <row r="28" spans="1:7" ht="14.4" customHeight="1" x14ac:dyDescent="0.3">
      <c r="A28" s="640" t="s">
        <v>2353</v>
      </c>
      <c r="B28" s="617">
        <v>195</v>
      </c>
      <c r="C28" s="617"/>
      <c r="D28" s="617"/>
      <c r="E28" s="743">
        <v>31703.350000000006</v>
      </c>
      <c r="F28" s="743"/>
      <c r="G28" s="748"/>
    </row>
    <row r="29" spans="1:7" ht="14.4" customHeight="1" x14ac:dyDescent="0.3">
      <c r="A29" s="640" t="s">
        <v>2354</v>
      </c>
      <c r="B29" s="617">
        <v>440</v>
      </c>
      <c r="C29" s="617">
        <v>611</v>
      </c>
      <c r="D29" s="617"/>
      <c r="E29" s="743">
        <v>39263.340000000004</v>
      </c>
      <c r="F29" s="743">
        <v>64219.990000000005</v>
      </c>
      <c r="G29" s="748"/>
    </row>
    <row r="30" spans="1:7" ht="14.4" customHeight="1" x14ac:dyDescent="0.3">
      <c r="A30" s="640" t="s">
        <v>1274</v>
      </c>
      <c r="B30" s="617">
        <v>200</v>
      </c>
      <c r="C30" s="617">
        <v>52</v>
      </c>
      <c r="D30" s="617"/>
      <c r="E30" s="743">
        <v>25205.56</v>
      </c>
      <c r="F30" s="743">
        <v>0</v>
      </c>
      <c r="G30" s="748"/>
    </row>
    <row r="31" spans="1:7" ht="14.4" customHeight="1" x14ac:dyDescent="0.3">
      <c r="A31" s="640" t="s">
        <v>1275</v>
      </c>
      <c r="B31" s="617">
        <v>96</v>
      </c>
      <c r="C31" s="617">
        <v>122</v>
      </c>
      <c r="D31" s="617">
        <v>1</v>
      </c>
      <c r="E31" s="743">
        <v>2850.01</v>
      </c>
      <c r="F31" s="743">
        <v>0</v>
      </c>
      <c r="G31" s="748">
        <v>455.56</v>
      </c>
    </row>
    <row r="32" spans="1:7" ht="14.4" customHeight="1" x14ac:dyDescent="0.3">
      <c r="A32" s="640" t="s">
        <v>1276</v>
      </c>
      <c r="B32" s="617">
        <v>635</v>
      </c>
      <c r="C32" s="617">
        <v>576</v>
      </c>
      <c r="D32" s="617">
        <v>771</v>
      </c>
      <c r="E32" s="743">
        <v>95606.689999999988</v>
      </c>
      <c r="F32" s="743">
        <v>86817.78</v>
      </c>
      <c r="G32" s="748">
        <v>112803.34999999999</v>
      </c>
    </row>
    <row r="33" spans="1:7" ht="14.4" customHeight="1" x14ac:dyDescent="0.3">
      <c r="A33" s="640" t="s">
        <v>1277</v>
      </c>
      <c r="B33" s="617">
        <v>112</v>
      </c>
      <c r="C33" s="617">
        <v>106</v>
      </c>
      <c r="D33" s="617">
        <v>1</v>
      </c>
      <c r="E33" s="743">
        <v>1755.56</v>
      </c>
      <c r="F33" s="743">
        <v>0</v>
      </c>
      <c r="G33" s="748">
        <v>327.78</v>
      </c>
    </row>
    <row r="34" spans="1:7" ht="14.4" customHeight="1" x14ac:dyDescent="0.3">
      <c r="A34" s="640" t="s">
        <v>1278</v>
      </c>
      <c r="B34" s="617">
        <v>860</v>
      </c>
      <c r="C34" s="617">
        <v>1270</v>
      </c>
      <c r="D34" s="617">
        <v>790</v>
      </c>
      <c r="E34" s="743">
        <v>128214.47999999998</v>
      </c>
      <c r="F34" s="743">
        <v>214198.88999999998</v>
      </c>
      <c r="G34" s="748">
        <v>130487.8</v>
      </c>
    </row>
    <row r="35" spans="1:7" ht="14.4" customHeight="1" x14ac:dyDescent="0.3">
      <c r="A35" s="640" t="s">
        <v>1281</v>
      </c>
      <c r="B35" s="617"/>
      <c r="C35" s="617"/>
      <c r="D35" s="617">
        <v>970</v>
      </c>
      <c r="E35" s="743"/>
      <c r="F35" s="743"/>
      <c r="G35" s="748">
        <v>162703.37999999998</v>
      </c>
    </row>
    <row r="36" spans="1:7" ht="14.4" customHeight="1" x14ac:dyDescent="0.3">
      <c r="A36" s="640" t="s">
        <v>1280</v>
      </c>
      <c r="B36" s="617"/>
      <c r="C36" s="617"/>
      <c r="D36" s="617">
        <v>1131</v>
      </c>
      <c r="E36" s="743"/>
      <c r="F36" s="743"/>
      <c r="G36" s="748">
        <v>177500.00999999998</v>
      </c>
    </row>
    <row r="37" spans="1:7" ht="14.4" customHeight="1" thickBot="1" x14ac:dyDescent="0.35">
      <c r="A37" s="745" t="s">
        <v>1283</v>
      </c>
      <c r="B37" s="623"/>
      <c r="C37" s="623"/>
      <c r="D37" s="623">
        <v>683</v>
      </c>
      <c r="E37" s="744"/>
      <c r="F37" s="744"/>
      <c r="G37" s="749">
        <v>112968.87000000001</v>
      </c>
    </row>
    <row r="38" spans="1:7" ht="14.4" customHeight="1" x14ac:dyDescent="0.3">
      <c r="A38" s="668" t="s">
        <v>1254</v>
      </c>
    </row>
    <row r="39" spans="1:7" ht="14.4" customHeight="1" x14ac:dyDescent="0.3">
      <c r="A39" s="669" t="s">
        <v>1255</v>
      </c>
    </row>
    <row r="40" spans="1:7" ht="14.4" customHeight="1" x14ac:dyDescent="0.3">
      <c r="A40" s="668" t="s">
        <v>2348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1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48" bestFit="1" customWidth="1"/>
    <col min="2" max="2" width="2.109375" style="248" bestFit="1" customWidth="1"/>
    <col min="3" max="3" width="8" style="248" customWidth="1"/>
    <col min="4" max="4" width="50.88671875" style="248" bestFit="1" customWidth="1"/>
    <col min="5" max="6" width="11.109375" style="329" customWidth="1"/>
    <col min="7" max="8" width="9.33203125" style="248" hidden="1" customWidth="1"/>
    <col min="9" max="10" width="11.109375" style="329" customWidth="1"/>
    <col min="11" max="12" width="9.33203125" style="248" hidden="1" customWidth="1"/>
    <col min="13" max="14" width="11.109375" style="329" customWidth="1"/>
    <col min="15" max="15" width="11.109375" style="332" customWidth="1"/>
    <col min="16" max="16" width="11.109375" style="329" customWidth="1"/>
    <col min="17" max="16384" width="8.88671875" style="248"/>
  </cols>
  <sheetData>
    <row r="1" spans="1:16" ht="18.600000000000001" customHeight="1" thickBot="1" x14ac:dyDescent="0.4">
      <c r="A1" s="470" t="s">
        <v>2508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4.4" customHeight="1" thickBot="1" x14ac:dyDescent="0.35">
      <c r="A2" s="375" t="s">
        <v>320</v>
      </c>
      <c r="B2" s="249"/>
      <c r="C2" s="459"/>
      <c r="D2" s="249"/>
      <c r="E2" s="350"/>
      <c r="F2" s="350"/>
      <c r="G2" s="249"/>
      <c r="H2" s="249"/>
      <c r="I2" s="350"/>
      <c r="J2" s="350"/>
      <c r="K2" s="249"/>
      <c r="L2" s="249"/>
      <c r="M2" s="350"/>
      <c r="N2" s="350"/>
      <c r="O2" s="351"/>
      <c r="P2" s="350"/>
    </row>
    <row r="3" spans="1:16" ht="14.4" customHeight="1" thickBot="1" x14ac:dyDescent="0.35">
      <c r="D3" s="107" t="s">
        <v>153</v>
      </c>
      <c r="E3" s="205">
        <f t="shared" ref="E3:N3" si="0">SUBTOTAL(9,E6:E1048576)</f>
        <v>34128.019999999997</v>
      </c>
      <c r="F3" s="206">
        <f t="shared" si="0"/>
        <v>8076305.669999999</v>
      </c>
      <c r="G3" s="73"/>
      <c r="H3" s="73"/>
      <c r="I3" s="206">
        <f t="shared" si="0"/>
        <v>37470.959999999999</v>
      </c>
      <c r="J3" s="206">
        <f t="shared" si="0"/>
        <v>8610721.6000000015</v>
      </c>
      <c r="K3" s="73"/>
      <c r="L3" s="73"/>
      <c r="M3" s="206">
        <f t="shared" si="0"/>
        <v>35652.1</v>
      </c>
      <c r="N3" s="206">
        <f t="shared" si="0"/>
        <v>8866580.1300000008</v>
      </c>
      <c r="O3" s="74">
        <f>IF(F3=0,0,N3/F3)</f>
        <v>1.0978509843845474</v>
      </c>
      <c r="P3" s="207">
        <f>IF(M3=0,0,N3/M3)</f>
        <v>248.69727533581477</v>
      </c>
    </row>
    <row r="4" spans="1:16" ht="14.4" customHeight="1" x14ac:dyDescent="0.3">
      <c r="A4" s="542" t="s">
        <v>113</v>
      </c>
      <c r="B4" s="543" t="s">
        <v>114</v>
      </c>
      <c r="C4" s="548" t="s">
        <v>84</v>
      </c>
      <c r="D4" s="544" t="s">
        <v>75</v>
      </c>
      <c r="E4" s="545">
        <v>2013</v>
      </c>
      <c r="F4" s="546"/>
      <c r="G4" s="204"/>
      <c r="H4" s="204"/>
      <c r="I4" s="545">
        <v>2014</v>
      </c>
      <c r="J4" s="546"/>
      <c r="K4" s="204"/>
      <c r="L4" s="204"/>
      <c r="M4" s="545">
        <v>2015</v>
      </c>
      <c r="N4" s="546"/>
      <c r="O4" s="547" t="s">
        <v>2</v>
      </c>
      <c r="P4" s="541" t="s">
        <v>116</v>
      </c>
    </row>
    <row r="5" spans="1:16" ht="14.4" customHeight="1" thickBot="1" x14ac:dyDescent="0.35">
      <c r="A5" s="750"/>
      <c r="B5" s="751"/>
      <c r="C5" s="752"/>
      <c r="D5" s="753"/>
      <c r="E5" s="754" t="s">
        <v>85</v>
      </c>
      <c r="F5" s="755" t="s">
        <v>14</v>
      </c>
      <c r="G5" s="756"/>
      <c r="H5" s="756"/>
      <c r="I5" s="754" t="s">
        <v>85</v>
      </c>
      <c r="J5" s="755" t="s">
        <v>14</v>
      </c>
      <c r="K5" s="756"/>
      <c r="L5" s="756"/>
      <c r="M5" s="754" t="s">
        <v>85</v>
      </c>
      <c r="N5" s="755" t="s">
        <v>14</v>
      </c>
      <c r="O5" s="757"/>
      <c r="P5" s="758"/>
    </row>
    <row r="6" spans="1:16" ht="14.4" customHeight="1" x14ac:dyDescent="0.3">
      <c r="A6" s="688" t="s">
        <v>2356</v>
      </c>
      <c r="B6" s="689" t="s">
        <v>2357</v>
      </c>
      <c r="C6" s="689" t="s">
        <v>2358</v>
      </c>
      <c r="D6" s="689"/>
      <c r="E6" s="223">
        <v>4</v>
      </c>
      <c r="F6" s="223">
        <v>4032</v>
      </c>
      <c r="G6" s="689">
        <v>1</v>
      </c>
      <c r="H6" s="689">
        <v>1008</v>
      </c>
      <c r="I6" s="223"/>
      <c r="J6" s="223"/>
      <c r="K6" s="689"/>
      <c r="L6" s="689"/>
      <c r="M6" s="223">
        <v>1</v>
      </c>
      <c r="N6" s="223">
        <v>1008</v>
      </c>
      <c r="O6" s="694">
        <v>0.25</v>
      </c>
      <c r="P6" s="702">
        <v>1008</v>
      </c>
    </row>
    <row r="7" spans="1:16" ht="14.4" customHeight="1" x14ac:dyDescent="0.3">
      <c r="A7" s="613" t="s">
        <v>2356</v>
      </c>
      <c r="B7" s="614" t="s">
        <v>2357</v>
      </c>
      <c r="C7" s="614" t="s">
        <v>2359</v>
      </c>
      <c r="D7" s="614"/>
      <c r="E7" s="617">
        <v>16</v>
      </c>
      <c r="F7" s="617">
        <v>9536</v>
      </c>
      <c r="G7" s="614">
        <v>1</v>
      </c>
      <c r="H7" s="614">
        <v>596</v>
      </c>
      <c r="I7" s="617">
        <v>2</v>
      </c>
      <c r="J7" s="617">
        <v>1192</v>
      </c>
      <c r="K7" s="614">
        <v>0.125</v>
      </c>
      <c r="L7" s="614">
        <v>596</v>
      </c>
      <c r="M7" s="617">
        <v>3</v>
      </c>
      <c r="N7" s="617">
        <v>1788</v>
      </c>
      <c r="O7" s="630">
        <v>0.1875</v>
      </c>
      <c r="P7" s="618">
        <v>596</v>
      </c>
    </row>
    <row r="8" spans="1:16" ht="14.4" customHeight="1" x14ac:dyDescent="0.3">
      <c r="A8" s="613" t="s">
        <v>2356</v>
      </c>
      <c r="B8" s="614" t="s">
        <v>2357</v>
      </c>
      <c r="C8" s="614" t="s">
        <v>2360</v>
      </c>
      <c r="D8" s="614"/>
      <c r="E8" s="617">
        <v>2</v>
      </c>
      <c r="F8" s="617">
        <v>1332</v>
      </c>
      <c r="G8" s="614">
        <v>1</v>
      </c>
      <c r="H8" s="614">
        <v>666</v>
      </c>
      <c r="I8" s="617">
        <v>1</v>
      </c>
      <c r="J8" s="617">
        <v>666</v>
      </c>
      <c r="K8" s="614">
        <v>0.5</v>
      </c>
      <c r="L8" s="614">
        <v>666</v>
      </c>
      <c r="M8" s="617">
        <v>3</v>
      </c>
      <c r="N8" s="617">
        <v>1998</v>
      </c>
      <c r="O8" s="630">
        <v>1.5</v>
      </c>
      <c r="P8" s="618">
        <v>666</v>
      </c>
    </row>
    <row r="9" spans="1:16" ht="14.4" customHeight="1" x14ac:dyDescent="0.3">
      <c r="A9" s="613" t="s">
        <v>2356</v>
      </c>
      <c r="B9" s="614" t="s">
        <v>2357</v>
      </c>
      <c r="C9" s="614" t="s">
        <v>2361</v>
      </c>
      <c r="D9" s="614"/>
      <c r="E9" s="617"/>
      <c r="F9" s="617"/>
      <c r="G9" s="614"/>
      <c r="H9" s="614"/>
      <c r="I9" s="617"/>
      <c r="J9" s="617"/>
      <c r="K9" s="614"/>
      <c r="L9" s="614"/>
      <c r="M9" s="617">
        <v>1</v>
      </c>
      <c r="N9" s="617">
        <v>770</v>
      </c>
      <c r="O9" s="630"/>
      <c r="P9" s="618">
        <v>770</v>
      </c>
    </row>
    <row r="10" spans="1:16" ht="14.4" customHeight="1" x14ac:dyDescent="0.3">
      <c r="A10" s="613" t="s">
        <v>2356</v>
      </c>
      <c r="B10" s="614" t="s">
        <v>2357</v>
      </c>
      <c r="C10" s="614" t="s">
        <v>2362</v>
      </c>
      <c r="D10" s="614"/>
      <c r="E10" s="617"/>
      <c r="F10" s="617"/>
      <c r="G10" s="614"/>
      <c r="H10" s="614"/>
      <c r="I10" s="617"/>
      <c r="J10" s="617"/>
      <c r="K10" s="614"/>
      <c r="L10" s="614"/>
      <c r="M10" s="617">
        <v>1</v>
      </c>
      <c r="N10" s="617">
        <v>800</v>
      </c>
      <c r="O10" s="630"/>
      <c r="P10" s="618">
        <v>800</v>
      </c>
    </row>
    <row r="11" spans="1:16" ht="14.4" customHeight="1" x14ac:dyDescent="0.3">
      <c r="A11" s="613" t="s">
        <v>2356</v>
      </c>
      <c r="B11" s="614" t="s">
        <v>2357</v>
      </c>
      <c r="C11" s="614" t="s">
        <v>2363</v>
      </c>
      <c r="D11" s="614"/>
      <c r="E11" s="617">
        <v>21</v>
      </c>
      <c r="F11" s="617">
        <v>11781</v>
      </c>
      <c r="G11" s="614">
        <v>1</v>
      </c>
      <c r="H11" s="614">
        <v>561</v>
      </c>
      <c r="I11" s="617">
        <v>17</v>
      </c>
      <c r="J11" s="617">
        <v>8415</v>
      </c>
      <c r="K11" s="614">
        <v>0.7142857142857143</v>
      </c>
      <c r="L11" s="614">
        <v>495</v>
      </c>
      <c r="M11" s="617">
        <v>11</v>
      </c>
      <c r="N11" s="617">
        <v>6171</v>
      </c>
      <c r="O11" s="630">
        <v>0.52380952380952384</v>
      </c>
      <c r="P11" s="618">
        <v>561</v>
      </c>
    </row>
    <row r="12" spans="1:16" ht="14.4" customHeight="1" x14ac:dyDescent="0.3">
      <c r="A12" s="613" t="s">
        <v>2356</v>
      </c>
      <c r="B12" s="614" t="s">
        <v>2357</v>
      </c>
      <c r="C12" s="614" t="s">
        <v>2364</v>
      </c>
      <c r="D12" s="614"/>
      <c r="E12" s="617">
        <v>13</v>
      </c>
      <c r="F12" s="617">
        <v>6747</v>
      </c>
      <c r="G12" s="614">
        <v>1</v>
      </c>
      <c r="H12" s="614">
        <v>519</v>
      </c>
      <c r="I12" s="617">
        <v>18</v>
      </c>
      <c r="J12" s="617">
        <v>9342</v>
      </c>
      <c r="K12" s="614">
        <v>1.3846153846153846</v>
      </c>
      <c r="L12" s="614">
        <v>519</v>
      </c>
      <c r="M12" s="617">
        <v>29</v>
      </c>
      <c r="N12" s="617">
        <v>15051</v>
      </c>
      <c r="O12" s="630">
        <v>2.2307692307692308</v>
      </c>
      <c r="P12" s="618">
        <v>519</v>
      </c>
    </row>
    <row r="13" spans="1:16" ht="14.4" customHeight="1" x14ac:dyDescent="0.3">
      <c r="A13" s="613" t="s">
        <v>2356</v>
      </c>
      <c r="B13" s="614" t="s">
        <v>2357</v>
      </c>
      <c r="C13" s="614" t="s">
        <v>2365</v>
      </c>
      <c r="D13" s="614"/>
      <c r="E13" s="617">
        <v>10</v>
      </c>
      <c r="F13" s="617">
        <v>3210</v>
      </c>
      <c r="G13" s="614">
        <v>1</v>
      </c>
      <c r="H13" s="614">
        <v>321</v>
      </c>
      <c r="I13" s="617">
        <v>13</v>
      </c>
      <c r="J13" s="617">
        <v>4173</v>
      </c>
      <c r="K13" s="614">
        <v>1.3</v>
      </c>
      <c r="L13" s="614">
        <v>321</v>
      </c>
      <c r="M13" s="617">
        <v>14</v>
      </c>
      <c r="N13" s="617">
        <v>4494</v>
      </c>
      <c r="O13" s="630">
        <v>1.4</v>
      </c>
      <c r="P13" s="618">
        <v>321</v>
      </c>
    </row>
    <row r="14" spans="1:16" ht="14.4" customHeight="1" x14ac:dyDescent="0.3">
      <c r="A14" s="613" t="s">
        <v>2356</v>
      </c>
      <c r="B14" s="614" t="s">
        <v>2357</v>
      </c>
      <c r="C14" s="614" t="s">
        <v>2366</v>
      </c>
      <c r="D14" s="614"/>
      <c r="E14" s="617">
        <v>3</v>
      </c>
      <c r="F14" s="617">
        <v>846</v>
      </c>
      <c r="G14" s="614">
        <v>1</v>
      </c>
      <c r="H14" s="614">
        <v>282</v>
      </c>
      <c r="I14" s="617">
        <v>2</v>
      </c>
      <c r="J14" s="617">
        <v>564</v>
      </c>
      <c r="K14" s="614">
        <v>0.66666666666666663</v>
      </c>
      <c r="L14" s="614">
        <v>282</v>
      </c>
      <c r="M14" s="617">
        <v>2</v>
      </c>
      <c r="N14" s="617">
        <v>564</v>
      </c>
      <c r="O14" s="630">
        <v>0.66666666666666663</v>
      </c>
      <c r="P14" s="618">
        <v>282</v>
      </c>
    </row>
    <row r="15" spans="1:16" ht="14.4" customHeight="1" x14ac:dyDescent="0.3">
      <c r="A15" s="613" t="s">
        <v>2356</v>
      </c>
      <c r="B15" s="614" t="s">
        <v>2357</v>
      </c>
      <c r="C15" s="614" t="s">
        <v>2367</v>
      </c>
      <c r="D15" s="614"/>
      <c r="E15" s="617">
        <v>3</v>
      </c>
      <c r="F15" s="617">
        <v>2037</v>
      </c>
      <c r="G15" s="614">
        <v>1</v>
      </c>
      <c r="H15" s="614">
        <v>679</v>
      </c>
      <c r="I15" s="617">
        <v>2</v>
      </c>
      <c r="J15" s="617">
        <v>1358</v>
      </c>
      <c r="K15" s="614">
        <v>0.66666666666666663</v>
      </c>
      <c r="L15" s="614">
        <v>679</v>
      </c>
      <c r="M15" s="617">
        <v>3</v>
      </c>
      <c r="N15" s="617">
        <v>2037</v>
      </c>
      <c r="O15" s="630">
        <v>1</v>
      </c>
      <c r="P15" s="618">
        <v>679</v>
      </c>
    </row>
    <row r="16" spans="1:16" ht="14.4" customHeight="1" x14ac:dyDescent="0.3">
      <c r="A16" s="613" t="s">
        <v>2356</v>
      </c>
      <c r="B16" s="614" t="s">
        <v>2357</v>
      </c>
      <c r="C16" s="614" t="s">
        <v>2368</v>
      </c>
      <c r="D16" s="614"/>
      <c r="E16" s="617">
        <v>3</v>
      </c>
      <c r="F16" s="617">
        <v>2787</v>
      </c>
      <c r="G16" s="614">
        <v>1</v>
      </c>
      <c r="H16" s="614">
        <v>929</v>
      </c>
      <c r="I16" s="617"/>
      <c r="J16" s="617"/>
      <c r="K16" s="614"/>
      <c r="L16" s="614"/>
      <c r="M16" s="617">
        <v>1</v>
      </c>
      <c r="N16" s="617">
        <v>929</v>
      </c>
      <c r="O16" s="630">
        <v>0.33333333333333331</v>
      </c>
      <c r="P16" s="618">
        <v>929</v>
      </c>
    </row>
    <row r="17" spans="1:16" ht="14.4" customHeight="1" x14ac:dyDescent="0.3">
      <c r="A17" s="613" t="s">
        <v>2356</v>
      </c>
      <c r="B17" s="614" t="s">
        <v>2357</v>
      </c>
      <c r="C17" s="614" t="s">
        <v>2369</v>
      </c>
      <c r="D17" s="614"/>
      <c r="E17" s="617"/>
      <c r="F17" s="617"/>
      <c r="G17" s="614"/>
      <c r="H17" s="614"/>
      <c r="I17" s="617"/>
      <c r="J17" s="617"/>
      <c r="K17" s="614"/>
      <c r="L17" s="614"/>
      <c r="M17" s="617">
        <v>1</v>
      </c>
      <c r="N17" s="617">
        <v>1740</v>
      </c>
      <c r="O17" s="630"/>
      <c r="P17" s="618">
        <v>1740</v>
      </c>
    </row>
    <row r="18" spans="1:16" ht="14.4" customHeight="1" x14ac:dyDescent="0.3">
      <c r="A18" s="613" t="s">
        <v>2356</v>
      </c>
      <c r="B18" s="614" t="s">
        <v>2357</v>
      </c>
      <c r="C18" s="614" t="s">
        <v>2370</v>
      </c>
      <c r="D18" s="614"/>
      <c r="E18" s="617">
        <v>3</v>
      </c>
      <c r="F18" s="617">
        <v>10662</v>
      </c>
      <c r="G18" s="614">
        <v>1</v>
      </c>
      <c r="H18" s="614">
        <v>3554</v>
      </c>
      <c r="I18" s="617">
        <v>2</v>
      </c>
      <c r="J18" s="617">
        <v>7108</v>
      </c>
      <c r="K18" s="614">
        <v>0.66666666666666663</v>
      </c>
      <c r="L18" s="614">
        <v>3554</v>
      </c>
      <c r="M18" s="617">
        <v>3</v>
      </c>
      <c r="N18" s="617">
        <v>10662</v>
      </c>
      <c r="O18" s="630">
        <v>1</v>
      </c>
      <c r="P18" s="618">
        <v>3554</v>
      </c>
    </row>
    <row r="19" spans="1:16" ht="14.4" customHeight="1" x14ac:dyDescent="0.3">
      <c r="A19" s="613" t="s">
        <v>2356</v>
      </c>
      <c r="B19" s="614" t="s">
        <v>2357</v>
      </c>
      <c r="C19" s="614" t="s">
        <v>2371</v>
      </c>
      <c r="D19" s="614"/>
      <c r="E19" s="617">
        <v>3</v>
      </c>
      <c r="F19" s="617">
        <v>10851</v>
      </c>
      <c r="G19" s="614">
        <v>1</v>
      </c>
      <c r="H19" s="614">
        <v>3617</v>
      </c>
      <c r="I19" s="617"/>
      <c r="J19" s="617"/>
      <c r="K19" s="614"/>
      <c r="L19" s="614"/>
      <c r="M19" s="617">
        <v>2</v>
      </c>
      <c r="N19" s="617">
        <v>7234</v>
      </c>
      <c r="O19" s="630">
        <v>0.66666666666666663</v>
      </c>
      <c r="P19" s="618">
        <v>3617</v>
      </c>
    </row>
    <row r="20" spans="1:16" ht="14.4" customHeight="1" x14ac:dyDescent="0.3">
      <c r="A20" s="613" t="s">
        <v>2356</v>
      </c>
      <c r="B20" s="614" t="s">
        <v>2357</v>
      </c>
      <c r="C20" s="614" t="s">
        <v>2372</v>
      </c>
      <c r="D20" s="614"/>
      <c r="E20" s="617"/>
      <c r="F20" s="617"/>
      <c r="G20" s="614"/>
      <c r="H20" s="614"/>
      <c r="I20" s="617">
        <v>3</v>
      </c>
      <c r="J20" s="617">
        <v>4053</v>
      </c>
      <c r="K20" s="614"/>
      <c r="L20" s="614">
        <v>1351</v>
      </c>
      <c r="M20" s="617"/>
      <c r="N20" s="617"/>
      <c r="O20" s="630"/>
      <c r="P20" s="618"/>
    </row>
    <row r="21" spans="1:16" ht="14.4" customHeight="1" x14ac:dyDescent="0.3">
      <c r="A21" s="613" t="s">
        <v>2356</v>
      </c>
      <c r="B21" s="614" t="s">
        <v>2357</v>
      </c>
      <c r="C21" s="614" t="s">
        <v>2373</v>
      </c>
      <c r="D21" s="614"/>
      <c r="E21" s="617"/>
      <c r="F21" s="617"/>
      <c r="G21" s="614"/>
      <c r="H21" s="614"/>
      <c r="I21" s="617">
        <v>2</v>
      </c>
      <c r="J21" s="617">
        <v>328</v>
      </c>
      <c r="K21" s="614"/>
      <c r="L21" s="614">
        <v>164</v>
      </c>
      <c r="M21" s="617"/>
      <c r="N21" s="617"/>
      <c r="O21" s="630"/>
      <c r="P21" s="618"/>
    </row>
    <row r="22" spans="1:16" ht="14.4" customHeight="1" x14ac:dyDescent="0.3">
      <c r="A22" s="613" t="s">
        <v>2356</v>
      </c>
      <c r="B22" s="614" t="s">
        <v>2357</v>
      </c>
      <c r="C22" s="614" t="s">
        <v>2374</v>
      </c>
      <c r="D22" s="614"/>
      <c r="E22" s="617">
        <v>3</v>
      </c>
      <c r="F22" s="617">
        <v>675</v>
      </c>
      <c r="G22" s="614">
        <v>1</v>
      </c>
      <c r="H22" s="614">
        <v>225</v>
      </c>
      <c r="I22" s="617"/>
      <c r="J22" s="617"/>
      <c r="K22" s="614"/>
      <c r="L22" s="614"/>
      <c r="M22" s="617"/>
      <c r="N22" s="617"/>
      <c r="O22" s="630"/>
      <c r="P22" s="618"/>
    </row>
    <row r="23" spans="1:16" ht="14.4" customHeight="1" x14ac:dyDescent="0.3">
      <c r="A23" s="613" t="s">
        <v>2356</v>
      </c>
      <c r="B23" s="614" t="s">
        <v>2357</v>
      </c>
      <c r="C23" s="614" t="s">
        <v>2375</v>
      </c>
      <c r="D23" s="614"/>
      <c r="E23" s="617">
        <v>1</v>
      </c>
      <c r="F23" s="617">
        <v>587</v>
      </c>
      <c r="G23" s="614">
        <v>1</v>
      </c>
      <c r="H23" s="614">
        <v>587</v>
      </c>
      <c r="I23" s="617">
        <v>2</v>
      </c>
      <c r="J23" s="617">
        <v>0</v>
      </c>
      <c r="K23" s="614">
        <v>0</v>
      </c>
      <c r="L23" s="614">
        <v>0</v>
      </c>
      <c r="M23" s="617"/>
      <c r="N23" s="617"/>
      <c r="O23" s="630"/>
      <c r="P23" s="618"/>
    </row>
    <row r="24" spans="1:16" ht="14.4" customHeight="1" x14ac:dyDescent="0.3">
      <c r="A24" s="613" t="s">
        <v>2356</v>
      </c>
      <c r="B24" s="614" t="s">
        <v>2357</v>
      </c>
      <c r="C24" s="614" t="s">
        <v>2376</v>
      </c>
      <c r="D24" s="614"/>
      <c r="E24" s="617">
        <v>1</v>
      </c>
      <c r="F24" s="617">
        <v>4359</v>
      </c>
      <c r="G24" s="614">
        <v>1</v>
      </c>
      <c r="H24" s="614">
        <v>4359</v>
      </c>
      <c r="I24" s="617"/>
      <c r="J24" s="617"/>
      <c r="K24" s="614"/>
      <c r="L24" s="614"/>
      <c r="M24" s="617"/>
      <c r="N24" s="617"/>
      <c r="O24" s="630"/>
      <c r="P24" s="618"/>
    </row>
    <row r="25" spans="1:16" ht="14.4" customHeight="1" x14ac:dyDescent="0.3">
      <c r="A25" s="613" t="s">
        <v>2356</v>
      </c>
      <c r="B25" s="614" t="s">
        <v>2357</v>
      </c>
      <c r="C25" s="614" t="s">
        <v>2377</v>
      </c>
      <c r="D25" s="614"/>
      <c r="E25" s="617">
        <v>62</v>
      </c>
      <c r="F25" s="617">
        <v>62496</v>
      </c>
      <c r="G25" s="614">
        <v>1</v>
      </c>
      <c r="H25" s="614">
        <v>1008</v>
      </c>
      <c r="I25" s="617">
        <v>68</v>
      </c>
      <c r="J25" s="617">
        <v>68544</v>
      </c>
      <c r="K25" s="614">
        <v>1.096774193548387</v>
      </c>
      <c r="L25" s="614">
        <v>1008</v>
      </c>
      <c r="M25" s="617">
        <v>52</v>
      </c>
      <c r="N25" s="617">
        <v>52416</v>
      </c>
      <c r="O25" s="630">
        <v>0.83870967741935487</v>
      </c>
      <c r="P25" s="618">
        <v>1008</v>
      </c>
    </row>
    <row r="26" spans="1:16" ht="14.4" customHeight="1" x14ac:dyDescent="0.3">
      <c r="A26" s="613" t="s">
        <v>2356</v>
      </c>
      <c r="B26" s="614" t="s">
        <v>2357</v>
      </c>
      <c r="C26" s="614" t="s">
        <v>2378</v>
      </c>
      <c r="D26" s="614"/>
      <c r="E26" s="617">
        <v>1</v>
      </c>
      <c r="F26" s="617">
        <v>519</v>
      </c>
      <c r="G26" s="614">
        <v>1</v>
      </c>
      <c r="H26" s="614">
        <v>519</v>
      </c>
      <c r="I26" s="617">
        <v>1</v>
      </c>
      <c r="J26" s="617">
        <v>519</v>
      </c>
      <c r="K26" s="614">
        <v>1</v>
      </c>
      <c r="L26" s="614">
        <v>519</v>
      </c>
      <c r="M26" s="617"/>
      <c r="N26" s="617"/>
      <c r="O26" s="630"/>
      <c r="P26" s="618"/>
    </row>
    <row r="27" spans="1:16" ht="14.4" customHeight="1" x14ac:dyDescent="0.3">
      <c r="A27" s="613" t="s">
        <v>2356</v>
      </c>
      <c r="B27" s="614" t="s">
        <v>2357</v>
      </c>
      <c r="C27" s="614" t="s">
        <v>2379</v>
      </c>
      <c r="D27" s="614"/>
      <c r="E27" s="617"/>
      <c r="F27" s="617"/>
      <c r="G27" s="614"/>
      <c r="H27" s="614"/>
      <c r="I27" s="617"/>
      <c r="J27" s="617"/>
      <c r="K27" s="614"/>
      <c r="L27" s="614"/>
      <c r="M27" s="617">
        <v>1</v>
      </c>
      <c r="N27" s="617">
        <v>1281</v>
      </c>
      <c r="O27" s="630"/>
      <c r="P27" s="618">
        <v>1281</v>
      </c>
    </row>
    <row r="28" spans="1:16" ht="14.4" customHeight="1" x14ac:dyDescent="0.3">
      <c r="A28" s="613" t="s">
        <v>2356</v>
      </c>
      <c r="B28" s="614" t="s">
        <v>2380</v>
      </c>
      <c r="C28" s="614" t="s">
        <v>2381</v>
      </c>
      <c r="D28" s="614" t="s">
        <v>2382</v>
      </c>
      <c r="E28" s="617"/>
      <c r="F28" s="617"/>
      <c r="G28" s="614"/>
      <c r="H28" s="614"/>
      <c r="I28" s="617"/>
      <c r="J28" s="617"/>
      <c r="K28" s="614"/>
      <c r="L28" s="614"/>
      <c r="M28" s="617">
        <v>1</v>
      </c>
      <c r="N28" s="617">
        <v>105.56</v>
      </c>
      <c r="O28" s="630"/>
      <c r="P28" s="618">
        <v>105.56</v>
      </c>
    </row>
    <row r="29" spans="1:16" ht="14.4" customHeight="1" x14ac:dyDescent="0.3">
      <c r="A29" s="613" t="s">
        <v>2356</v>
      </c>
      <c r="B29" s="614" t="s">
        <v>2380</v>
      </c>
      <c r="C29" s="614" t="s">
        <v>2383</v>
      </c>
      <c r="D29" s="614" t="s">
        <v>2384</v>
      </c>
      <c r="E29" s="617">
        <v>219</v>
      </c>
      <c r="F29" s="617">
        <v>17033.34</v>
      </c>
      <c r="G29" s="614">
        <v>1</v>
      </c>
      <c r="H29" s="614">
        <v>77.777808219178084</v>
      </c>
      <c r="I29" s="617">
        <v>179</v>
      </c>
      <c r="J29" s="617">
        <v>13922.24</v>
      </c>
      <c r="K29" s="614">
        <v>0.81735232197560781</v>
      </c>
      <c r="L29" s="614">
        <v>77.777877094972069</v>
      </c>
      <c r="M29" s="617">
        <v>175</v>
      </c>
      <c r="N29" s="617">
        <v>13611.130000000001</v>
      </c>
      <c r="O29" s="630">
        <v>0.79908755417316868</v>
      </c>
      <c r="P29" s="618">
        <v>77.777885714285716</v>
      </c>
    </row>
    <row r="30" spans="1:16" ht="14.4" customHeight="1" x14ac:dyDescent="0.3">
      <c r="A30" s="613" t="s">
        <v>2356</v>
      </c>
      <c r="B30" s="614" t="s">
        <v>2380</v>
      </c>
      <c r="C30" s="614" t="s">
        <v>2385</v>
      </c>
      <c r="D30" s="614" t="s">
        <v>2386</v>
      </c>
      <c r="E30" s="617">
        <v>25</v>
      </c>
      <c r="F30" s="617">
        <v>6250</v>
      </c>
      <c r="G30" s="614">
        <v>1</v>
      </c>
      <c r="H30" s="614">
        <v>250</v>
      </c>
      <c r="I30" s="617">
        <v>33</v>
      </c>
      <c r="J30" s="617">
        <v>8250</v>
      </c>
      <c r="K30" s="614">
        <v>1.32</v>
      </c>
      <c r="L30" s="614">
        <v>250</v>
      </c>
      <c r="M30" s="617">
        <v>35</v>
      </c>
      <c r="N30" s="617">
        <v>8750</v>
      </c>
      <c r="O30" s="630">
        <v>1.4</v>
      </c>
      <c r="P30" s="618">
        <v>250</v>
      </c>
    </row>
    <row r="31" spans="1:16" ht="14.4" customHeight="1" x14ac:dyDescent="0.3">
      <c r="A31" s="613" t="s">
        <v>2356</v>
      </c>
      <c r="B31" s="614" t="s">
        <v>2380</v>
      </c>
      <c r="C31" s="614" t="s">
        <v>2387</v>
      </c>
      <c r="D31" s="614" t="s">
        <v>2388</v>
      </c>
      <c r="E31" s="617">
        <v>1680</v>
      </c>
      <c r="F31" s="617">
        <v>186666.67</v>
      </c>
      <c r="G31" s="614">
        <v>1</v>
      </c>
      <c r="H31" s="614">
        <v>111.1111130952381</v>
      </c>
      <c r="I31" s="617">
        <v>2103</v>
      </c>
      <c r="J31" s="617">
        <v>232999.99</v>
      </c>
      <c r="K31" s="614">
        <v>1.2482142098533175</v>
      </c>
      <c r="L31" s="614">
        <v>110.79409890632429</v>
      </c>
      <c r="M31" s="617">
        <v>2033</v>
      </c>
      <c r="N31" s="617">
        <v>225888.87000000002</v>
      </c>
      <c r="O31" s="630">
        <v>1.2101189248193049</v>
      </c>
      <c r="P31" s="618">
        <v>111.1111018199705</v>
      </c>
    </row>
    <row r="32" spans="1:16" ht="14.4" customHeight="1" x14ac:dyDescent="0.3">
      <c r="A32" s="613" t="s">
        <v>2356</v>
      </c>
      <c r="B32" s="614" t="s">
        <v>2380</v>
      </c>
      <c r="C32" s="614" t="s">
        <v>2389</v>
      </c>
      <c r="D32" s="614" t="s">
        <v>2390</v>
      </c>
      <c r="E32" s="617">
        <v>6</v>
      </c>
      <c r="F32" s="617">
        <v>2100</v>
      </c>
      <c r="G32" s="614">
        <v>1</v>
      </c>
      <c r="H32" s="614">
        <v>350</v>
      </c>
      <c r="I32" s="617">
        <v>3</v>
      </c>
      <c r="J32" s="617">
        <v>1050</v>
      </c>
      <c r="K32" s="614">
        <v>0.5</v>
      </c>
      <c r="L32" s="614">
        <v>350</v>
      </c>
      <c r="M32" s="617"/>
      <c r="N32" s="617"/>
      <c r="O32" s="630"/>
      <c r="P32" s="618"/>
    </row>
    <row r="33" spans="1:16" ht="14.4" customHeight="1" x14ac:dyDescent="0.3">
      <c r="A33" s="613" t="s">
        <v>2356</v>
      </c>
      <c r="B33" s="614" t="s">
        <v>2380</v>
      </c>
      <c r="C33" s="614" t="s">
        <v>2391</v>
      </c>
      <c r="D33" s="614" t="s">
        <v>2392</v>
      </c>
      <c r="E33" s="617">
        <v>58</v>
      </c>
      <c r="F33" s="617">
        <v>14177.770000000002</v>
      </c>
      <c r="G33" s="614">
        <v>1</v>
      </c>
      <c r="H33" s="614">
        <v>244.44431034482761</v>
      </c>
      <c r="I33" s="617">
        <v>20</v>
      </c>
      <c r="J33" s="617">
        <v>4962.22</v>
      </c>
      <c r="K33" s="614">
        <v>0.35000003526647699</v>
      </c>
      <c r="L33" s="614">
        <v>248.11100000000002</v>
      </c>
      <c r="M33" s="617">
        <v>28</v>
      </c>
      <c r="N33" s="617">
        <v>7528.9000000000005</v>
      </c>
      <c r="O33" s="630">
        <v>0.53103555777812728</v>
      </c>
      <c r="P33" s="618">
        <v>268.88928571428573</v>
      </c>
    </row>
    <row r="34" spans="1:16" ht="14.4" customHeight="1" x14ac:dyDescent="0.3">
      <c r="A34" s="613" t="s">
        <v>2356</v>
      </c>
      <c r="B34" s="614" t="s">
        <v>2380</v>
      </c>
      <c r="C34" s="614" t="s">
        <v>2393</v>
      </c>
      <c r="D34" s="614" t="s">
        <v>2394</v>
      </c>
      <c r="E34" s="617">
        <v>5</v>
      </c>
      <c r="F34" s="617">
        <v>1472.22</v>
      </c>
      <c r="G34" s="614">
        <v>1</v>
      </c>
      <c r="H34" s="614">
        <v>294.44400000000002</v>
      </c>
      <c r="I34" s="617">
        <v>2</v>
      </c>
      <c r="J34" s="617">
        <v>588.89</v>
      </c>
      <c r="K34" s="614">
        <v>0.40000135849261659</v>
      </c>
      <c r="L34" s="614">
        <v>294.44499999999999</v>
      </c>
      <c r="M34" s="617">
        <v>3</v>
      </c>
      <c r="N34" s="617">
        <v>883.33</v>
      </c>
      <c r="O34" s="630">
        <v>0.59999864150738347</v>
      </c>
      <c r="P34" s="618">
        <v>294.44333333333333</v>
      </c>
    </row>
    <row r="35" spans="1:16" ht="14.4" customHeight="1" x14ac:dyDescent="0.3">
      <c r="A35" s="613" t="s">
        <v>2356</v>
      </c>
      <c r="B35" s="614" t="s">
        <v>2380</v>
      </c>
      <c r="C35" s="614" t="s">
        <v>2395</v>
      </c>
      <c r="D35" s="614" t="s">
        <v>2396</v>
      </c>
      <c r="E35" s="617">
        <v>837</v>
      </c>
      <c r="F35" s="617">
        <v>156240</v>
      </c>
      <c r="G35" s="614">
        <v>1</v>
      </c>
      <c r="H35" s="614">
        <v>186.66666666666666</v>
      </c>
      <c r="I35" s="617">
        <v>1085</v>
      </c>
      <c r="J35" s="617">
        <v>200293.34000000003</v>
      </c>
      <c r="K35" s="614">
        <v>1.2819594214029699</v>
      </c>
      <c r="L35" s="614">
        <v>184.60215668202767</v>
      </c>
      <c r="M35" s="617">
        <v>1344</v>
      </c>
      <c r="N35" s="617">
        <v>250879.99</v>
      </c>
      <c r="O35" s="630">
        <v>1.6057347030209932</v>
      </c>
      <c r="P35" s="618">
        <v>186.66665922619046</v>
      </c>
    </row>
    <row r="36" spans="1:16" ht="14.4" customHeight="1" x14ac:dyDescent="0.3">
      <c r="A36" s="613" t="s">
        <v>2356</v>
      </c>
      <c r="B36" s="614" t="s">
        <v>2380</v>
      </c>
      <c r="C36" s="614" t="s">
        <v>2397</v>
      </c>
      <c r="D36" s="614" t="s">
        <v>2398</v>
      </c>
      <c r="E36" s="617">
        <v>1189</v>
      </c>
      <c r="F36" s="617">
        <v>693583.34</v>
      </c>
      <c r="G36" s="614">
        <v>1</v>
      </c>
      <c r="H36" s="614">
        <v>583.3333389402859</v>
      </c>
      <c r="I36" s="617">
        <v>1392</v>
      </c>
      <c r="J36" s="617">
        <v>805000</v>
      </c>
      <c r="K36" s="614">
        <v>1.1606391814428529</v>
      </c>
      <c r="L36" s="614">
        <v>578.30459770114942</v>
      </c>
      <c r="M36" s="617">
        <v>1505</v>
      </c>
      <c r="N36" s="617">
        <v>877916.65</v>
      </c>
      <c r="O36" s="630">
        <v>1.265769518050996</v>
      </c>
      <c r="P36" s="618">
        <v>583.33332225913625</v>
      </c>
    </row>
    <row r="37" spans="1:16" ht="14.4" customHeight="1" x14ac:dyDescent="0.3">
      <c r="A37" s="613" t="s">
        <v>2356</v>
      </c>
      <c r="B37" s="614" t="s">
        <v>2380</v>
      </c>
      <c r="C37" s="614" t="s">
        <v>2399</v>
      </c>
      <c r="D37" s="614" t="s">
        <v>2400</v>
      </c>
      <c r="E37" s="617">
        <v>183</v>
      </c>
      <c r="F37" s="617">
        <v>85400</v>
      </c>
      <c r="G37" s="614">
        <v>1</v>
      </c>
      <c r="H37" s="614">
        <v>466.66666666666669</v>
      </c>
      <c r="I37" s="617">
        <v>192</v>
      </c>
      <c r="J37" s="617">
        <v>89600.01</v>
      </c>
      <c r="K37" s="614">
        <v>1.0491804449648712</v>
      </c>
      <c r="L37" s="614">
        <v>466.66671874999997</v>
      </c>
      <c r="M37" s="617">
        <v>168</v>
      </c>
      <c r="N37" s="617">
        <v>78400</v>
      </c>
      <c r="O37" s="630">
        <v>0.91803278688524592</v>
      </c>
      <c r="P37" s="618">
        <v>466.66666666666669</v>
      </c>
    </row>
    <row r="38" spans="1:16" ht="14.4" customHeight="1" x14ac:dyDescent="0.3">
      <c r="A38" s="613" t="s">
        <v>2356</v>
      </c>
      <c r="B38" s="614" t="s">
        <v>2380</v>
      </c>
      <c r="C38" s="614" t="s">
        <v>2401</v>
      </c>
      <c r="D38" s="614" t="s">
        <v>2400</v>
      </c>
      <c r="E38" s="617">
        <v>40</v>
      </c>
      <c r="F38" s="617">
        <v>40000</v>
      </c>
      <c r="G38" s="614">
        <v>1</v>
      </c>
      <c r="H38" s="614">
        <v>1000</v>
      </c>
      <c r="I38" s="617">
        <v>21</v>
      </c>
      <c r="J38" s="617">
        <v>21000</v>
      </c>
      <c r="K38" s="614">
        <v>0.52500000000000002</v>
      </c>
      <c r="L38" s="614">
        <v>1000</v>
      </c>
      <c r="M38" s="617">
        <v>22</v>
      </c>
      <c r="N38" s="617">
        <v>22000</v>
      </c>
      <c r="O38" s="630">
        <v>0.55000000000000004</v>
      </c>
      <c r="P38" s="618">
        <v>1000</v>
      </c>
    </row>
    <row r="39" spans="1:16" ht="14.4" customHeight="1" x14ac:dyDescent="0.3">
      <c r="A39" s="613" t="s">
        <v>2356</v>
      </c>
      <c r="B39" s="614" t="s">
        <v>2380</v>
      </c>
      <c r="C39" s="614" t="s">
        <v>2402</v>
      </c>
      <c r="D39" s="614" t="s">
        <v>2403</v>
      </c>
      <c r="E39" s="617">
        <v>9</v>
      </c>
      <c r="F39" s="617">
        <v>6000.01</v>
      </c>
      <c r="G39" s="614">
        <v>1</v>
      </c>
      <c r="H39" s="614">
        <v>666.66777777777781</v>
      </c>
      <c r="I39" s="617">
        <v>5</v>
      </c>
      <c r="J39" s="617">
        <v>3333.33</v>
      </c>
      <c r="K39" s="614">
        <v>0.55555407407654323</v>
      </c>
      <c r="L39" s="614">
        <v>666.66599999999994</v>
      </c>
      <c r="M39" s="617">
        <v>5</v>
      </c>
      <c r="N39" s="617">
        <v>3333.34</v>
      </c>
      <c r="O39" s="630">
        <v>0.55555574074043212</v>
      </c>
      <c r="P39" s="618">
        <v>666.66800000000001</v>
      </c>
    </row>
    <row r="40" spans="1:16" ht="14.4" customHeight="1" x14ac:dyDescent="0.3">
      <c r="A40" s="613" t="s">
        <v>2356</v>
      </c>
      <c r="B40" s="614" t="s">
        <v>2380</v>
      </c>
      <c r="C40" s="614" t="s">
        <v>2404</v>
      </c>
      <c r="D40" s="614" t="s">
        <v>2405</v>
      </c>
      <c r="E40" s="617">
        <v>1736</v>
      </c>
      <c r="F40" s="617">
        <v>86800</v>
      </c>
      <c r="G40" s="614">
        <v>1</v>
      </c>
      <c r="H40" s="614">
        <v>50</v>
      </c>
      <c r="I40" s="617">
        <v>1683</v>
      </c>
      <c r="J40" s="617">
        <v>83550</v>
      </c>
      <c r="K40" s="614">
        <v>0.9625576036866359</v>
      </c>
      <c r="L40" s="614">
        <v>49.643493761140817</v>
      </c>
      <c r="M40" s="617">
        <v>1673</v>
      </c>
      <c r="N40" s="617">
        <v>83650</v>
      </c>
      <c r="O40" s="630">
        <v>0.96370967741935487</v>
      </c>
      <c r="P40" s="618">
        <v>50</v>
      </c>
    </row>
    <row r="41" spans="1:16" ht="14.4" customHeight="1" x14ac:dyDescent="0.3">
      <c r="A41" s="613" t="s">
        <v>2356</v>
      </c>
      <c r="B41" s="614" t="s">
        <v>2380</v>
      </c>
      <c r="C41" s="614" t="s">
        <v>2406</v>
      </c>
      <c r="D41" s="614" t="s">
        <v>2407</v>
      </c>
      <c r="E41" s="617"/>
      <c r="F41" s="617"/>
      <c r="G41" s="614"/>
      <c r="H41" s="614"/>
      <c r="I41" s="617">
        <v>2</v>
      </c>
      <c r="J41" s="617">
        <v>11.120000000000001</v>
      </c>
      <c r="K41" s="614"/>
      <c r="L41" s="614">
        <v>5.5600000000000005</v>
      </c>
      <c r="M41" s="617">
        <v>13</v>
      </c>
      <c r="N41" s="617">
        <v>72.23</v>
      </c>
      <c r="O41" s="630"/>
      <c r="P41" s="618">
        <v>5.5561538461538467</v>
      </c>
    </row>
    <row r="42" spans="1:16" ht="14.4" customHeight="1" x14ac:dyDescent="0.3">
      <c r="A42" s="613" t="s">
        <v>2356</v>
      </c>
      <c r="B42" s="614" t="s">
        <v>2380</v>
      </c>
      <c r="C42" s="614" t="s">
        <v>2408</v>
      </c>
      <c r="D42" s="614" t="s">
        <v>2409</v>
      </c>
      <c r="E42" s="617">
        <v>40</v>
      </c>
      <c r="F42" s="617">
        <v>4044.44</v>
      </c>
      <c r="G42" s="614">
        <v>1</v>
      </c>
      <c r="H42" s="614">
        <v>101.111</v>
      </c>
      <c r="I42" s="617">
        <v>91</v>
      </c>
      <c r="J42" s="617">
        <v>9201.1</v>
      </c>
      <c r="K42" s="614">
        <v>2.274999752746981</v>
      </c>
      <c r="L42" s="614">
        <v>101.11098901098902</v>
      </c>
      <c r="M42" s="617">
        <v>44</v>
      </c>
      <c r="N42" s="617">
        <v>4448.9000000000005</v>
      </c>
      <c r="O42" s="630">
        <v>1.1000039560483035</v>
      </c>
      <c r="P42" s="618">
        <v>101.11136363636365</v>
      </c>
    </row>
    <row r="43" spans="1:16" ht="14.4" customHeight="1" x14ac:dyDescent="0.3">
      <c r="A43" s="613" t="s">
        <v>2356</v>
      </c>
      <c r="B43" s="614" t="s">
        <v>2380</v>
      </c>
      <c r="C43" s="614" t="s">
        <v>2410</v>
      </c>
      <c r="D43" s="614" t="s">
        <v>2411</v>
      </c>
      <c r="E43" s="617"/>
      <c r="F43" s="617"/>
      <c r="G43" s="614"/>
      <c r="H43" s="614"/>
      <c r="I43" s="617">
        <v>1</v>
      </c>
      <c r="J43" s="617">
        <v>76.67</v>
      </c>
      <c r="K43" s="614"/>
      <c r="L43" s="614">
        <v>76.67</v>
      </c>
      <c r="M43" s="617">
        <v>2</v>
      </c>
      <c r="N43" s="617">
        <v>153.34</v>
      </c>
      <c r="O43" s="630"/>
      <c r="P43" s="618">
        <v>76.67</v>
      </c>
    </row>
    <row r="44" spans="1:16" ht="14.4" customHeight="1" x14ac:dyDescent="0.3">
      <c r="A44" s="613" t="s">
        <v>2356</v>
      </c>
      <c r="B44" s="614" t="s">
        <v>2380</v>
      </c>
      <c r="C44" s="614" t="s">
        <v>2412</v>
      </c>
      <c r="D44" s="614" t="s">
        <v>2413</v>
      </c>
      <c r="E44" s="617">
        <v>55</v>
      </c>
      <c r="F44" s="617">
        <v>0</v>
      </c>
      <c r="G44" s="614"/>
      <c r="H44" s="614">
        <v>0</v>
      </c>
      <c r="I44" s="617">
        <v>45</v>
      </c>
      <c r="J44" s="617">
        <v>0</v>
      </c>
      <c r="K44" s="614"/>
      <c r="L44" s="614">
        <v>0</v>
      </c>
      <c r="M44" s="617"/>
      <c r="N44" s="617"/>
      <c r="O44" s="630"/>
      <c r="P44" s="618"/>
    </row>
    <row r="45" spans="1:16" ht="14.4" customHeight="1" x14ac:dyDescent="0.3">
      <c r="A45" s="613" t="s">
        <v>2356</v>
      </c>
      <c r="B45" s="614" t="s">
        <v>2380</v>
      </c>
      <c r="C45" s="614" t="s">
        <v>2414</v>
      </c>
      <c r="D45" s="614" t="s">
        <v>2415</v>
      </c>
      <c r="E45" s="617">
        <v>106</v>
      </c>
      <c r="F45" s="617">
        <v>0</v>
      </c>
      <c r="G45" s="614"/>
      <c r="H45" s="614">
        <v>0</v>
      </c>
      <c r="I45" s="617">
        <v>101</v>
      </c>
      <c r="J45" s="617">
        <v>0</v>
      </c>
      <c r="K45" s="614"/>
      <c r="L45" s="614">
        <v>0</v>
      </c>
      <c r="M45" s="617">
        <v>79</v>
      </c>
      <c r="N45" s="617">
        <v>0</v>
      </c>
      <c r="O45" s="630"/>
      <c r="P45" s="618">
        <v>0</v>
      </c>
    </row>
    <row r="46" spans="1:16" ht="14.4" customHeight="1" x14ac:dyDescent="0.3">
      <c r="A46" s="613" t="s">
        <v>2356</v>
      </c>
      <c r="B46" s="614" t="s">
        <v>2380</v>
      </c>
      <c r="C46" s="614" t="s">
        <v>2416</v>
      </c>
      <c r="D46" s="614" t="s">
        <v>2417</v>
      </c>
      <c r="E46" s="617">
        <v>1087</v>
      </c>
      <c r="F46" s="617">
        <v>332138.88999999996</v>
      </c>
      <c r="G46" s="614">
        <v>1</v>
      </c>
      <c r="H46" s="614">
        <v>305.55555657773687</v>
      </c>
      <c r="I46" s="617">
        <v>1042</v>
      </c>
      <c r="J46" s="617">
        <v>317777.78999999998</v>
      </c>
      <c r="K46" s="614">
        <v>0.95676176312867189</v>
      </c>
      <c r="L46" s="614">
        <v>304.96908829174663</v>
      </c>
      <c r="M46" s="617">
        <v>1129</v>
      </c>
      <c r="N46" s="617">
        <v>344972.24</v>
      </c>
      <c r="O46" s="630">
        <v>1.0386385045123745</v>
      </c>
      <c r="P46" s="618">
        <v>305.55557130203721</v>
      </c>
    </row>
    <row r="47" spans="1:16" ht="14.4" customHeight="1" x14ac:dyDescent="0.3">
      <c r="A47" s="613" t="s">
        <v>2356</v>
      </c>
      <c r="B47" s="614" t="s">
        <v>2380</v>
      </c>
      <c r="C47" s="614" t="s">
        <v>2418</v>
      </c>
      <c r="D47" s="614" t="s">
        <v>2419</v>
      </c>
      <c r="E47" s="617">
        <v>3651</v>
      </c>
      <c r="F47" s="617">
        <v>0</v>
      </c>
      <c r="G47" s="614"/>
      <c r="H47" s="614">
        <v>0</v>
      </c>
      <c r="I47" s="617">
        <v>3879</v>
      </c>
      <c r="J47" s="617">
        <v>0</v>
      </c>
      <c r="K47" s="614"/>
      <c r="L47" s="614">
        <v>0</v>
      </c>
      <c r="M47" s="617"/>
      <c r="N47" s="617"/>
      <c r="O47" s="630"/>
      <c r="P47" s="618"/>
    </row>
    <row r="48" spans="1:16" ht="14.4" customHeight="1" x14ac:dyDescent="0.3">
      <c r="A48" s="613" t="s">
        <v>2356</v>
      </c>
      <c r="B48" s="614" t="s">
        <v>2380</v>
      </c>
      <c r="C48" s="614" t="s">
        <v>2420</v>
      </c>
      <c r="D48" s="614" t="s">
        <v>2421</v>
      </c>
      <c r="E48" s="617">
        <v>3991</v>
      </c>
      <c r="F48" s="617">
        <v>1818122.2300000004</v>
      </c>
      <c r="G48" s="614">
        <v>1</v>
      </c>
      <c r="H48" s="614">
        <v>455.55555750438498</v>
      </c>
      <c r="I48" s="617">
        <v>4255</v>
      </c>
      <c r="J48" s="617">
        <v>1918344.4700000002</v>
      </c>
      <c r="K48" s="614">
        <v>1.0551240386076792</v>
      </c>
      <c r="L48" s="614">
        <v>450.84476380728557</v>
      </c>
      <c r="M48" s="617">
        <v>4527</v>
      </c>
      <c r="N48" s="617">
        <v>2062300.0500000005</v>
      </c>
      <c r="O48" s="630">
        <v>1.1343022025532354</v>
      </c>
      <c r="P48" s="618">
        <v>455.55556660039775</v>
      </c>
    </row>
    <row r="49" spans="1:16" ht="14.4" customHeight="1" x14ac:dyDescent="0.3">
      <c r="A49" s="613" t="s">
        <v>2356</v>
      </c>
      <c r="B49" s="614" t="s">
        <v>2380</v>
      </c>
      <c r="C49" s="614" t="s">
        <v>2422</v>
      </c>
      <c r="D49" s="614" t="s">
        <v>2423</v>
      </c>
      <c r="E49" s="617">
        <v>1</v>
      </c>
      <c r="F49" s="617">
        <v>0</v>
      </c>
      <c r="G49" s="614"/>
      <c r="H49" s="614">
        <v>0</v>
      </c>
      <c r="I49" s="617"/>
      <c r="J49" s="617"/>
      <c r="K49" s="614"/>
      <c r="L49" s="614"/>
      <c r="M49" s="617">
        <v>1</v>
      </c>
      <c r="N49" s="617">
        <v>0</v>
      </c>
      <c r="O49" s="630"/>
      <c r="P49" s="618">
        <v>0</v>
      </c>
    </row>
    <row r="50" spans="1:16" ht="14.4" customHeight="1" x14ac:dyDescent="0.3">
      <c r="A50" s="613" t="s">
        <v>2356</v>
      </c>
      <c r="B50" s="614" t="s">
        <v>2380</v>
      </c>
      <c r="C50" s="614" t="s">
        <v>2424</v>
      </c>
      <c r="D50" s="614" t="s">
        <v>2425</v>
      </c>
      <c r="E50" s="617">
        <v>27</v>
      </c>
      <c r="F50" s="617">
        <v>1590.0000000000002</v>
      </c>
      <c r="G50" s="614">
        <v>1</v>
      </c>
      <c r="H50" s="614">
        <v>58.8888888888889</v>
      </c>
      <c r="I50" s="617">
        <v>37</v>
      </c>
      <c r="J50" s="617">
        <v>2178.9</v>
      </c>
      <c r="K50" s="614">
        <v>1.3703773584905659</v>
      </c>
      <c r="L50" s="614">
        <v>58.889189189189189</v>
      </c>
      <c r="M50" s="617">
        <v>27</v>
      </c>
      <c r="N50" s="617">
        <v>1590</v>
      </c>
      <c r="O50" s="630">
        <v>0.99999999999999989</v>
      </c>
      <c r="P50" s="618">
        <v>58.888888888888886</v>
      </c>
    </row>
    <row r="51" spans="1:16" ht="14.4" customHeight="1" x14ac:dyDescent="0.3">
      <c r="A51" s="613" t="s">
        <v>2356</v>
      </c>
      <c r="B51" s="614" t="s">
        <v>2380</v>
      </c>
      <c r="C51" s="614" t="s">
        <v>2426</v>
      </c>
      <c r="D51" s="614" t="s">
        <v>2427</v>
      </c>
      <c r="E51" s="617">
        <v>1700</v>
      </c>
      <c r="F51" s="617">
        <v>132222.22</v>
      </c>
      <c r="G51" s="614">
        <v>1</v>
      </c>
      <c r="H51" s="614">
        <v>77.777776470588236</v>
      </c>
      <c r="I51" s="617">
        <v>1804</v>
      </c>
      <c r="J51" s="617">
        <v>140000.01999999999</v>
      </c>
      <c r="K51" s="614">
        <v>1.0588236984676251</v>
      </c>
      <c r="L51" s="614">
        <v>77.605332594235023</v>
      </c>
      <c r="M51" s="617">
        <v>2074</v>
      </c>
      <c r="N51" s="617">
        <v>161311.13</v>
      </c>
      <c r="O51" s="630">
        <v>1.2200001633613473</v>
      </c>
      <c r="P51" s="618">
        <v>77.777786885245902</v>
      </c>
    </row>
    <row r="52" spans="1:16" ht="14.4" customHeight="1" x14ac:dyDescent="0.3">
      <c r="A52" s="613" t="s">
        <v>2356</v>
      </c>
      <c r="B52" s="614" t="s">
        <v>2380</v>
      </c>
      <c r="C52" s="614" t="s">
        <v>2428</v>
      </c>
      <c r="D52" s="614" t="s">
        <v>2429</v>
      </c>
      <c r="E52" s="617"/>
      <c r="F52" s="617"/>
      <c r="G52" s="614"/>
      <c r="H52" s="614"/>
      <c r="I52" s="617"/>
      <c r="J52" s="617"/>
      <c r="K52" s="614"/>
      <c r="L52" s="614"/>
      <c r="M52" s="617">
        <v>1</v>
      </c>
      <c r="N52" s="617">
        <v>700</v>
      </c>
      <c r="O52" s="630"/>
      <c r="P52" s="618">
        <v>700</v>
      </c>
    </row>
    <row r="53" spans="1:16" ht="14.4" customHeight="1" x14ac:dyDescent="0.3">
      <c r="A53" s="613" t="s">
        <v>2356</v>
      </c>
      <c r="B53" s="614" t="s">
        <v>2380</v>
      </c>
      <c r="C53" s="614" t="s">
        <v>2430</v>
      </c>
      <c r="D53" s="614" t="s">
        <v>2431</v>
      </c>
      <c r="E53" s="617">
        <v>0</v>
      </c>
      <c r="F53" s="617">
        <v>0</v>
      </c>
      <c r="G53" s="614"/>
      <c r="H53" s="614"/>
      <c r="I53" s="617"/>
      <c r="J53" s="617"/>
      <c r="K53" s="614"/>
      <c r="L53" s="614"/>
      <c r="M53" s="617"/>
      <c r="N53" s="617"/>
      <c r="O53" s="630"/>
      <c r="P53" s="618"/>
    </row>
    <row r="54" spans="1:16" ht="14.4" customHeight="1" x14ac:dyDescent="0.3">
      <c r="A54" s="613" t="s">
        <v>2356</v>
      </c>
      <c r="B54" s="614" t="s">
        <v>2380</v>
      </c>
      <c r="C54" s="614" t="s">
        <v>2432</v>
      </c>
      <c r="D54" s="614" t="s">
        <v>2433</v>
      </c>
      <c r="E54" s="617">
        <v>1508</v>
      </c>
      <c r="F54" s="617">
        <v>134044.44</v>
      </c>
      <c r="G54" s="614">
        <v>1</v>
      </c>
      <c r="H54" s="614">
        <v>88.88888594164456</v>
      </c>
      <c r="I54" s="617">
        <v>1337</v>
      </c>
      <c r="J54" s="617">
        <v>117422.22</v>
      </c>
      <c r="K54" s="614">
        <v>0.87599470742688024</v>
      </c>
      <c r="L54" s="614">
        <v>87.825145848915483</v>
      </c>
      <c r="M54" s="617">
        <v>1461</v>
      </c>
      <c r="N54" s="617">
        <v>129866.65000000001</v>
      </c>
      <c r="O54" s="630">
        <v>0.96883279903291775</v>
      </c>
      <c r="P54" s="618">
        <v>88.888877481177275</v>
      </c>
    </row>
    <row r="55" spans="1:16" ht="14.4" customHeight="1" x14ac:dyDescent="0.3">
      <c r="A55" s="613" t="s">
        <v>2356</v>
      </c>
      <c r="B55" s="614" t="s">
        <v>2380</v>
      </c>
      <c r="C55" s="614" t="s">
        <v>2434</v>
      </c>
      <c r="D55" s="614" t="s">
        <v>2435</v>
      </c>
      <c r="E55" s="617">
        <v>5</v>
      </c>
      <c r="F55" s="617">
        <v>216.67000000000002</v>
      </c>
      <c r="G55" s="614">
        <v>1</v>
      </c>
      <c r="H55" s="614">
        <v>43.334000000000003</v>
      </c>
      <c r="I55" s="617">
        <v>3</v>
      </c>
      <c r="J55" s="617">
        <v>130</v>
      </c>
      <c r="K55" s="614">
        <v>0.59999076937277884</v>
      </c>
      <c r="L55" s="614">
        <v>43.333333333333336</v>
      </c>
      <c r="M55" s="617">
        <v>3</v>
      </c>
      <c r="N55" s="617">
        <v>130</v>
      </c>
      <c r="O55" s="630">
        <v>0.59999076937277884</v>
      </c>
      <c r="P55" s="618">
        <v>43.333333333333336</v>
      </c>
    </row>
    <row r="56" spans="1:16" ht="14.4" customHeight="1" x14ac:dyDescent="0.3">
      <c r="A56" s="613" t="s">
        <v>2356</v>
      </c>
      <c r="B56" s="614" t="s">
        <v>2380</v>
      </c>
      <c r="C56" s="614" t="s">
        <v>2436</v>
      </c>
      <c r="D56" s="614" t="s">
        <v>2437</v>
      </c>
      <c r="E56" s="617">
        <v>47</v>
      </c>
      <c r="F56" s="617">
        <v>4543.32</v>
      </c>
      <c r="G56" s="614">
        <v>1</v>
      </c>
      <c r="H56" s="614">
        <v>96.666382978723405</v>
      </c>
      <c r="I56" s="617">
        <v>92</v>
      </c>
      <c r="J56" s="617">
        <v>8893.33</v>
      </c>
      <c r="K56" s="614">
        <v>1.9574518193743784</v>
      </c>
      <c r="L56" s="614">
        <v>96.666630434782604</v>
      </c>
      <c r="M56" s="617">
        <v>77</v>
      </c>
      <c r="N56" s="617">
        <v>7443.34</v>
      </c>
      <c r="O56" s="630">
        <v>1.638304147627726</v>
      </c>
      <c r="P56" s="618">
        <v>96.666753246753245</v>
      </c>
    </row>
    <row r="57" spans="1:16" ht="14.4" customHeight="1" x14ac:dyDescent="0.3">
      <c r="A57" s="613" t="s">
        <v>2356</v>
      </c>
      <c r="B57" s="614" t="s">
        <v>2380</v>
      </c>
      <c r="C57" s="614" t="s">
        <v>2438</v>
      </c>
      <c r="D57" s="614" t="s">
        <v>2439</v>
      </c>
      <c r="E57" s="617">
        <v>352</v>
      </c>
      <c r="F57" s="617">
        <v>117333.33</v>
      </c>
      <c r="G57" s="614">
        <v>1</v>
      </c>
      <c r="H57" s="614">
        <v>333.33332386363639</v>
      </c>
      <c r="I57" s="617">
        <v>465</v>
      </c>
      <c r="J57" s="617">
        <v>155000.00000000003</v>
      </c>
      <c r="K57" s="614">
        <v>1.3210227648017834</v>
      </c>
      <c r="L57" s="614">
        <v>333.33333333333337</v>
      </c>
      <c r="M57" s="617">
        <v>437</v>
      </c>
      <c r="N57" s="617">
        <v>145666.65999999997</v>
      </c>
      <c r="O57" s="630">
        <v>1.2414772511783307</v>
      </c>
      <c r="P57" s="618">
        <v>333.33331807780314</v>
      </c>
    </row>
    <row r="58" spans="1:16" ht="14.4" customHeight="1" x14ac:dyDescent="0.3">
      <c r="A58" s="613" t="s">
        <v>2356</v>
      </c>
      <c r="B58" s="614" t="s">
        <v>2380</v>
      </c>
      <c r="C58" s="614" t="s">
        <v>2440</v>
      </c>
      <c r="D58" s="614" t="s">
        <v>2441</v>
      </c>
      <c r="E58" s="617"/>
      <c r="F58" s="617"/>
      <c r="G58" s="614"/>
      <c r="H58" s="614"/>
      <c r="I58" s="617">
        <v>1</v>
      </c>
      <c r="J58" s="617">
        <v>140</v>
      </c>
      <c r="K58" s="614"/>
      <c r="L58" s="614">
        <v>140</v>
      </c>
      <c r="M58" s="617"/>
      <c r="N58" s="617"/>
      <c r="O58" s="630"/>
      <c r="P58" s="618"/>
    </row>
    <row r="59" spans="1:16" ht="14.4" customHeight="1" x14ac:dyDescent="0.3">
      <c r="A59" s="613" t="s">
        <v>2356</v>
      </c>
      <c r="B59" s="614" t="s">
        <v>2380</v>
      </c>
      <c r="C59" s="614" t="s">
        <v>2442</v>
      </c>
      <c r="D59" s="614" t="s">
        <v>2443</v>
      </c>
      <c r="E59" s="617">
        <v>1</v>
      </c>
      <c r="F59" s="617">
        <v>75.56</v>
      </c>
      <c r="G59" s="614">
        <v>1</v>
      </c>
      <c r="H59" s="614">
        <v>75.56</v>
      </c>
      <c r="I59" s="617"/>
      <c r="J59" s="617"/>
      <c r="K59" s="614"/>
      <c r="L59" s="614"/>
      <c r="M59" s="617"/>
      <c r="N59" s="617"/>
      <c r="O59" s="630"/>
      <c r="P59" s="618"/>
    </row>
    <row r="60" spans="1:16" ht="14.4" customHeight="1" x14ac:dyDescent="0.3">
      <c r="A60" s="613" t="s">
        <v>2356</v>
      </c>
      <c r="B60" s="614" t="s">
        <v>2380</v>
      </c>
      <c r="C60" s="614" t="s">
        <v>2444</v>
      </c>
      <c r="D60" s="614" t="s">
        <v>2445</v>
      </c>
      <c r="E60" s="617">
        <v>1469</v>
      </c>
      <c r="F60" s="617">
        <v>1885216.6700000004</v>
      </c>
      <c r="G60" s="614">
        <v>1</v>
      </c>
      <c r="H60" s="614">
        <v>1283.3333356024509</v>
      </c>
      <c r="I60" s="617">
        <v>1480</v>
      </c>
      <c r="J60" s="617">
        <v>1894200</v>
      </c>
      <c r="K60" s="614">
        <v>1.0047651445814978</v>
      </c>
      <c r="L60" s="614">
        <v>1279.8648648648648</v>
      </c>
      <c r="M60" s="617">
        <v>1295</v>
      </c>
      <c r="N60" s="617">
        <v>1661916.67</v>
      </c>
      <c r="O60" s="630">
        <v>0.88155207645177447</v>
      </c>
      <c r="P60" s="618">
        <v>1283.3333359073358</v>
      </c>
    </row>
    <row r="61" spans="1:16" ht="14.4" customHeight="1" x14ac:dyDescent="0.3">
      <c r="A61" s="613" t="s">
        <v>2356</v>
      </c>
      <c r="B61" s="614" t="s">
        <v>2380</v>
      </c>
      <c r="C61" s="614" t="s">
        <v>2446</v>
      </c>
      <c r="D61" s="614" t="s">
        <v>2447</v>
      </c>
      <c r="E61" s="617">
        <v>7</v>
      </c>
      <c r="F61" s="617">
        <v>3266.67</v>
      </c>
      <c r="G61" s="614">
        <v>1</v>
      </c>
      <c r="H61" s="614">
        <v>466.66714285714289</v>
      </c>
      <c r="I61" s="617"/>
      <c r="J61" s="617"/>
      <c r="K61" s="614"/>
      <c r="L61" s="614"/>
      <c r="M61" s="617">
        <v>1</v>
      </c>
      <c r="N61" s="617">
        <v>466.67</v>
      </c>
      <c r="O61" s="630">
        <v>0.14285801749181889</v>
      </c>
      <c r="P61" s="618">
        <v>466.67</v>
      </c>
    </row>
    <row r="62" spans="1:16" ht="14.4" customHeight="1" x14ac:dyDescent="0.3">
      <c r="A62" s="613" t="s">
        <v>2356</v>
      </c>
      <c r="B62" s="614" t="s">
        <v>2380</v>
      </c>
      <c r="C62" s="614" t="s">
        <v>2448</v>
      </c>
      <c r="D62" s="614" t="s">
        <v>2449</v>
      </c>
      <c r="E62" s="617">
        <v>81</v>
      </c>
      <c r="F62" s="617">
        <v>9450.01</v>
      </c>
      <c r="G62" s="614">
        <v>1</v>
      </c>
      <c r="H62" s="614">
        <v>116.66679012345679</v>
      </c>
      <c r="I62" s="617">
        <v>90</v>
      </c>
      <c r="J62" s="617">
        <v>10500.01</v>
      </c>
      <c r="K62" s="614">
        <v>1.1111109935333401</v>
      </c>
      <c r="L62" s="614">
        <v>116.66677777777778</v>
      </c>
      <c r="M62" s="617">
        <v>90</v>
      </c>
      <c r="N62" s="617">
        <v>10500.01</v>
      </c>
      <c r="O62" s="630">
        <v>1.1111109935333401</v>
      </c>
      <c r="P62" s="618">
        <v>116.66677777777778</v>
      </c>
    </row>
    <row r="63" spans="1:16" ht="14.4" customHeight="1" x14ac:dyDescent="0.3">
      <c r="A63" s="613" t="s">
        <v>2356</v>
      </c>
      <c r="B63" s="614" t="s">
        <v>2380</v>
      </c>
      <c r="C63" s="614" t="s">
        <v>2450</v>
      </c>
      <c r="D63" s="614" t="s">
        <v>2451</v>
      </c>
      <c r="E63" s="617">
        <v>32</v>
      </c>
      <c r="F63" s="617">
        <v>14933.33</v>
      </c>
      <c r="G63" s="614">
        <v>1</v>
      </c>
      <c r="H63" s="614">
        <v>466.6665625</v>
      </c>
      <c r="I63" s="617">
        <v>22</v>
      </c>
      <c r="J63" s="617">
        <v>10266.66</v>
      </c>
      <c r="K63" s="614">
        <v>0.68749970703118457</v>
      </c>
      <c r="L63" s="614">
        <v>466.66636363636366</v>
      </c>
      <c r="M63" s="617">
        <v>36</v>
      </c>
      <c r="N63" s="617">
        <v>16800.010000000002</v>
      </c>
      <c r="O63" s="630">
        <v>1.1250009207591343</v>
      </c>
      <c r="P63" s="618">
        <v>466.66694444444448</v>
      </c>
    </row>
    <row r="64" spans="1:16" ht="14.4" customHeight="1" x14ac:dyDescent="0.3">
      <c r="A64" s="613" t="s">
        <v>2356</v>
      </c>
      <c r="B64" s="614" t="s">
        <v>2380</v>
      </c>
      <c r="C64" s="614" t="s">
        <v>2452</v>
      </c>
      <c r="D64" s="614" t="s">
        <v>2453</v>
      </c>
      <c r="E64" s="617">
        <v>2</v>
      </c>
      <c r="F64" s="617">
        <v>655.56</v>
      </c>
      <c r="G64" s="614">
        <v>1</v>
      </c>
      <c r="H64" s="614">
        <v>327.78</v>
      </c>
      <c r="I64" s="617"/>
      <c r="J64" s="617"/>
      <c r="K64" s="614"/>
      <c r="L64" s="614"/>
      <c r="M64" s="617">
        <v>3</v>
      </c>
      <c r="N64" s="617">
        <v>983.33999999999992</v>
      </c>
      <c r="O64" s="630">
        <v>1.5</v>
      </c>
      <c r="P64" s="618">
        <v>327.78</v>
      </c>
    </row>
    <row r="65" spans="1:16" ht="14.4" customHeight="1" x14ac:dyDescent="0.3">
      <c r="A65" s="613" t="s">
        <v>2356</v>
      </c>
      <c r="B65" s="614" t="s">
        <v>2380</v>
      </c>
      <c r="C65" s="614" t="s">
        <v>2454</v>
      </c>
      <c r="D65" s="614" t="s">
        <v>2455</v>
      </c>
      <c r="E65" s="617">
        <v>14</v>
      </c>
      <c r="F65" s="617">
        <v>11666.68</v>
      </c>
      <c r="G65" s="614">
        <v>1</v>
      </c>
      <c r="H65" s="614">
        <v>833.33428571428578</v>
      </c>
      <c r="I65" s="617">
        <v>8</v>
      </c>
      <c r="J65" s="617">
        <v>6666.67</v>
      </c>
      <c r="K65" s="614">
        <v>0.57142820408205242</v>
      </c>
      <c r="L65" s="614">
        <v>833.33375000000001</v>
      </c>
      <c r="M65" s="617"/>
      <c r="N65" s="617"/>
      <c r="O65" s="630"/>
      <c r="P65" s="618"/>
    </row>
    <row r="66" spans="1:16" ht="14.4" customHeight="1" x14ac:dyDescent="0.3">
      <c r="A66" s="613" t="s">
        <v>2356</v>
      </c>
      <c r="B66" s="614" t="s">
        <v>2380</v>
      </c>
      <c r="C66" s="614" t="s">
        <v>2456</v>
      </c>
      <c r="D66" s="614" t="s">
        <v>2457</v>
      </c>
      <c r="E66" s="617"/>
      <c r="F66" s="617"/>
      <c r="G66" s="614"/>
      <c r="H66" s="614"/>
      <c r="I66" s="617"/>
      <c r="J66" s="617"/>
      <c r="K66" s="614"/>
      <c r="L66" s="614"/>
      <c r="M66" s="617">
        <v>4</v>
      </c>
      <c r="N66" s="617">
        <v>1866.67</v>
      </c>
      <c r="O66" s="630"/>
      <c r="P66" s="618">
        <v>466.66750000000002</v>
      </c>
    </row>
    <row r="67" spans="1:16" ht="14.4" customHeight="1" x14ac:dyDescent="0.3">
      <c r="A67" s="613" t="s">
        <v>2356</v>
      </c>
      <c r="B67" s="614" t="s">
        <v>2380</v>
      </c>
      <c r="C67" s="614" t="s">
        <v>2458</v>
      </c>
      <c r="D67" s="614" t="s">
        <v>2459</v>
      </c>
      <c r="E67" s="617"/>
      <c r="F67" s="617"/>
      <c r="G67" s="614"/>
      <c r="H67" s="614"/>
      <c r="I67" s="617">
        <v>2</v>
      </c>
      <c r="J67" s="617">
        <v>584.44000000000005</v>
      </c>
      <c r="K67" s="614"/>
      <c r="L67" s="614">
        <v>292.22000000000003</v>
      </c>
      <c r="M67" s="617">
        <v>1</v>
      </c>
      <c r="N67" s="617">
        <v>292.22000000000003</v>
      </c>
      <c r="O67" s="630"/>
      <c r="P67" s="618">
        <v>292.22000000000003</v>
      </c>
    </row>
    <row r="68" spans="1:16" ht="14.4" customHeight="1" x14ac:dyDescent="0.3">
      <c r="A68" s="613" t="s">
        <v>2356</v>
      </c>
      <c r="B68" s="614" t="s">
        <v>2380</v>
      </c>
      <c r="C68" s="614" t="s">
        <v>2460</v>
      </c>
      <c r="D68" s="614" t="s">
        <v>2461</v>
      </c>
      <c r="E68" s="617">
        <v>5</v>
      </c>
      <c r="F68" s="617">
        <v>27.78</v>
      </c>
      <c r="G68" s="614">
        <v>1</v>
      </c>
      <c r="H68" s="614">
        <v>5.556</v>
      </c>
      <c r="I68" s="617">
        <v>8</v>
      </c>
      <c r="J68" s="617">
        <v>44.45</v>
      </c>
      <c r="K68" s="614">
        <v>1.6000719942404609</v>
      </c>
      <c r="L68" s="614">
        <v>5.5562500000000004</v>
      </c>
      <c r="M68" s="617">
        <v>19</v>
      </c>
      <c r="N68" s="617">
        <v>105.57000000000001</v>
      </c>
      <c r="O68" s="630">
        <v>3.8002159827213826</v>
      </c>
      <c r="P68" s="618">
        <v>5.5563157894736843</v>
      </c>
    </row>
    <row r="69" spans="1:16" ht="14.4" customHeight="1" x14ac:dyDescent="0.3">
      <c r="A69" s="613" t="s">
        <v>2356</v>
      </c>
      <c r="B69" s="614" t="s">
        <v>2380</v>
      </c>
      <c r="C69" s="614" t="s">
        <v>2462</v>
      </c>
      <c r="D69" s="614" t="s">
        <v>2463</v>
      </c>
      <c r="E69" s="617">
        <v>1</v>
      </c>
      <c r="F69" s="617">
        <v>645.55999999999995</v>
      </c>
      <c r="G69" s="614">
        <v>1</v>
      </c>
      <c r="H69" s="614">
        <v>645.55999999999995</v>
      </c>
      <c r="I69" s="617"/>
      <c r="J69" s="617"/>
      <c r="K69" s="614"/>
      <c r="L69" s="614"/>
      <c r="M69" s="617"/>
      <c r="N69" s="617"/>
      <c r="O69" s="630"/>
      <c r="P69" s="618"/>
    </row>
    <row r="70" spans="1:16" ht="14.4" customHeight="1" x14ac:dyDescent="0.3">
      <c r="A70" s="613" t="s">
        <v>2356</v>
      </c>
      <c r="B70" s="614" t="s">
        <v>2380</v>
      </c>
      <c r="C70" s="614" t="s">
        <v>2464</v>
      </c>
      <c r="D70" s="614" t="s">
        <v>2465</v>
      </c>
      <c r="E70" s="617">
        <v>1</v>
      </c>
      <c r="F70" s="617">
        <v>222.22</v>
      </c>
      <c r="G70" s="614">
        <v>1</v>
      </c>
      <c r="H70" s="614">
        <v>222.22</v>
      </c>
      <c r="I70" s="617"/>
      <c r="J70" s="617"/>
      <c r="K70" s="614"/>
      <c r="L70" s="614"/>
      <c r="M70" s="617"/>
      <c r="N70" s="617"/>
      <c r="O70" s="630"/>
      <c r="P70" s="618"/>
    </row>
    <row r="71" spans="1:16" ht="14.4" customHeight="1" x14ac:dyDescent="0.3">
      <c r="A71" s="613" t="s">
        <v>2356</v>
      </c>
      <c r="B71" s="614" t="s">
        <v>2380</v>
      </c>
      <c r="C71" s="614" t="s">
        <v>2466</v>
      </c>
      <c r="D71" s="614" t="s">
        <v>2467</v>
      </c>
      <c r="E71" s="617"/>
      <c r="F71" s="617"/>
      <c r="G71" s="614"/>
      <c r="H71" s="614"/>
      <c r="I71" s="617"/>
      <c r="J71" s="617"/>
      <c r="K71" s="614"/>
      <c r="L71" s="614"/>
      <c r="M71" s="617">
        <v>1</v>
      </c>
      <c r="N71" s="617">
        <v>116.67</v>
      </c>
      <c r="O71" s="630"/>
      <c r="P71" s="618">
        <v>116.67</v>
      </c>
    </row>
    <row r="72" spans="1:16" ht="14.4" customHeight="1" x14ac:dyDescent="0.3">
      <c r="A72" s="613" t="s">
        <v>2468</v>
      </c>
      <c r="B72" s="614" t="s">
        <v>2380</v>
      </c>
      <c r="C72" s="614" t="s">
        <v>2383</v>
      </c>
      <c r="D72" s="614" t="s">
        <v>2384</v>
      </c>
      <c r="E72" s="617">
        <v>283</v>
      </c>
      <c r="F72" s="617">
        <v>22011.18</v>
      </c>
      <c r="G72" s="614">
        <v>1</v>
      </c>
      <c r="H72" s="614">
        <v>77.778021201413424</v>
      </c>
      <c r="I72" s="617">
        <v>362</v>
      </c>
      <c r="J72" s="617">
        <v>28155.590000000004</v>
      </c>
      <c r="K72" s="614">
        <v>1.2791495049334021</v>
      </c>
      <c r="L72" s="614">
        <v>77.777872928176805</v>
      </c>
      <c r="M72" s="617">
        <v>428</v>
      </c>
      <c r="N72" s="617">
        <v>33288.960000000014</v>
      </c>
      <c r="O72" s="630">
        <v>1.5123659885567249</v>
      </c>
      <c r="P72" s="618">
        <v>77.777943925233672</v>
      </c>
    </row>
    <row r="73" spans="1:16" ht="14.4" customHeight="1" x14ac:dyDescent="0.3">
      <c r="A73" s="613" t="s">
        <v>2468</v>
      </c>
      <c r="B73" s="614" t="s">
        <v>2380</v>
      </c>
      <c r="C73" s="614" t="s">
        <v>2387</v>
      </c>
      <c r="D73" s="614" t="s">
        <v>2388</v>
      </c>
      <c r="E73" s="617">
        <v>1104</v>
      </c>
      <c r="F73" s="617">
        <v>122666.64000000001</v>
      </c>
      <c r="G73" s="614">
        <v>1</v>
      </c>
      <c r="H73" s="614">
        <v>111.11108695652175</v>
      </c>
      <c r="I73" s="617">
        <v>1305</v>
      </c>
      <c r="J73" s="617">
        <v>144999.97999999998</v>
      </c>
      <c r="K73" s="614">
        <v>1.1820653113185458</v>
      </c>
      <c r="L73" s="614">
        <v>111.1110957854406</v>
      </c>
      <c r="M73" s="617">
        <v>1328</v>
      </c>
      <c r="N73" s="617">
        <v>147555.52000000002</v>
      </c>
      <c r="O73" s="630">
        <v>1.2028985223692441</v>
      </c>
      <c r="P73" s="618">
        <v>111.11108433734941</v>
      </c>
    </row>
    <row r="74" spans="1:16" ht="14.4" customHeight="1" x14ac:dyDescent="0.3">
      <c r="A74" s="613" t="s">
        <v>2468</v>
      </c>
      <c r="B74" s="614" t="s">
        <v>2380</v>
      </c>
      <c r="C74" s="614" t="s">
        <v>2395</v>
      </c>
      <c r="D74" s="614" t="s">
        <v>2396</v>
      </c>
      <c r="E74" s="617">
        <v>654</v>
      </c>
      <c r="F74" s="617">
        <v>122080</v>
      </c>
      <c r="G74" s="614">
        <v>1</v>
      </c>
      <c r="H74" s="614">
        <v>186.66666666666666</v>
      </c>
      <c r="I74" s="617">
        <v>796</v>
      </c>
      <c r="J74" s="617">
        <v>146346.71000000005</v>
      </c>
      <c r="K74" s="614">
        <v>1.1987771133682834</v>
      </c>
      <c r="L74" s="614">
        <v>183.8526507537689</v>
      </c>
      <c r="M74" s="617">
        <v>663</v>
      </c>
      <c r="N74" s="617">
        <v>123760.04999999999</v>
      </c>
      <c r="O74" s="630">
        <v>1.0137618774574049</v>
      </c>
      <c r="P74" s="618">
        <v>186.66674208144795</v>
      </c>
    </row>
    <row r="75" spans="1:16" ht="14.4" customHeight="1" x14ac:dyDescent="0.3">
      <c r="A75" s="613" t="s">
        <v>2468</v>
      </c>
      <c r="B75" s="614" t="s">
        <v>2380</v>
      </c>
      <c r="C75" s="614" t="s">
        <v>2397</v>
      </c>
      <c r="D75" s="614" t="s">
        <v>2398</v>
      </c>
      <c r="E75" s="617">
        <v>354</v>
      </c>
      <c r="F75" s="617">
        <v>206500.0100000001</v>
      </c>
      <c r="G75" s="614">
        <v>1</v>
      </c>
      <c r="H75" s="614">
        <v>583.33336158192117</v>
      </c>
      <c r="I75" s="617">
        <v>396</v>
      </c>
      <c r="J75" s="617">
        <v>228666.59999999986</v>
      </c>
      <c r="K75" s="614">
        <v>1.1073442563029403</v>
      </c>
      <c r="L75" s="614">
        <v>577.44090909090869</v>
      </c>
      <c r="M75" s="617">
        <v>495</v>
      </c>
      <c r="N75" s="617">
        <v>288749.98999999987</v>
      </c>
      <c r="O75" s="630">
        <v>1.398304968605085</v>
      </c>
      <c r="P75" s="618">
        <v>583.33331313131282</v>
      </c>
    </row>
    <row r="76" spans="1:16" ht="14.4" customHeight="1" x14ac:dyDescent="0.3">
      <c r="A76" s="613" t="s">
        <v>2468</v>
      </c>
      <c r="B76" s="614" t="s">
        <v>2380</v>
      </c>
      <c r="C76" s="614" t="s">
        <v>2399</v>
      </c>
      <c r="D76" s="614" t="s">
        <v>2400</v>
      </c>
      <c r="E76" s="617">
        <v>86</v>
      </c>
      <c r="F76" s="617">
        <v>40133.37999999999</v>
      </c>
      <c r="G76" s="614">
        <v>1</v>
      </c>
      <c r="H76" s="614">
        <v>466.66720930232549</v>
      </c>
      <c r="I76" s="617">
        <v>82</v>
      </c>
      <c r="J76" s="617">
        <v>38266.739999999976</v>
      </c>
      <c r="K76" s="614">
        <v>0.95348909062730292</v>
      </c>
      <c r="L76" s="614">
        <v>466.66756097560949</v>
      </c>
      <c r="M76" s="617">
        <v>93</v>
      </c>
      <c r="N76" s="617">
        <v>43400.049999999988</v>
      </c>
      <c r="O76" s="630">
        <v>1.0813953372479468</v>
      </c>
      <c r="P76" s="618">
        <v>466.66720430107512</v>
      </c>
    </row>
    <row r="77" spans="1:16" ht="14.4" customHeight="1" x14ac:dyDescent="0.3">
      <c r="A77" s="613" t="s">
        <v>2468</v>
      </c>
      <c r="B77" s="614" t="s">
        <v>2380</v>
      </c>
      <c r="C77" s="614" t="s">
        <v>2401</v>
      </c>
      <c r="D77" s="614" t="s">
        <v>2400</v>
      </c>
      <c r="E77" s="617">
        <v>8</v>
      </c>
      <c r="F77" s="617">
        <v>8000</v>
      </c>
      <c r="G77" s="614">
        <v>1</v>
      </c>
      <c r="H77" s="614">
        <v>1000</v>
      </c>
      <c r="I77" s="617">
        <v>5</v>
      </c>
      <c r="J77" s="617">
        <v>5000</v>
      </c>
      <c r="K77" s="614">
        <v>0.625</v>
      </c>
      <c r="L77" s="614">
        <v>1000</v>
      </c>
      <c r="M77" s="617">
        <v>5</v>
      </c>
      <c r="N77" s="617">
        <v>5000</v>
      </c>
      <c r="O77" s="630">
        <v>0.625</v>
      </c>
      <c r="P77" s="618">
        <v>1000</v>
      </c>
    </row>
    <row r="78" spans="1:16" ht="14.4" customHeight="1" x14ac:dyDescent="0.3">
      <c r="A78" s="613" t="s">
        <v>2468</v>
      </c>
      <c r="B78" s="614" t="s">
        <v>2380</v>
      </c>
      <c r="C78" s="614" t="s">
        <v>2402</v>
      </c>
      <c r="D78" s="614" t="s">
        <v>2403</v>
      </c>
      <c r="E78" s="617">
        <v>2</v>
      </c>
      <c r="F78" s="617">
        <v>1333.34</v>
      </c>
      <c r="G78" s="614">
        <v>1</v>
      </c>
      <c r="H78" s="614">
        <v>666.67</v>
      </c>
      <c r="I78" s="617"/>
      <c r="J78" s="617"/>
      <c r="K78" s="614"/>
      <c r="L78" s="614"/>
      <c r="M78" s="617">
        <v>1</v>
      </c>
      <c r="N78" s="617">
        <v>666.67</v>
      </c>
      <c r="O78" s="630">
        <v>0.5</v>
      </c>
      <c r="P78" s="618">
        <v>666.67</v>
      </c>
    </row>
    <row r="79" spans="1:16" ht="14.4" customHeight="1" x14ac:dyDescent="0.3">
      <c r="A79" s="613" t="s">
        <v>2468</v>
      </c>
      <c r="B79" s="614" t="s">
        <v>2380</v>
      </c>
      <c r="C79" s="614" t="s">
        <v>2404</v>
      </c>
      <c r="D79" s="614" t="s">
        <v>2405</v>
      </c>
      <c r="E79" s="617">
        <v>863</v>
      </c>
      <c r="F79" s="617">
        <v>43150</v>
      </c>
      <c r="G79" s="614">
        <v>1</v>
      </c>
      <c r="H79" s="614">
        <v>50</v>
      </c>
      <c r="I79" s="617">
        <v>845</v>
      </c>
      <c r="J79" s="617">
        <v>42250</v>
      </c>
      <c r="K79" s="614">
        <v>0.97914252607184238</v>
      </c>
      <c r="L79" s="614">
        <v>50</v>
      </c>
      <c r="M79" s="617">
        <v>960</v>
      </c>
      <c r="N79" s="617">
        <v>48000</v>
      </c>
      <c r="O79" s="630">
        <v>1.1123986095017382</v>
      </c>
      <c r="P79" s="618">
        <v>50</v>
      </c>
    </row>
    <row r="80" spans="1:16" ht="14.4" customHeight="1" x14ac:dyDescent="0.3">
      <c r="A80" s="613" t="s">
        <v>2468</v>
      </c>
      <c r="B80" s="614" t="s">
        <v>2380</v>
      </c>
      <c r="C80" s="614" t="s">
        <v>2408</v>
      </c>
      <c r="D80" s="614" t="s">
        <v>2409</v>
      </c>
      <c r="E80" s="617">
        <v>8</v>
      </c>
      <c r="F80" s="617">
        <v>808.88</v>
      </c>
      <c r="G80" s="614">
        <v>1</v>
      </c>
      <c r="H80" s="614">
        <v>101.11</v>
      </c>
      <c r="I80" s="617">
        <v>14</v>
      </c>
      <c r="J80" s="617">
        <v>1415.5499999999997</v>
      </c>
      <c r="K80" s="614">
        <v>1.7500123627732169</v>
      </c>
      <c r="L80" s="614">
        <v>101.11071428571427</v>
      </c>
      <c r="M80" s="617">
        <v>4</v>
      </c>
      <c r="N80" s="617">
        <v>404.44</v>
      </c>
      <c r="O80" s="630">
        <v>0.5</v>
      </c>
      <c r="P80" s="618">
        <v>101.11</v>
      </c>
    </row>
    <row r="81" spans="1:16" ht="14.4" customHeight="1" x14ac:dyDescent="0.3">
      <c r="A81" s="613" t="s">
        <v>2468</v>
      </c>
      <c r="B81" s="614" t="s">
        <v>2380</v>
      </c>
      <c r="C81" s="614" t="s">
        <v>2410</v>
      </c>
      <c r="D81" s="614" t="s">
        <v>2411</v>
      </c>
      <c r="E81" s="617"/>
      <c r="F81" s="617"/>
      <c r="G81" s="614"/>
      <c r="H81" s="614"/>
      <c r="I81" s="617"/>
      <c r="J81" s="617"/>
      <c r="K81" s="614"/>
      <c r="L81" s="614"/>
      <c r="M81" s="617">
        <v>1</v>
      </c>
      <c r="N81" s="617">
        <v>76.67</v>
      </c>
      <c r="O81" s="630"/>
      <c r="P81" s="618">
        <v>76.67</v>
      </c>
    </row>
    <row r="82" spans="1:16" ht="14.4" customHeight="1" x14ac:dyDescent="0.3">
      <c r="A82" s="613" t="s">
        <v>2468</v>
      </c>
      <c r="B82" s="614" t="s">
        <v>2380</v>
      </c>
      <c r="C82" s="614" t="s">
        <v>2412</v>
      </c>
      <c r="D82" s="614" t="s">
        <v>2413</v>
      </c>
      <c r="E82" s="617">
        <v>104</v>
      </c>
      <c r="F82" s="617">
        <v>0</v>
      </c>
      <c r="G82" s="614"/>
      <c r="H82" s="614">
        <v>0</v>
      </c>
      <c r="I82" s="617">
        <v>101</v>
      </c>
      <c r="J82" s="617">
        <v>0</v>
      </c>
      <c r="K82" s="614"/>
      <c r="L82" s="614">
        <v>0</v>
      </c>
      <c r="M82" s="617">
        <v>52</v>
      </c>
      <c r="N82" s="617">
        <v>0</v>
      </c>
      <c r="O82" s="630"/>
      <c r="P82" s="618">
        <v>0</v>
      </c>
    </row>
    <row r="83" spans="1:16" ht="14.4" customHeight="1" x14ac:dyDescent="0.3">
      <c r="A83" s="613" t="s">
        <v>2468</v>
      </c>
      <c r="B83" s="614" t="s">
        <v>2380</v>
      </c>
      <c r="C83" s="614" t="s">
        <v>2418</v>
      </c>
      <c r="D83" s="614" t="s">
        <v>2419</v>
      </c>
      <c r="E83" s="617">
        <v>1</v>
      </c>
      <c r="F83" s="617">
        <v>0</v>
      </c>
      <c r="G83" s="614"/>
      <c r="H83" s="614">
        <v>0</v>
      </c>
      <c r="I83" s="617"/>
      <c r="J83" s="617"/>
      <c r="K83" s="614"/>
      <c r="L83" s="614"/>
      <c r="M83" s="617"/>
      <c r="N83" s="617"/>
      <c r="O83" s="630"/>
      <c r="P83" s="618"/>
    </row>
    <row r="84" spans="1:16" ht="14.4" customHeight="1" x14ac:dyDescent="0.3">
      <c r="A84" s="613" t="s">
        <v>2468</v>
      </c>
      <c r="B84" s="614" t="s">
        <v>2380</v>
      </c>
      <c r="C84" s="614" t="s">
        <v>2422</v>
      </c>
      <c r="D84" s="614" t="s">
        <v>2423</v>
      </c>
      <c r="E84" s="617">
        <v>3671</v>
      </c>
      <c r="F84" s="617">
        <v>0</v>
      </c>
      <c r="G84" s="614"/>
      <c r="H84" s="614">
        <v>0</v>
      </c>
      <c r="I84" s="617">
        <v>4298</v>
      </c>
      <c r="J84" s="617">
        <v>0</v>
      </c>
      <c r="K84" s="614"/>
      <c r="L84" s="614">
        <v>0</v>
      </c>
      <c r="M84" s="617">
        <v>4745</v>
      </c>
      <c r="N84" s="617">
        <v>0</v>
      </c>
      <c r="O84" s="630"/>
      <c r="P84" s="618">
        <v>0</v>
      </c>
    </row>
    <row r="85" spans="1:16" ht="14.4" customHeight="1" x14ac:dyDescent="0.3">
      <c r="A85" s="613" t="s">
        <v>2468</v>
      </c>
      <c r="B85" s="614" t="s">
        <v>2380</v>
      </c>
      <c r="C85" s="614" t="s">
        <v>2424</v>
      </c>
      <c r="D85" s="614" t="s">
        <v>2425</v>
      </c>
      <c r="E85" s="617">
        <v>2</v>
      </c>
      <c r="F85" s="617">
        <v>117.78</v>
      </c>
      <c r="G85" s="614">
        <v>1</v>
      </c>
      <c r="H85" s="614">
        <v>58.89</v>
      </c>
      <c r="I85" s="617"/>
      <c r="J85" s="617"/>
      <c r="K85" s="614"/>
      <c r="L85" s="614"/>
      <c r="M85" s="617">
        <v>1</v>
      </c>
      <c r="N85" s="617">
        <v>58.89</v>
      </c>
      <c r="O85" s="630">
        <v>0.5</v>
      </c>
      <c r="P85" s="618">
        <v>58.89</v>
      </c>
    </row>
    <row r="86" spans="1:16" ht="14.4" customHeight="1" x14ac:dyDescent="0.3">
      <c r="A86" s="613" t="s">
        <v>2468</v>
      </c>
      <c r="B86" s="614" t="s">
        <v>2380</v>
      </c>
      <c r="C86" s="614" t="s">
        <v>2426</v>
      </c>
      <c r="D86" s="614" t="s">
        <v>2427</v>
      </c>
      <c r="E86" s="617">
        <v>5</v>
      </c>
      <c r="F86" s="617">
        <v>388.9</v>
      </c>
      <c r="G86" s="614">
        <v>1</v>
      </c>
      <c r="H86" s="614">
        <v>77.78</v>
      </c>
      <c r="I86" s="617">
        <v>3</v>
      </c>
      <c r="J86" s="617">
        <v>233.34</v>
      </c>
      <c r="K86" s="614">
        <v>0.60000000000000009</v>
      </c>
      <c r="L86" s="614">
        <v>77.78</v>
      </c>
      <c r="M86" s="617">
        <v>6</v>
      </c>
      <c r="N86" s="617">
        <v>466.67999999999995</v>
      </c>
      <c r="O86" s="630">
        <v>1.2</v>
      </c>
      <c r="P86" s="618">
        <v>77.779999999999987</v>
      </c>
    </row>
    <row r="87" spans="1:16" ht="14.4" customHeight="1" x14ac:dyDescent="0.3">
      <c r="A87" s="613" t="s">
        <v>2468</v>
      </c>
      <c r="B87" s="614" t="s">
        <v>2380</v>
      </c>
      <c r="C87" s="614" t="s">
        <v>2430</v>
      </c>
      <c r="D87" s="614" t="s">
        <v>2431</v>
      </c>
      <c r="E87" s="617">
        <v>1</v>
      </c>
      <c r="F87" s="617">
        <v>0</v>
      </c>
      <c r="G87" s="614"/>
      <c r="H87" s="614">
        <v>0</v>
      </c>
      <c r="I87" s="617"/>
      <c r="J87" s="617"/>
      <c r="K87" s="614"/>
      <c r="L87" s="614"/>
      <c r="M87" s="617"/>
      <c r="N87" s="617"/>
      <c r="O87" s="630"/>
      <c r="P87" s="618"/>
    </row>
    <row r="88" spans="1:16" ht="14.4" customHeight="1" x14ac:dyDescent="0.3">
      <c r="A88" s="613" t="s">
        <v>2468</v>
      </c>
      <c r="B88" s="614" t="s">
        <v>2380</v>
      </c>
      <c r="C88" s="614" t="s">
        <v>2432</v>
      </c>
      <c r="D88" s="614" t="s">
        <v>2433</v>
      </c>
      <c r="E88" s="617">
        <v>1274</v>
      </c>
      <c r="F88" s="617">
        <v>113244.46999999999</v>
      </c>
      <c r="G88" s="614">
        <v>1</v>
      </c>
      <c r="H88" s="614">
        <v>88.888908948194654</v>
      </c>
      <c r="I88" s="617">
        <v>1439</v>
      </c>
      <c r="J88" s="617">
        <v>126844.48999999998</v>
      </c>
      <c r="K88" s="614">
        <v>1.1200943410305155</v>
      </c>
      <c r="L88" s="614">
        <v>88.147665045170243</v>
      </c>
      <c r="M88" s="617">
        <v>1633</v>
      </c>
      <c r="N88" s="617">
        <v>145155.63999999996</v>
      </c>
      <c r="O88" s="630">
        <v>1.2817900953574155</v>
      </c>
      <c r="P88" s="618">
        <v>88.888940600122453</v>
      </c>
    </row>
    <row r="89" spans="1:16" ht="14.4" customHeight="1" x14ac:dyDescent="0.3">
      <c r="A89" s="613" t="s">
        <v>2468</v>
      </c>
      <c r="B89" s="614" t="s">
        <v>2380</v>
      </c>
      <c r="C89" s="614" t="s">
        <v>2436</v>
      </c>
      <c r="D89" s="614" t="s">
        <v>2437</v>
      </c>
      <c r="E89" s="617">
        <v>234</v>
      </c>
      <c r="F89" s="617">
        <v>22620.07</v>
      </c>
      <c r="G89" s="614">
        <v>1</v>
      </c>
      <c r="H89" s="614">
        <v>96.66696581196581</v>
      </c>
      <c r="I89" s="617">
        <v>301</v>
      </c>
      <c r="J89" s="617">
        <v>28710.010000000002</v>
      </c>
      <c r="K89" s="614">
        <v>1.2692272835583622</v>
      </c>
      <c r="L89" s="614">
        <v>95.38209302325582</v>
      </c>
      <c r="M89" s="617">
        <v>323</v>
      </c>
      <c r="N89" s="617">
        <v>31223.37999999999</v>
      </c>
      <c r="O89" s="630">
        <v>1.3803396718047287</v>
      </c>
      <c r="P89" s="618">
        <v>96.666811145510806</v>
      </c>
    </row>
    <row r="90" spans="1:16" ht="14.4" customHeight="1" x14ac:dyDescent="0.3">
      <c r="A90" s="613" t="s">
        <v>2468</v>
      </c>
      <c r="B90" s="614" t="s">
        <v>2380</v>
      </c>
      <c r="C90" s="614" t="s">
        <v>2438</v>
      </c>
      <c r="D90" s="614" t="s">
        <v>2439</v>
      </c>
      <c r="E90" s="617"/>
      <c r="F90" s="617"/>
      <c r="G90" s="614"/>
      <c r="H90" s="614"/>
      <c r="I90" s="617">
        <v>1</v>
      </c>
      <c r="J90" s="617">
        <v>333.33</v>
      </c>
      <c r="K90" s="614"/>
      <c r="L90" s="614">
        <v>333.33</v>
      </c>
      <c r="M90" s="617">
        <v>1</v>
      </c>
      <c r="N90" s="617">
        <v>333.33</v>
      </c>
      <c r="O90" s="630"/>
      <c r="P90" s="618">
        <v>333.33</v>
      </c>
    </row>
    <row r="91" spans="1:16" ht="14.4" customHeight="1" x14ac:dyDescent="0.3">
      <c r="A91" s="613" t="s">
        <v>2468</v>
      </c>
      <c r="B91" s="614" t="s">
        <v>2380</v>
      </c>
      <c r="C91" s="614" t="s">
        <v>2444</v>
      </c>
      <c r="D91" s="614" t="s">
        <v>2445</v>
      </c>
      <c r="E91" s="617">
        <v>39</v>
      </c>
      <c r="F91" s="617">
        <v>50049.98000000001</v>
      </c>
      <c r="G91" s="614">
        <v>1</v>
      </c>
      <c r="H91" s="614">
        <v>1283.3328205128207</v>
      </c>
      <c r="I91" s="617">
        <v>12</v>
      </c>
      <c r="J91" s="617">
        <v>15399.98</v>
      </c>
      <c r="K91" s="614">
        <v>0.30769203104576659</v>
      </c>
      <c r="L91" s="614">
        <v>1283.3316666666667</v>
      </c>
      <c r="M91" s="617">
        <v>9</v>
      </c>
      <c r="N91" s="617">
        <v>11549.99</v>
      </c>
      <c r="O91" s="630">
        <v>0.23076912318446477</v>
      </c>
      <c r="P91" s="618">
        <v>1283.3322222222223</v>
      </c>
    </row>
    <row r="92" spans="1:16" ht="14.4" customHeight="1" x14ac:dyDescent="0.3">
      <c r="A92" s="613" t="s">
        <v>2468</v>
      </c>
      <c r="B92" s="614" t="s">
        <v>2380</v>
      </c>
      <c r="C92" s="614" t="s">
        <v>2446</v>
      </c>
      <c r="D92" s="614" t="s">
        <v>2447</v>
      </c>
      <c r="E92" s="617">
        <v>13</v>
      </c>
      <c r="F92" s="617">
        <v>6066.68</v>
      </c>
      <c r="G92" s="614">
        <v>1</v>
      </c>
      <c r="H92" s="614">
        <v>466.66769230769233</v>
      </c>
      <c r="I92" s="617">
        <v>3</v>
      </c>
      <c r="J92" s="617">
        <v>1400</v>
      </c>
      <c r="K92" s="614">
        <v>0.23076872358522288</v>
      </c>
      <c r="L92" s="614">
        <v>466.66666666666669</v>
      </c>
      <c r="M92" s="617">
        <v>7</v>
      </c>
      <c r="N92" s="617">
        <v>3266.6800000000003</v>
      </c>
      <c r="O92" s="630">
        <v>0.53846255282955424</v>
      </c>
      <c r="P92" s="618">
        <v>466.66857142857145</v>
      </c>
    </row>
    <row r="93" spans="1:16" ht="14.4" customHeight="1" x14ac:dyDescent="0.3">
      <c r="A93" s="613" t="s">
        <v>2468</v>
      </c>
      <c r="B93" s="614" t="s">
        <v>2380</v>
      </c>
      <c r="C93" s="614" t="s">
        <v>2448</v>
      </c>
      <c r="D93" s="614" t="s">
        <v>2449</v>
      </c>
      <c r="E93" s="617">
        <v>281</v>
      </c>
      <c r="F93" s="617">
        <v>32783.399999999994</v>
      </c>
      <c r="G93" s="614">
        <v>1</v>
      </c>
      <c r="H93" s="614">
        <v>116.66690391459073</v>
      </c>
      <c r="I93" s="617">
        <v>305</v>
      </c>
      <c r="J93" s="617">
        <v>35350.009999999995</v>
      </c>
      <c r="K93" s="614">
        <v>1.0782899272192634</v>
      </c>
      <c r="L93" s="614">
        <v>115.90167213114752</v>
      </c>
      <c r="M93" s="617">
        <v>336</v>
      </c>
      <c r="N93" s="617">
        <v>39200.03</v>
      </c>
      <c r="O93" s="630">
        <v>1.1957280208886207</v>
      </c>
      <c r="P93" s="618">
        <v>116.66675595238095</v>
      </c>
    </row>
    <row r="94" spans="1:16" ht="14.4" customHeight="1" x14ac:dyDescent="0.3">
      <c r="A94" s="613" t="s">
        <v>2468</v>
      </c>
      <c r="B94" s="614" t="s">
        <v>2380</v>
      </c>
      <c r="C94" s="614" t="s">
        <v>2452</v>
      </c>
      <c r="D94" s="614" t="s">
        <v>2453</v>
      </c>
      <c r="E94" s="617">
        <v>3853</v>
      </c>
      <c r="F94" s="617">
        <v>1262927.8499999999</v>
      </c>
      <c r="G94" s="614">
        <v>1</v>
      </c>
      <c r="H94" s="614">
        <v>327.77779652219044</v>
      </c>
      <c r="I94" s="617">
        <v>4520</v>
      </c>
      <c r="J94" s="617">
        <v>1477622.2100000007</v>
      </c>
      <c r="K94" s="614">
        <v>1.1699973280342189</v>
      </c>
      <c r="L94" s="614">
        <v>326.90756858407093</v>
      </c>
      <c r="M94" s="617">
        <v>4885</v>
      </c>
      <c r="N94" s="617">
        <v>1601194.4200000002</v>
      </c>
      <c r="O94" s="630">
        <v>1.2678431471758267</v>
      </c>
      <c r="P94" s="618">
        <v>327.77777277379738</v>
      </c>
    </row>
    <row r="95" spans="1:16" ht="14.4" customHeight="1" x14ac:dyDescent="0.3">
      <c r="A95" s="613" t="s">
        <v>2468</v>
      </c>
      <c r="B95" s="614" t="s">
        <v>2380</v>
      </c>
      <c r="C95" s="614" t="s">
        <v>2454</v>
      </c>
      <c r="D95" s="614" t="s">
        <v>2455</v>
      </c>
      <c r="E95" s="617">
        <v>6</v>
      </c>
      <c r="F95" s="617">
        <v>5000.01</v>
      </c>
      <c r="G95" s="614">
        <v>1</v>
      </c>
      <c r="H95" s="614">
        <v>833.33500000000004</v>
      </c>
      <c r="I95" s="617">
        <v>4</v>
      </c>
      <c r="J95" s="617">
        <v>3333.34</v>
      </c>
      <c r="K95" s="614">
        <v>0.66666666666666663</v>
      </c>
      <c r="L95" s="614">
        <v>833.33500000000004</v>
      </c>
      <c r="M95" s="617"/>
      <c r="N95" s="617"/>
      <c r="O95" s="630"/>
      <c r="P95" s="618"/>
    </row>
    <row r="96" spans="1:16" ht="14.4" customHeight="1" x14ac:dyDescent="0.3">
      <c r="A96" s="613" t="s">
        <v>2469</v>
      </c>
      <c r="B96" s="614" t="s">
        <v>2470</v>
      </c>
      <c r="C96" s="614" t="s">
        <v>2471</v>
      </c>
      <c r="D96" s="614" t="s">
        <v>2472</v>
      </c>
      <c r="E96" s="617">
        <v>0.52</v>
      </c>
      <c r="F96" s="617">
        <v>137.80000000000001</v>
      </c>
      <c r="G96" s="614">
        <v>1</v>
      </c>
      <c r="H96" s="614">
        <v>265</v>
      </c>
      <c r="I96" s="617">
        <v>0.06</v>
      </c>
      <c r="J96" s="617">
        <v>15.899999999999999</v>
      </c>
      <c r="K96" s="614">
        <v>0.11538461538461536</v>
      </c>
      <c r="L96" s="614">
        <v>265</v>
      </c>
      <c r="M96" s="617"/>
      <c r="N96" s="617"/>
      <c r="O96" s="630"/>
      <c r="P96" s="618"/>
    </row>
    <row r="97" spans="1:16" ht="14.4" customHeight="1" x14ac:dyDescent="0.3">
      <c r="A97" s="613" t="s">
        <v>2469</v>
      </c>
      <c r="B97" s="614" t="s">
        <v>2470</v>
      </c>
      <c r="C97" s="614" t="s">
        <v>2473</v>
      </c>
      <c r="D97" s="614" t="s">
        <v>1232</v>
      </c>
      <c r="E97" s="617">
        <v>16</v>
      </c>
      <c r="F97" s="617">
        <v>282.24</v>
      </c>
      <c r="G97" s="614">
        <v>1</v>
      </c>
      <c r="H97" s="614">
        <v>17.64</v>
      </c>
      <c r="I97" s="617">
        <v>18</v>
      </c>
      <c r="J97" s="617">
        <v>326.42</v>
      </c>
      <c r="K97" s="614">
        <v>1.1565334467120181</v>
      </c>
      <c r="L97" s="614">
        <v>18.134444444444444</v>
      </c>
      <c r="M97" s="617">
        <v>4</v>
      </c>
      <c r="N97" s="617">
        <v>84.52</v>
      </c>
      <c r="O97" s="630">
        <v>0.2994614512471655</v>
      </c>
      <c r="P97" s="618">
        <v>21.13</v>
      </c>
    </row>
    <row r="98" spans="1:16" ht="14.4" customHeight="1" x14ac:dyDescent="0.3">
      <c r="A98" s="613" t="s">
        <v>2469</v>
      </c>
      <c r="B98" s="614" t="s">
        <v>2470</v>
      </c>
      <c r="C98" s="614" t="s">
        <v>2474</v>
      </c>
      <c r="D98" s="614" t="s">
        <v>615</v>
      </c>
      <c r="E98" s="617">
        <v>7.4999999999999991</v>
      </c>
      <c r="F98" s="617">
        <v>756.13000000000011</v>
      </c>
      <c r="G98" s="614">
        <v>1</v>
      </c>
      <c r="H98" s="614">
        <v>100.81733333333337</v>
      </c>
      <c r="I98" s="617">
        <v>7.9</v>
      </c>
      <c r="J98" s="617">
        <v>890.53000000000009</v>
      </c>
      <c r="K98" s="614">
        <v>1.177747212780871</v>
      </c>
      <c r="L98" s="614">
        <v>112.7253164556962</v>
      </c>
      <c r="M98" s="617">
        <v>1.1000000000000001</v>
      </c>
      <c r="N98" s="617">
        <v>149.08000000000001</v>
      </c>
      <c r="O98" s="630">
        <v>0.19716186370068639</v>
      </c>
      <c r="P98" s="618">
        <v>135.52727272727273</v>
      </c>
    </row>
    <row r="99" spans="1:16" ht="14.4" customHeight="1" x14ac:dyDescent="0.3">
      <c r="A99" s="613" t="s">
        <v>2469</v>
      </c>
      <c r="B99" s="614" t="s">
        <v>2380</v>
      </c>
      <c r="C99" s="614" t="s">
        <v>2475</v>
      </c>
      <c r="D99" s="614" t="s">
        <v>2476</v>
      </c>
      <c r="E99" s="617">
        <v>7</v>
      </c>
      <c r="F99" s="617">
        <v>630</v>
      </c>
      <c r="G99" s="614">
        <v>1</v>
      </c>
      <c r="H99" s="614">
        <v>90</v>
      </c>
      <c r="I99" s="617"/>
      <c r="J99" s="617"/>
      <c r="K99" s="614"/>
      <c r="L99" s="614"/>
      <c r="M99" s="617"/>
      <c r="N99" s="617"/>
      <c r="O99" s="630"/>
      <c r="P99" s="618"/>
    </row>
    <row r="100" spans="1:16" ht="14.4" customHeight="1" x14ac:dyDescent="0.3">
      <c r="A100" s="613" t="s">
        <v>2469</v>
      </c>
      <c r="B100" s="614" t="s">
        <v>2380</v>
      </c>
      <c r="C100" s="614" t="s">
        <v>2477</v>
      </c>
      <c r="D100" s="614" t="s">
        <v>2478</v>
      </c>
      <c r="E100" s="617"/>
      <c r="F100" s="617"/>
      <c r="G100" s="614"/>
      <c r="H100" s="614"/>
      <c r="I100" s="617">
        <v>1</v>
      </c>
      <c r="J100" s="617">
        <v>1359</v>
      </c>
      <c r="K100" s="614"/>
      <c r="L100" s="614">
        <v>1359</v>
      </c>
      <c r="M100" s="617"/>
      <c r="N100" s="617"/>
      <c r="O100" s="630"/>
      <c r="P100" s="618"/>
    </row>
    <row r="101" spans="1:16" ht="14.4" customHeight="1" x14ac:dyDescent="0.3">
      <c r="A101" s="613" t="s">
        <v>2469</v>
      </c>
      <c r="B101" s="614" t="s">
        <v>2380</v>
      </c>
      <c r="C101" s="614" t="s">
        <v>2479</v>
      </c>
      <c r="D101" s="614" t="s">
        <v>2449</v>
      </c>
      <c r="E101" s="617">
        <v>1</v>
      </c>
      <c r="F101" s="617">
        <v>198</v>
      </c>
      <c r="G101" s="614">
        <v>1</v>
      </c>
      <c r="H101" s="614">
        <v>198</v>
      </c>
      <c r="I101" s="617"/>
      <c r="J101" s="617"/>
      <c r="K101" s="614"/>
      <c r="L101" s="614"/>
      <c r="M101" s="617"/>
      <c r="N101" s="617"/>
      <c r="O101" s="630"/>
      <c r="P101" s="618"/>
    </row>
    <row r="102" spans="1:16" ht="14.4" customHeight="1" x14ac:dyDescent="0.3">
      <c r="A102" s="613" t="s">
        <v>2469</v>
      </c>
      <c r="B102" s="614" t="s">
        <v>2380</v>
      </c>
      <c r="C102" s="614" t="s">
        <v>2480</v>
      </c>
      <c r="D102" s="614" t="s">
        <v>2481</v>
      </c>
      <c r="E102" s="617">
        <v>3</v>
      </c>
      <c r="F102" s="617">
        <v>1053</v>
      </c>
      <c r="G102" s="614">
        <v>1</v>
      </c>
      <c r="H102" s="614">
        <v>351</v>
      </c>
      <c r="I102" s="617">
        <v>3</v>
      </c>
      <c r="J102" s="617">
        <v>1056</v>
      </c>
      <c r="K102" s="614">
        <v>1.0028490028490029</v>
      </c>
      <c r="L102" s="614">
        <v>352</v>
      </c>
      <c r="M102" s="617">
        <v>3</v>
      </c>
      <c r="N102" s="617">
        <v>1068</v>
      </c>
      <c r="O102" s="630">
        <v>1.0142450142450143</v>
      </c>
      <c r="P102" s="618">
        <v>356</v>
      </c>
    </row>
    <row r="103" spans="1:16" ht="14.4" customHeight="1" x14ac:dyDescent="0.3">
      <c r="A103" s="613" t="s">
        <v>2469</v>
      </c>
      <c r="B103" s="614" t="s">
        <v>2380</v>
      </c>
      <c r="C103" s="614" t="s">
        <v>2482</v>
      </c>
      <c r="D103" s="614" t="s">
        <v>2483</v>
      </c>
      <c r="E103" s="617">
        <v>1</v>
      </c>
      <c r="F103" s="617">
        <v>152</v>
      </c>
      <c r="G103" s="614">
        <v>1</v>
      </c>
      <c r="H103" s="614">
        <v>152</v>
      </c>
      <c r="I103" s="617">
        <v>2</v>
      </c>
      <c r="J103" s="617">
        <v>306</v>
      </c>
      <c r="K103" s="614">
        <v>2.013157894736842</v>
      </c>
      <c r="L103" s="614">
        <v>153</v>
      </c>
      <c r="M103" s="617">
        <v>3</v>
      </c>
      <c r="N103" s="617">
        <v>465</v>
      </c>
      <c r="O103" s="630">
        <v>3.0592105263157894</v>
      </c>
      <c r="P103" s="618">
        <v>155</v>
      </c>
    </row>
    <row r="104" spans="1:16" ht="14.4" customHeight="1" x14ac:dyDescent="0.3">
      <c r="A104" s="613" t="s">
        <v>2469</v>
      </c>
      <c r="B104" s="614" t="s">
        <v>2380</v>
      </c>
      <c r="C104" s="614" t="s">
        <v>2484</v>
      </c>
      <c r="D104" s="614" t="s">
        <v>2485</v>
      </c>
      <c r="E104" s="617">
        <v>158</v>
      </c>
      <c r="F104" s="617">
        <v>12640</v>
      </c>
      <c r="G104" s="614">
        <v>1</v>
      </c>
      <c r="H104" s="614">
        <v>80</v>
      </c>
      <c r="I104" s="617">
        <v>146</v>
      </c>
      <c r="J104" s="617">
        <v>11735</v>
      </c>
      <c r="K104" s="614">
        <v>0.92840189873417722</v>
      </c>
      <c r="L104" s="614">
        <v>80.376712328767127</v>
      </c>
      <c r="M104" s="617">
        <v>122</v>
      </c>
      <c r="N104" s="617">
        <v>9882</v>
      </c>
      <c r="O104" s="630">
        <v>0.78180379746835438</v>
      </c>
      <c r="P104" s="618">
        <v>81</v>
      </c>
    </row>
    <row r="105" spans="1:16" ht="14.4" customHeight="1" x14ac:dyDescent="0.3">
      <c r="A105" s="613" t="s">
        <v>2469</v>
      </c>
      <c r="B105" s="614" t="s">
        <v>2380</v>
      </c>
      <c r="C105" s="614" t="s">
        <v>2486</v>
      </c>
      <c r="D105" s="614" t="s">
        <v>2487</v>
      </c>
      <c r="E105" s="617">
        <v>395</v>
      </c>
      <c r="F105" s="617">
        <v>13430</v>
      </c>
      <c r="G105" s="614">
        <v>1</v>
      </c>
      <c r="H105" s="614">
        <v>34</v>
      </c>
      <c r="I105" s="617">
        <v>547</v>
      </c>
      <c r="J105" s="617">
        <v>18827</v>
      </c>
      <c r="K105" s="614">
        <v>1.4018615040953091</v>
      </c>
      <c r="L105" s="614">
        <v>34.418647166361971</v>
      </c>
      <c r="M105" s="617">
        <v>496</v>
      </c>
      <c r="N105" s="617">
        <v>17360</v>
      </c>
      <c r="O105" s="630">
        <v>1.2926284437825764</v>
      </c>
      <c r="P105" s="618">
        <v>35</v>
      </c>
    </row>
    <row r="106" spans="1:16" ht="14.4" customHeight="1" x14ac:dyDescent="0.3">
      <c r="A106" s="613" t="s">
        <v>2469</v>
      </c>
      <c r="B106" s="614" t="s">
        <v>2380</v>
      </c>
      <c r="C106" s="614" t="s">
        <v>2488</v>
      </c>
      <c r="D106" s="614" t="s">
        <v>2489</v>
      </c>
      <c r="E106" s="617">
        <v>53</v>
      </c>
      <c r="F106" s="617">
        <v>53053</v>
      </c>
      <c r="G106" s="614">
        <v>1</v>
      </c>
      <c r="H106" s="614">
        <v>1001</v>
      </c>
      <c r="I106" s="617">
        <v>59</v>
      </c>
      <c r="J106" s="617">
        <v>59219</v>
      </c>
      <c r="K106" s="614">
        <v>1.1162233992422672</v>
      </c>
      <c r="L106" s="614">
        <v>1003.7118644067797</v>
      </c>
      <c r="M106" s="617">
        <v>38</v>
      </c>
      <c r="N106" s="617">
        <v>38456</v>
      </c>
      <c r="O106" s="630">
        <v>0.72486004561476258</v>
      </c>
      <c r="P106" s="618">
        <v>1012</v>
      </c>
    </row>
    <row r="107" spans="1:16" ht="14.4" customHeight="1" x14ac:dyDescent="0.3">
      <c r="A107" s="613" t="s">
        <v>2469</v>
      </c>
      <c r="B107" s="614" t="s">
        <v>2380</v>
      </c>
      <c r="C107" s="614" t="s">
        <v>2490</v>
      </c>
      <c r="D107" s="614" t="s">
        <v>2491</v>
      </c>
      <c r="E107" s="617">
        <v>160</v>
      </c>
      <c r="F107" s="617">
        <v>18560</v>
      </c>
      <c r="G107" s="614">
        <v>1</v>
      </c>
      <c r="H107" s="614">
        <v>116</v>
      </c>
      <c r="I107" s="617">
        <v>147</v>
      </c>
      <c r="J107" s="617">
        <v>17172</v>
      </c>
      <c r="K107" s="614">
        <v>0.92521551724137929</v>
      </c>
      <c r="L107" s="614">
        <v>116.81632653061224</v>
      </c>
      <c r="M107" s="617">
        <v>240</v>
      </c>
      <c r="N107" s="617">
        <v>28320</v>
      </c>
      <c r="O107" s="630">
        <v>1.5258620689655173</v>
      </c>
      <c r="P107" s="618">
        <v>118</v>
      </c>
    </row>
    <row r="108" spans="1:16" ht="14.4" customHeight="1" x14ac:dyDescent="0.3">
      <c r="A108" s="613" t="s">
        <v>2469</v>
      </c>
      <c r="B108" s="614" t="s">
        <v>2380</v>
      </c>
      <c r="C108" s="614" t="s">
        <v>2418</v>
      </c>
      <c r="D108" s="614" t="s">
        <v>2419</v>
      </c>
      <c r="E108" s="617"/>
      <c r="F108" s="617"/>
      <c r="G108" s="614"/>
      <c r="H108" s="614"/>
      <c r="I108" s="617"/>
      <c r="J108" s="617"/>
      <c r="K108" s="614"/>
      <c r="L108" s="614"/>
      <c r="M108" s="617">
        <v>234</v>
      </c>
      <c r="N108" s="617">
        <v>3700</v>
      </c>
      <c r="O108" s="630"/>
      <c r="P108" s="618">
        <v>15.811965811965813</v>
      </c>
    </row>
    <row r="109" spans="1:16" ht="14.4" customHeight="1" x14ac:dyDescent="0.3">
      <c r="A109" s="613" t="s">
        <v>2469</v>
      </c>
      <c r="B109" s="614" t="s">
        <v>2380</v>
      </c>
      <c r="C109" s="614" t="s">
        <v>2492</v>
      </c>
      <c r="D109" s="614" t="s">
        <v>2493</v>
      </c>
      <c r="E109" s="617">
        <v>9</v>
      </c>
      <c r="F109" s="617">
        <v>315</v>
      </c>
      <c r="G109" s="614">
        <v>1</v>
      </c>
      <c r="H109" s="614">
        <v>35</v>
      </c>
      <c r="I109" s="617">
        <v>6</v>
      </c>
      <c r="J109" s="617">
        <v>213</v>
      </c>
      <c r="K109" s="614">
        <v>0.67619047619047623</v>
      </c>
      <c r="L109" s="614">
        <v>35.5</v>
      </c>
      <c r="M109" s="617">
        <v>15</v>
      </c>
      <c r="N109" s="617">
        <v>540</v>
      </c>
      <c r="O109" s="630">
        <v>1.7142857142857142</v>
      </c>
      <c r="P109" s="618">
        <v>36</v>
      </c>
    </row>
    <row r="110" spans="1:16" ht="14.4" customHeight="1" x14ac:dyDescent="0.3">
      <c r="A110" s="613" t="s">
        <v>2469</v>
      </c>
      <c r="B110" s="614" t="s">
        <v>2380</v>
      </c>
      <c r="C110" s="614" t="s">
        <v>2494</v>
      </c>
      <c r="D110" s="614" t="s">
        <v>2495</v>
      </c>
      <c r="E110" s="617">
        <v>66</v>
      </c>
      <c r="F110" s="617">
        <v>5346</v>
      </c>
      <c r="G110" s="614">
        <v>1</v>
      </c>
      <c r="H110" s="614">
        <v>81</v>
      </c>
      <c r="I110" s="617">
        <v>58</v>
      </c>
      <c r="J110" s="617">
        <v>4720</v>
      </c>
      <c r="K110" s="614">
        <v>0.88290310512532733</v>
      </c>
      <c r="L110" s="614">
        <v>81.379310344827587</v>
      </c>
      <c r="M110" s="617">
        <v>38</v>
      </c>
      <c r="N110" s="617">
        <v>3116</v>
      </c>
      <c r="O110" s="630">
        <v>0.5828656939768051</v>
      </c>
      <c r="P110" s="618">
        <v>82</v>
      </c>
    </row>
    <row r="111" spans="1:16" ht="14.4" customHeight="1" x14ac:dyDescent="0.3">
      <c r="A111" s="613" t="s">
        <v>2469</v>
      </c>
      <c r="B111" s="614" t="s">
        <v>2380</v>
      </c>
      <c r="C111" s="614" t="s">
        <v>2496</v>
      </c>
      <c r="D111" s="614" t="s">
        <v>2497</v>
      </c>
      <c r="E111" s="617">
        <v>26</v>
      </c>
      <c r="F111" s="617">
        <v>780</v>
      </c>
      <c r="G111" s="614">
        <v>1</v>
      </c>
      <c r="H111" s="614">
        <v>30</v>
      </c>
      <c r="I111" s="617">
        <v>38</v>
      </c>
      <c r="J111" s="617">
        <v>1159</v>
      </c>
      <c r="K111" s="614">
        <v>1.4858974358974359</v>
      </c>
      <c r="L111" s="614">
        <v>30.5</v>
      </c>
      <c r="M111" s="617">
        <v>14</v>
      </c>
      <c r="N111" s="617">
        <v>434</v>
      </c>
      <c r="O111" s="630">
        <v>0.55641025641025643</v>
      </c>
      <c r="P111" s="618">
        <v>31</v>
      </c>
    </row>
    <row r="112" spans="1:16" ht="14.4" customHeight="1" x14ac:dyDescent="0.3">
      <c r="A112" s="613" t="s">
        <v>2469</v>
      </c>
      <c r="B112" s="614" t="s">
        <v>2380</v>
      </c>
      <c r="C112" s="614" t="s">
        <v>2498</v>
      </c>
      <c r="D112" s="614" t="s">
        <v>2499</v>
      </c>
      <c r="E112" s="617"/>
      <c r="F112" s="617"/>
      <c r="G112" s="614"/>
      <c r="H112" s="614"/>
      <c r="I112" s="617">
        <v>2</v>
      </c>
      <c r="J112" s="617">
        <v>238</v>
      </c>
      <c r="K112" s="614"/>
      <c r="L112" s="614">
        <v>119</v>
      </c>
      <c r="M112" s="617">
        <v>2</v>
      </c>
      <c r="N112" s="617">
        <v>240</v>
      </c>
      <c r="O112" s="630"/>
      <c r="P112" s="618">
        <v>120</v>
      </c>
    </row>
    <row r="113" spans="1:16" ht="14.4" customHeight="1" x14ac:dyDescent="0.3">
      <c r="A113" s="613" t="s">
        <v>2469</v>
      </c>
      <c r="B113" s="614" t="s">
        <v>2380</v>
      </c>
      <c r="C113" s="614" t="s">
        <v>2500</v>
      </c>
      <c r="D113" s="614" t="s">
        <v>2501</v>
      </c>
      <c r="E113" s="617">
        <v>3</v>
      </c>
      <c r="F113" s="617">
        <v>168</v>
      </c>
      <c r="G113" s="614">
        <v>1</v>
      </c>
      <c r="H113" s="614">
        <v>56</v>
      </c>
      <c r="I113" s="617"/>
      <c r="J113" s="617"/>
      <c r="K113" s="614"/>
      <c r="L113" s="614"/>
      <c r="M113" s="617">
        <v>1</v>
      </c>
      <c r="N113" s="617">
        <v>57</v>
      </c>
      <c r="O113" s="630">
        <v>0.3392857142857143</v>
      </c>
      <c r="P113" s="618">
        <v>57</v>
      </c>
    </row>
    <row r="114" spans="1:16" ht="14.4" customHeight="1" x14ac:dyDescent="0.3">
      <c r="A114" s="613" t="s">
        <v>2469</v>
      </c>
      <c r="B114" s="614" t="s">
        <v>2380</v>
      </c>
      <c r="C114" s="614" t="s">
        <v>2502</v>
      </c>
      <c r="D114" s="614" t="s">
        <v>2503</v>
      </c>
      <c r="E114" s="617">
        <v>33</v>
      </c>
      <c r="F114" s="617">
        <v>2904</v>
      </c>
      <c r="G114" s="614">
        <v>1</v>
      </c>
      <c r="H114" s="614">
        <v>88</v>
      </c>
      <c r="I114" s="617">
        <v>8</v>
      </c>
      <c r="J114" s="617">
        <v>709</v>
      </c>
      <c r="K114" s="614">
        <v>0.24414600550964188</v>
      </c>
      <c r="L114" s="614">
        <v>88.625</v>
      </c>
      <c r="M114" s="617">
        <v>2</v>
      </c>
      <c r="N114" s="617">
        <v>178</v>
      </c>
      <c r="O114" s="630">
        <v>6.1294765840220387E-2</v>
      </c>
      <c r="P114" s="618">
        <v>89</v>
      </c>
    </row>
    <row r="115" spans="1:16" ht="14.4" customHeight="1" x14ac:dyDescent="0.3">
      <c r="A115" s="613" t="s">
        <v>2469</v>
      </c>
      <c r="B115" s="614" t="s">
        <v>2380</v>
      </c>
      <c r="C115" s="614" t="s">
        <v>2504</v>
      </c>
      <c r="D115" s="614" t="s">
        <v>2505</v>
      </c>
      <c r="E115" s="617">
        <v>21</v>
      </c>
      <c r="F115" s="617">
        <v>6552</v>
      </c>
      <c r="G115" s="614">
        <v>1</v>
      </c>
      <c r="H115" s="614">
        <v>312</v>
      </c>
      <c r="I115" s="617">
        <v>16</v>
      </c>
      <c r="J115" s="617">
        <v>5028</v>
      </c>
      <c r="K115" s="614">
        <v>0.76739926739926745</v>
      </c>
      <c r="L115" s="614">
        <v>314.25</v>
      </c>
      <c r="M115" s="617">
        <v>12</v>
      </c>
      <c r="N115" s="617">
        <v>3804</v>
      </c>
      <c r="O115" s="630">
        <v>0.58058608058608063</v>
      </c>
      <c r="P115" s="618">
        <v>317</v>
      </c>
    </row>
    <row r="116" spans="1:16" ht="14.4" customHeight="1" thickBot="1" x14ac:dyDescent="0.35">
      <c r="A116" s="619" t="s">
        <v>2469</v>
      </c>
      <c r="B116" s="620" t="s">
        <v>2380</v>
      </c>
      <c r="C116" s="620" t="s">
        <v>2506</v>
      </c>
      <c r="D116" s="620" t="s">
        <v>2507</v>
      </c>
      <c r="E116" s="623">
        <v>3</v>
      </c>
      <c r="F116" s="623">
        <v>870</v>
      </c>
      <c r="G116" s="620">
        <v>1</v>
      </c>
      <c r="H116" s="620">
        <v>290</v>
      </c>
      <c r="I116" s="623">
        <v>4</v>
      </c>
      <c r="J116" s="623">
        <v>1170</v>
      </c>
      <c r="K116" s="620">
        <v>1.3448275862068966</v>
      </c>
      <c r="L116" s="620">
        <v>292.5</v>
      </c>
      <c r="M116" s="623">
        <v>6</v>
      </c>
      <c r="N116" s="623">
        <v>1782</v>
      </c>
      <c r="O116" s="631">
        <v>2.0482758620689654</v>
      </c>
      <c r="P116" s="624">
        <v>297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48" bestFit="1" customWidth="1"/>
    <col min="2" max="2" width="7.77734375" style="213" customWidth="1"/>
    <col min="3" max="3" width="0.109375" style="248" hidden="1" customWidth="1"/>
    <col min="4" max="4" width="7.77734375" style="213" customWidth="1"/>
    <col min="5" max="5" width="5.44140625" style="248" hidden="1" customWidth="1"/>
    <col min="6" max="6" width="7.77734375" style="213" customWidth="1"/>
    <col min="7" max="7" width="7.77734375" style="332" customWidth="1"/>
    <col min="8" max="8" width="7.77734375" style="213" customWidth="1"/>
    <col min="9" max="9" width="5.44140625" style="248" hidden="1" customWidth="1"/>
    <col min="10" max="10" width="7.77734375" style="213" customWidth="1"/>
    <col min="11" max="11" width="5.44140625" style="248" hidden="1" customWidth="1"/>
    <col min="12" max="12" width="7.77734375" style="213" customWidth="1"/>
    <col min="13" max="13" width="7.77734375" style="332" customWidth="1"/>
    <col min="14" max="14" width="7.77734375" style="213" customWidth="1"/>
    <col min="15" max="15" width="5" style="248" hidden="1" customWidth="1"/>
    <col min="16" max="16" width="7.77734375" style="213" customWidth="1"/>
    <col min="17" max="17" width="5" style="248" hidden="1" customWidth="1"/>
    <col min="18" max="18" width="7.77734375" style="213" customWidth="1"/>
    <col min="19" max="19" width="7.77734375" style="332" customWidth="1"/>
    <col min="20" max="16384" width="8.88671875" style="248"/>
  </cols>
  <sheetData>
    <row r="1" spans="1:19" ht="18.600000000000001" customHeight="1" thickBot="1" x14ac:dyDescent="0.4">
      <c r="A1" s="479" t="s">
        <v>151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</row>
    <row r="2" spans="1:19" ht="14.4" customHeight="1" thickBot="1" x14ac:dyDescent="0.35">
      <c r="A2" s="375" t="s">
        <v>320</v>
      </c>
      <c r="B2" s="348"/>
      <c r="C2" s="218"/>
      <c r="D2" s="348"/>
      <c r="E2" s="218"/>
      <c r="F2" s="348"/>
      <c r="G2" s="349"/>
      <c r="H2" s="348"/>
      <c r="I2" s="218"/>
      <c r="J2" s="348"/>
      <c r="K2" s="218"/>
      <c r="L2" s="348"/>
      <c r="M2" s="349"/>
      <c r="N2" s="348"/>
      <c r="O2" s="218"/>
      <c r="P2" s="348"/>
      <c r="Q2" s="218"/>
      <c r="R2" s="348"/>
      <c r="S2" s="349"/>
    </row>
    <row r="3" spans="1:19" ht="14.4" customHeight="1" thickBot="1" x14ac:dyDescent="0.35">
      <c r="A3" s="342" t="s">
        <v>153</v>
      </c>
      <c r="B3" s="343">
        <f>SUBTOTAL(9,B6:B1048576)</f>
        <v>2463946</v>
      </c>
      <c r="C3" s="344">
        <f t="shared" ref="C3:R3" si="0">SUBTOTAL(9,C6:C1048576)</f>
        <v>1</v>
      </c>
      <c r="D3" s="344">
        <f t="shared" si="0"/>
        <v>2915871</v>
      </c>
      <c r="E3" s="344">
        <f t="shared" si="0"/>
        <v>1.1834151397798491</v>
      </c>
      <c r="F3" s="344">
        <f t="shared" si="0"/>
        <v>2834804</v>
      </c>
      <c r="G3" s="347">
        <f>IF(B3&lt;&gt;0,F3/B3,"")</f>
        <v>1.1505138505470494</v>
      </c>
      <c r="H3" s="343">
        <f t="shared" si="0"/>
        <v>555211.39000000025</v>
      </c>
      <c r="I3" s="344">
        <f t="shared" si="0"/>
        <v>1</v>
      </c>
      <c r="J3" s="344">
        <f t="shared" si="0"/>
        <v>220248.59000000008</v>
      </c>
      <c r="K3" s="344">
        <f t="shared" si="0"/>
        <v>0.39669321265185137</v>
      </c>
      <c r="L3" s="344">
        <f t="shared" si="0"/>
        <v>335823.15999999992</v>
      </c>
      <c r="M3" s="345">
        <f>IF(H3&lt;&gt;0,L3/H3,"")</f>
        <v>0.60485639532719193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IF(N3&lt;&gt;0,R3/N3,"")</f>
        <v/>
      </c>
    </row>
    <row r="4" spans="1:19" ht="14.4" customHeight="1" x14ac:dyDescent="0.3">
      <c r="A4" s="534" t="s">
        <v>123</v>
      </c>
      <c r="B4" s="535" t="s">
        <v>117</v>
      </c>
      <c r="C4" s="536"/>
      <c r="D4" s="536"/>
      <c r="E4" s="536"/>
      <c r="F4" s="536"/>
      <c r="G4" s="537"/>
      <c r="H4" s="535" t="s">
        <v>118</v>
      </c>
      <c r="I4" s="536"/>
      <c r="J4" s="536"/>
      <c r="K4" s="536"/>
      <c r="L4" s="536"/>
      <c r="M4" s="537"/>
      <c r="N4" s="535" t="s">
        <v>119</v>
      </c>
      <c r="O4" s="536"/>
      <c r="P4" s="536"/>
      <c r="Q4" s="536"/>
      <c r="R4" s="536"/>
      <c r="S4" s="537"/>
    </row>
    <row r="5" spans="1:19" ht="14.4" customHeight="1" thickBot="1" x14ac:dyDescent="0.35">
      <c r="A5" s="738"/>
      <c r="B5" s="739">
        <v>2013</v>
      </c>
      <c r="C5" s="740"/>
      <c r="D5" s="740">
        <v>2014</v>
      </c>
      <c r="E5" s="740"/>
      <c r="F5" s="740">
        <v>2015</v>
      </c>
      <c r="G5" s="741" t="s">
        <v>2</v>
      </c>
      <c r="H5" s="739">
        <v>2013</v>
      </c>
      <c r="I5" s="740"/>
      <c r="J5" s="740">
        <v>2014</v>
      </c>
      <c r="K5" s="740"/>
      <c r="L5" s="740">
        <v>2015</v>
      </c>
      <c r="M5" s="741" t="s">
        <v>2</v>
      </c>
      <c r="N5" s="739">
        <v>2013</v>
      </c>
      <c r="O5" s="740"/>
      <c r="P5" s="740">
        <v>2014</v>
      </c>
      <c r="Q5" s="740"/>
      <c r="R5" s="740">
        <v>2015</v>
      </c>
      <c r="S5" s="741" t="s">
        <v>2</v>
      </c>
    </row>
    <row r="6" spans="1:19" ht="14.4" customHeight="1" x14ac:dyDescent="0.3">
      <c r="A6" s="703" t="s">
        <v>2509</v>
      </c>
      <c r="B6" s="742"/>
      <c r="C6" s="689"/>
      <c r="D6" s="742"/>
      <c r="E6" s="689"/>
      <c r="F6" s="742">
        <v>1094</v>
      </c>
      <c r="G6" s="694"/>
      <c r="H6" s="742"/>
      <c r="I6" s="689"/>
      <c r="J6" s="742"/>
      <c r="K6" s="689"/>
      <c r="L6" s="742"/>
      <c r="M6" s="694"/>
      <c r="N6" s="742"/>
      <c r="O6" s="689"/>
      <c r="P6" s="742"/>
      <c r="Q6" s="689"/>
      <c r="R6" s="742"/>
      <c r="S6" s="229"/>
    </row>
    <row r="7" spans="1:19" ht="14.4" customHeight="1" thickBot="1" x14ac:dyDescent="0.35">
      <c r="A7" s="745" t="s">
        <v>1238</v>
      </c>
      <c r="B7" s="744">
        <v>2463946</v>
      </c>
      <c r="C7" s="620">
        <v>1</v>
      </c>
      <c r="D7" s="744">
        <v>2915871</v>
      </c>
      <c r="E7" s="620">
        <v>1.1834151397798491</v>
      </c>
      <c r="F7" s="744">
        <v>2833710</v>
      </c>
      <c r="G7" s="631">
        <v>1.1500698473099653</v>
      </c>
      <c r="H7" s="744">
        <v>555211.39000000025</v>
      </c>
      <c r="I7" s="620">
        <v>1</v>
      </c>
      <c r="J7" s="744">
        <v>220248.59000000008</v>
      </c>
      <c r="K7" s="620">
        <v>0.39669321265185137</v>
      </c>
      <c r="L7" s="744">
        <v>335823.15999999992</v>
      </c>
      <c r="M7" s="631">
        <v>0.60485639532719193</v>
      </c>
      <c r="N7" s="744"/>
      <c r="O7" s="620"/>
      <c r="P7" s="744"/>
      <c r="Q7" s="620"/>
      <c r="R7" s="744"/>
      <c r="S7" s="6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48" bestFit="1" customWidth="1"/>
    <col min="2" max="2" width="8.6640625" style="248" bestFit="1" customWidth="1"/>
    <col min="3" max="3" width="2.109375" style="248" bestFit="1" customWidth="1"/>
    <col min="4" max="4" width="8" style="248" bestFit="1" customWidth="1"/>
    <col min="5" max="5" width="52.88671875" style="248" bestFit="1" customWidth="1"/>
    <col min="6" max="7" width="11.109375" style="329" customWidth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8"/>
  </cols>
  <sheetData>
    <row r="1" spans="1:17" ht="18.600000000000001" customHeight="1" thickBot="1" x14ac:dyDescent="0.4">
      <c r="A1" s="470" t="s">
        <v>2799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</row>
    <row r="2" spans="1:17" ht="14.4" customHeight="1" thickBot="1" x14ac:dyDescent="0.35">
      <c r="A2" s="375" t="s">
        <v>320</v>
      </c>
      <c r="B2" s="249"/>
      <c r="C2" s="249"/>
      <c r="D2" s="249"/>
      <c r="E2" s="249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07" t="s">
        <v>153</v>
      </c>
      <c r="F3" s="205">
        <f t="shared" ref="F3:O3" si="0">SUBTOTAL(9,F6:F1048576)</f>
        <v>5109.7</v>
      </c>
      <c r="G3" s="206">
        <f t="shared" si="0"/>
        <v>3019157.3899999997</v>
      </c>
      <c r="H3" s="206"/>
      <c r="I3" s="206"/>
      <c r="J3" s="206">
        <f t="shared" si="0"/>
        <v>4684.6000000000004</v>
      </c>
      <c r="K3" s="206">
        <f t="shared" si="0"/>
        <v>3136119.59</v>
      </c>
      <c r="L3" s="206"/>
      <c r="M3" s="206"/>
      <c r="N3" s="206">
        <f t="shared" si="0"/>
        <v>4489.1000000000004</v>
      </c>
      <c r="O3" s="206">
        <f t="shared" si="0"/>
        <v>3170627.16</v>
      </c>
      <c r="P3" s="74">
        <f>IF(G3=0,0,O3/G3)</f>
        <v>1.0501695507831741</v>
      </c>
      <c r="Q3" s="207">
        <f>IF(N3=0,0,O3/N3)</f>
        <v>706.29461584727449</v>
      </c>
    </row>
    <row r="4" spans="1:17" ht="14.4" customHeight="1" x14ac:dyDescent="0.3">
      <c r="A4" s="543" t="s">
        <v>68</v>
      </c>
      <c r="B4" s="542" t="s">
        <v>113</v>
      </c>
      <c r="C4" s="543" t="s">
        <v>114</v>
      </c>
      <c r="D4" s="551" t="s">
        <v>115</v>
      </c>
      <c r="E4" s="544" t="s">
        <v>75</v>
      </c>
      <c r="F4" s="549">
        <v>2013</v>
      </c>
      <c r="G4" s="550"/>
      <c r="H4" s="208"/>
      <c r="I4" s="208"/>
      <c r="J4" s="549">
        <v>2014</v>
      </c>
      <c r="K4" s="550"/>
      <c r="L4" s="208"/>
      <c r="M4" s="208"/>
      <c r="N4" s="549">
        <v>2015</v>
      </c>
      <c r="O4" s="550"/>
      <c r="P4" s="552" t="s">
        <v>2</v>
      </c>
      <c r="Q4" s="541" t="s">
        <v>116</v>
      </c>
    </row>
    <row r="5" spans="1:17" ht="14.4" customHeight="1" thickBot="1" x14ac:dyDescent="0.35">
      <c r="A5" s="751"/>
      <c r="B5" s="750"/>
      <c r="C5" s="751"/>
      <c r="D5" s="759"/>
      <c r="E5" s="753"/>
      <c r="F5" s="760" t="s">
        <v>85</v>
      </c>
      <c r="G5" s="761" t="s">
        <v>14</v>
      </c>
      <c r="H5" s="762"/>
      <c r="I5" s="762"/>
      <c r="J5" s="760" t="s">
        <v>85</v>
      </c>
      <c r="K5" s="761" t="s">
        <v>14</v>
      </c>
      <c r="L5" s="762"/>
      <c r="M5" s="762"/>
      <c r="N5" s="760" t="s">
        <v>85</v>
      </c>
      <c r="O5" s="761" t="s">
        <v>14</v>
      </c>
      <c r="P5" s="763"/>
      <c r="Q5" s="758"/>
    </row>
    <row r="6" spans="1:17" ht="14.4" customHeight="1" x14ac:dyDescent="0.3">
      <c r="A6" s="688" t="s">
        <v>2510</v>
      </c>
      <c r="B6" s="689" t="s">
        <v>2469</v>
      </c>
      <c r="C6" s="689" t="s">
        <v>2380</v>
      </c>
      <c r="D6" s="689" t="s">
        <v>2488</v>
      </c>
      <c r="E6" s="689" t="s">
        <v>2489</v>
      </c>
      <c r="F6" s="223"/>
      <c r="G6" s="223"/>
      <c r="H6" s="223"/>
      <c r="I6" s="223"/>
      <c r="J6" s="223"/>
      <c r="K6" s="223"/>
      <c r="L6" s="223"/>
      <c r="M6" s="223"/>
      <c r="N6" s="223">
        <v>1</v>
      </c>
      <c r="O6" s="223">
        <v>1012</v>
      </c>
      <c r="P6" s="694"/>
      <c r="Q6" s="702">
        <v>1012</v>
      </c>
    </row>
    <row r="7" spans="1:17" ht="14.4" customHeight="1" x14ac:dyDescent="0.3">
      <c r="A7" s="613" t="s">
        <v>2510</v>
      </c>
      <c r="B7" s="614" t="s">
        <v>2469</v>
      </c>
      <c r="C7" s="614" t="s">
        <v>2380</v>
      </c>
      <c r="D7" s="614" t="s">
        <v>2494</v>
      </c>
      <c r="E7" s="614" t="s">
        <v>2495</v>
      </c>
      <c r="F7" s="617"/>
      <c r="G7" s="617"/>
      <c r="H7" s="617"/>
      <c r="I7" s="617"/>
      <c r="J7" s="617"/>
      <c r="K7" s="617"/>
      <c r="L7" s="617"/>
      <c r="M7" s="617"/>
      <c r="N7" s="617">
        <v>1</v>
      </c>
      <c r="O7" s="617">
        <v>82</v>
      </c>
      <c r="P7" s="630"/>
      <c r="Q7" s="618">
        <v>82</v>
      </c>
    </row>
    <row r="8" spans="1:17" ht="14.4" customHeight="1" x14ac:dyDescent="0.3">
      <c r="A8" s="613" t="s">
        <v>323</v>
      </c>
      <c r="B8" s="614" t="s">
        <v>2511</v>
      </c>
      <c r="C8" s="614" t="s">
        <v>2380</v>
      </c>
      <c r="D8" s="614" t="s">
        <v>2512</v>
      </c>
      <c r="E8" s="614" t="s">
        <v>2513</v>
      </c>
      <c r="F8" s="617"/>
      <c r="G8" s="617"/>
      <c r="H8" s="617"/>
      <c r="I8" s="617"/>
      <c r="J8" s="617"/>
      <c r="K8" s="617"/>
      <c r="L8" s="617"/>
      <c r="M8" s="617"/>
      <c r="N8" s="617">
        <v>1</v>
      </c>
      <c r="O8" s="617">
        <v>2242</v>
      </c>
      <c r="P8" s="630"/>
      <c r="Q8" s="618">
        <v>2242</v>
      </c>
    </row>
    <row r="9" spans="1:17" ht="14.4" customHeight="1" x14ac:dyDescent="0.3">
      <c r="A9" s="613" t="s">
        <v>323</v>
      </c>
      <c r="B9" s="614" t="s">
        <v>2469</v>
      </c>
      <c r="C9" s="614" t="s">
        <v>2380</v>
      </c>
      <c r="D9" s="614" t="s">
        <v>2488</v>
      </c>
      <c r="E9" s="614" t="s">
        <v>2489</v>
      </c>
      <c r="F9" s="617">
        <v>5</v>
      </c>
      <c r="G9" s="617">
        <v>5005</v>
      </c>
      <c r="H9" s="617">
        <v>1</v>
      </c>
      <c r="I9" s="617">
        <v>1001</v>
      </c>
      <c r="J9" s="617"/>
      <c r="K9" s="617"/>
      <c r="L9" s="617"/>
      <c r="M9" s="617"/>
      <c r="N9" s="617"/>
      <c r="O9" s="617"/>
      <c r="P9" s="630"/>
      <c r="Q9" s="618"/>
    </row>
    <row r="10" spans="1:17" ht="14.4" customHeight="1" x14ac:dyDescent="0.3">
      <c r="A10" s="613" t="s">
        <v>323</v>
      </c>
      <c r="B10" s="614" t="s">
        <v>2469</v>
      </c>
      <c r="C10" s="614" t="s">
        <v>2380</v>
      </c>
      <c r="D10" s="614" t="s">
        <v>2494</v>
      </c>
      <c r="E10" s="614" t="s">
        <v>2495</v>
      </c>
      <c r="F10" s="617">
        <v>2</v>
      </c>
      <c r="G10" s="617">
        <v>162</v>
      </c>
      <c r="H10" s="617">
        <v>1</v>
      </c>
      <c r="I10" s="617">
        <v>81</v>
      </c>
      <c r="J10" s="617"/>
      <c r="K10" s="617"/>
      <c r="L10" s="617"/>
      <c r="M10" s="617"/>
      <c r="N10" s="617"/>
      <c r="O10" s="617"/>
      <c r="P10" s="630"/>
      <c r="Q10" s="618"/>
    </row>
    <row r="11" spans="1:17" ht="14.4" customHeight="1" x14ac:dyDescent="0.3">
      <c r="A11" s="613" t="s">
        <v>323</v>
      </c>
      <c r="B11" s="614" t="s">
        <v>2514</v>
      </c>
      <c r="C11" s="614" t="s">
        <v>2380</v>
      </c>
      <c r="D11" s="614" t="s">
        <v>456</v>
      </c>
      <c r="E11" s="614" t="s">
        <v>2515</v>
      </c>
      <c r="F11" s="617"/>
      <c r="G11" s="617"/>
      <c r="H11" s="617"/>
      <c r="I11" s="617"/>
      <c r="J11" s="617"/>
      <c r="K11" s="617"/>
      <c r="L11" s="617"/>
      <c r="M11" s="617"/>
      <c r="N11" s="617">
        <v>1</v>
      </c>
      <c r="O11" s="617">
        <v>1193</v>
      </c>
      <c r="P11" s="630"/>
      <c r="Q11" s="618">
        <v>1193</v>
      </c>
    </row>
    <row r="12" spans="1:17" ht="14.4" customHeight="1" x14ac:dyDescent="0.3">
      <c r="A12" s="613" t="s">
        <v>323</v>
      </c>
      <c r="B12" s="614" t="s">
        <v>2514</v>
      </c>
      <c r="C12" s="614" t="s">
        <v>2380</v>
      </c>
      <c r="D12" s="614" t="s">
        <v>2516</v>
      </c>
      <c r="E12" s="614" t="s">
        <v>2517</v>
      </c>
      <c r="F12" s="617"/>
      <c r="G12" s="617"/>
      <c r="H12" s="617"/>
      <c r="I12" s="617"/>
      <c r="J12" s="617"/>
      <c r="K12" s="617"/>
      <c r="L12" s="617"/>
      <c r="M12" s="617"/>
      <c r="N12" s="617">
        <v>1</v>
      </c>
      <c r="O12" s="617">
        <v>691</v>
      </c>
      <c r="P12" s="630"/>
      <c r="Q12" s="618">
        <v>691</v>
      </c>
    </row>
    <row r="13" spans="1:17" ht="14.4" customHeight="1" x14ac:dyDescent="0.3">
      <c r="A13" s="613" t="s">
        <v>323</v>
      </c>
      <c r="B13" s="614" t="s">
        <v>2514</v>
      </c>
      <c r="C13" s="614" t="s">
        <v>2380</v>
      </c>
      <c r="D13" s="614" t="s">
        <v>2518</v>
      </c>
      <c r="E13" s="614" t="s">
        <v>2519</v>
      </c>
      <c r="F13" s="617"/>
      <c r="G13" s="617"/>
      <c r="H13" s="617"/>
      <c r="I13" s="617"/>
      <c r="J13" s="617"/>
      <c r="K13" s="617"/>
      <c r="L13" s="617"/>
      <c r="M13" s="617"/>
      <c r="N13" s="617">
        <v>1</v>
      </c>
      <c r="O13" s="617">
        <v>1803</v>
      </c>
      <c r="P13" s="630"/>
      <c r="Q13" s="618">
        <v>1803</v>
      </c>
    </row>
    <row r="14" spans="1:17" ht="14.4" customHeight="1" x14ac:dyDescent="0.3">
      <c r="A14" s="613" t="s">
        <v>323</v>
      </c>
      <c r="B14" s="614" t="s">
        <v>2520</v>
      </c>
      <c r="C14" s="614" t="s">
        <v>2470</v>
      </c>
      <c r="D14" s="614" t="s">
        <v>2521</v>
      </c>
      <c r="E14" s="614" t="s">
        <v>2522</v>
      </c>
      <c r="F14" s="617"/>
      <c r="G14" s="617"/>
      <c r="H14" s="617"/>
      <c r="I14" s="617"/>
      <c r="J14" s="617">
        <v>6</v>
      </c>
      <c r="K14" s="617">
        <v>499.8</v>
      </c>
      <c r="L14" s="617"/>
      <c r="M14" s="617">
        <v>83.3</v>
      </c>
      <c r="N14" s="617"/>
      <c r="O14" s="617"/>
      <c r="P14" s="630"/>
      <c r="Q14" s="618"/>
    </row>
    <row r="15" spans="1:17" ht="14.4" customHeight="1" x14ac:dyDescent="0.3">
      <c r="A15" s="613" t="s">
        <v>323</v>
      </c>
      <c r="B15" s="614" t="s">
        <v>2520</v>
      </c>
      <c r="C15" s="614" t="s">
        <v>2470</v>
      </c>
      <c r="D15" s="614" t="s">
        <v>2523</v>
      </c>
      <c r="E15" s="614" t="s">
        <v>1206</v>
      </c>
      <c r="F15" s="617">
        <v>87</v>
      </c>
      <c r="G15" s="617">
        <v>10772.91</v>
      </c>
      <c r="H15" s="617">
        <v>1</v>
      </c>
      <c r="I15" s="617">
        <v>123.82655172413793</v>
      </c>
      <c r="J15" s="617">
        <v>114</v>
      </c>
      <c r="K15" s="617">
        <v>13447.439999999999</v>
      </c>
      <c r="L15" s="617">
        <v>1.2482643965279576</v>
      </c>
      <c r="M15" s="617">
        <v>117.96</v>
      </c>
      <c r="N15" s="617">
        <v>128</v>
      </c>
      <c r="O15" s="617">
        <v>14452.5</v>
      </c>
      <c r="P15" s="630">
        <v>1.3415595229144215</v>
      </c>
      <c r="Q15" s="618">
        <v>112.91015625</v>
      </c>
    </row>
    <row r="16" spans="1:17" ht="14.4" customHeight="1" x14ac:dyDescent="0.3">
      <c r="A16" s="613" t="s">
        <v>323</v>
      </c>
      <c r="B16" s="614" t="s">
        <v>2520</v>
      </c>
      <c r="C16" s="614" t="s">
        <v>2470</v>
      </c>
      <c r="D16" s="614" t="s">
        <v>2524</v>
      </c>
      <c r="E16" s="614" t="s">
        <v>1206</v>
      </c>
      <c r="F16" s="617"/>
      <c r="G16" s="617"/>
      <c r="H16" s="617"/>
      <c r="I16" s="617"/>
      <c r="J16" s="617">
        <v>3</v>
      </c>
      <c r="K16" s="617">
        <v>238.77</v>
      </c>
      <c r="L16" s="617"/>
      <c r="M16" s="617">
        <v>79.59</v>
      </c>
      <c r="N16" s="617"/>
      <c r="O16" s="617"/>
      <c r="P16" s="630"/>
      <c r="Q16" s="618"/>
    </row>
    <row r="17" spans="1:17" ht="14.4" customHeight="1" x14ac:dyDescent="0.3">
      <c r="A17" s="613" t="s">
        <v>323</v>
      </c>
      <c r="B17" s="614" t="s">
        <v>2520</v>
      </c>
      <c r="C17" s="614" t="s">
        <v>2470</v>
      </c>
      <c r="D17" s="614" t="s">
        <v>2525</v>
      </c>
      <c r="E17" s="614" t="s">
        <v>916</v>
      </c>
      <c r="F17" s="617"/>
      <c r="G17" s="617"/>
      <c r="H17" s="617"/>
      <c r="I17" s="617"/>
      <c r="J17" s="617"/>
      <c r="K17" s="617"/>
      <c r="L17" s="617"/>
      <c r="M17" s="617"/>
      <c r="N17" s="617">
        <v>3</v>
      </c>
      <c r="O17" s="617">
        <v>175.2</v>
      </c>
      <c r="P17" s="630"/>
      <c r="Q17" s="618">
        <v>58.4</v>
      </c>
    </row>
    <row r="18" spans="1:17" ht="14.4" customHeight="1" x14ac:dyDescent="0.3">
      <c r="A18" s="613" t="s">
        <v>323</v>
      </c>
      <c r="B18" s="614" t="s">
        <v>2520</v>
      </c>
      <c r="C18" s="614" t="s">
        <v>2470</v>
      </c>
      <c r="D18" s="614" t="s">
        <v>2526</v>
      </c>
      <c r="E18" s="614" t="s">
        <v>964</v>
      </c>
      <c r="F18" s="617"/>
      <c r="G18" s="617"/>
      <c r="H18" s="617"/>
      <c r="I18" s="617"/>
      <c r="J18" s="617">
        <v>20</v>
      </c>
      <c r="K18" s="617">
        <v>14475.2</v>
      </c>
      <c r="L18" s="617"/>
      <c r="M18" s="617">
        <v>723.76</v>
      </c>
      <c r="N18" s="617"/>
      <c r="O18" s="617"/>
      <c r="P18" s="630"/>
      <c r="Q18" s="618"/>
    </row>
    <row r="19" spans="1:17" ht="14.4" customHeight="1" x14ac:dyDescent="0.3">
      <c r="A19" s="613" t="s">
        <v>323</v>
      </c>
      <c r="B19" s="614" t="s">
        <v>2520</v>
      </c>
      <c r="C19" s="614" t="s">
        <v>2470</v>
      </c>
      <c r="D19" s="614" t="s">
        <v>2527</v>
      </c>
      <c r="E19" s="614" t="s">
        <v>2528</v>
      </c>
      <c r="F19" s="617">
        <v>7</v>
      </c>
      <c r="G19" s="617">
        <v>8624.98</v>
      </c>
      <c r="H19" s="617">
        <v>1</v>
      </c>
      <c r="I19" s="617">
        <v>1232.1399999999999</v>
      </c>
      <c r="J19" s="617"/>
      <c r="K19" s="617"/>
      <c r="L19" s="617"/>
      <c r="M19" s="617"/>
      <c r="N19" s="617"/>
      <c r="O19" s="617"/>
      <c r="P19" s="630"/>
      <c r="Q19" s="618"/>
    </row>
    <row r="20" spans="1:17" ht="14.4" customHeight="1" x14ac:dyDescent="0.3">
      <c r="A20" s="613" t="s">
        <v>323</v>
      </c>
      <c r="B20" s="614" t="s">
        <v>2520</v>
      </c>
      <c r="C20" s="614" t="s">
        <v>2470</v>
      </c>
      <c r="D20" s="614" t="s">
        <v>2529</v>
      </c>
      <c r="E20" s="614" t="s">
        <v>990</v>
      </c>
      <c r="F20" s="617"/>
      <c r="G20" s="617"/>
      <c r="H20" s="617"/>
      <c r="I20" s="617"/>
      <c r="J20" s="617"/>
      <c r="K20" s="617"/>
      <c r="L20" s="617"/>
      <c r="M20" s="617"/>
      <c r="N20" s="617">
        <v>16</v>
      </c>
      <c r="O20" s="617">
        <v>53602.080000000002</v>
      </c>
      <c r="P20" s="630"/>
      <c r="Q20" s="618">
        <v>3350.13</v>
      </c>
    </row>
    <row r="21" spans="1:17" ht="14.4" customHeight="1" x14ac:dyDescent="0.3">
      <c r="A21" s="613" t="s">
        <v>323</v>
      </c>
      <c r="B21" s="614" t="s">
        <v>2520</v>
      </c>
      <c r="C21" s="614" t="s">
        <v>2470</v>
      </c>
      <c r="D21" s="614" t="s">
        <v>2530</v>
      </c>
      <c r="E21" s="614" t="s">
        <v>2531</v>
      </c>
      <c r="F21" s="617">
        <v>36</v>
      </c>
      <c r="G21" s="617">
        <v>2070.36</v>
      </c>
      <c r="H21" s="617">
        <v>1</v>
      </c>
      <c r="I21" s="617">
        <v>57.510000000000005</v>
      </c>
      <c r="J21" s="617"/>
      <c r="K21" s="617"/>
      <c r="L21" s="617"/>
      <c r="M21" s="617"/>
      <c r="N21" s="617"/>
      <c r="O21" s="617"/>
      <c r="P21" s="630"/>
      <c r="Q21" s="618"/>
    </row>
    <row r="22" spans="1:17" ht="14.4" customHeight="1" x14ac:dyDescent="0.3">
      <c r="A22" s="613" t="s">
        <v>323</v>
      </c>
      <c r="B22" s="614" t="s">
        <v>2520</v>
      </c>
      <c r="C22" s="614" t="s">
        <v>2470</v>
      </c>
      <c r="D22" s="614" t="s">
        <v>2532</v>
      </c>
      <c r="E22" s="614" t="s">
        <v>2533</v>
      </c>
      <c r="F22" s="617"/>
      <c r="G22" s="617"/>
      <c r="H22" s="617"/>
      <c r="I22" s="617"/>
      <c r="J22" s="617">
        <v>20</v>
      </c>
      <c r="K22" s="617">
        <v>950</v>
      </c>
      <c r="L22" s="617"/>
      <c r="M22" s="617">
        <v>47.5</v>
      </c>
      <c r="N22" s="617"/>
      <c r="O22" s="617"/>
      <c r="P22" s="630"/>
      <c r="Q22" s="618"/>
    </row>
    <row r="23" spans="1:17" ht="14.4" customHeight="1" x14ac:dyDescent="0.3">
      <c r="A23" s="613" t="s">
        <v>323</v>
      </c>
      <c r="B23" s="614" t="s">
        <v>2520</v>
      </c>
      <c r="C23" s="614" t="s">
        <v>2470</v>
      </c>
      <c r="D23" s="614" t="s">
        <v>2534</v>
      </c>
      <c r="E23" s="614" t="s">
        <v>1197</v>
      </c>
      <c r="F23" s="617">
        <v>63.2</v>
      </c>
      <c r="G23" s="617">
        <v>23951.360000000001</v>
      </c>
      <c r="H23" s="617">
        <v>1</v>
      </c>
      <c r="I23" s="617">
        <v>378.97721518987339</v>
      </c>
      <c r="J23" s="617">
        <v>85.4</v>
      </c>
      <c r="K23" s="617">
        <v>32278.75</v>
      </c>
      <c r="L23" s="617">
        <v>1.3476792132054296</v>
      </c>
      <c r="M23" s="617">
        <v>377.97131147540983</v>
      </c>
      <c r="N23" s="617">
        <v>89.1</v>
      </c>
      <c r="O23" s="617">
        <v>32365.56</v>
      </c>
      <c r="P23" s="630">
        <v>1.3513036420478837</v>
      </c>
      <c r="Q23" s="618">
        <v>363.24983164983166</v>
      </c>
    </row>
    <row r="24" spans="1:17" ht="14.4" customHeight="1" x14ac:dyDescent="0.3">
      <c r="A24" s="613" t="s">
        <v>323</v>
      </c>
      <c r="B24" s="614" t="s">
        <v>2520</v>
      </c>
      <c r="C24" s="614" t="s">
        <v>2470</v>
      </c>
      <c r="D24" s="614" t="s">
        <v>2535</v>
      </c>
      <c r="E24" s="614" t="s">
        <v>2536</v>
      </c>
      <c r="F24" s="617"/>
      <c r="G24" s="617"/>
      <c r="H24" s="617"/>
      <c r="I24" s="617"/>
      <c r="J24" s="617"/>
      <c r="K24" s="617"/>
      <c r="L24" s="617"/>
      <c r="M24" s="617"/>
      <c r="N24" s="617">
        <v>6</v>
      </c>
      <c r="O24" s="617">
        <v>412.44</v>
      </c>
      <c r="P24" s="630"/>
      <c r="Q24" s="618">
        <v>68.739999999999995</v>
      </c>
    </row>
    <row r="25" spans="1:17" ht="14.4" customHeight="1" x14ac:dyDescent="0.3">
      <c r="A25" s="613" t="s">
        <v>323</v>
      </c>
      <c r="B25" s="614" t="s">
        <v>2520</v>
      </c>
      <c r="C25" s="614" t="s">
        <v>2470</v>
      </c>
      <c r="D25" s="614" t="s">
        <v>2537</v>
      </c>
      <c r="E25" s="614" t="s">
        <v>2538</v>
      </c>
      <c r="F25" s="617">
        <v>3</v>
      </c>
      <c r="G25" s="617">
        <v>122.85</v>
      </c>
      <c r="H25" s="617">
        <v>1</v>
      </c>
      <c r="I25" s="617">
        <v>40.949999999999996</v>
      </c>
      <c r="J25" s="617">
        <v>3</v>
      </c>
      <c r="K25" s="617">
        <v>122.85</v>
      </c>
      <c r="L25" s="617">
        <v>1</v>
      </c>
      <c r="M25" s="617">
        <v>40.949999999999996</v>
      </c>
      <c r="N25" s="617"/>
      <c r="O25" s="617"/>
      <c r="P25" s="630"/>
      <c r="Q25" s="618"/>
    </row>
    <row r="26" spans="1:17" ht="14.4" customHeight="1" x14ac:dyDescent="0.3">
      <c r="A26" s="613" t="s">
        <v>323</v>
      </c>
      <c r="B26" s="614" t="s">
        <v>2520</v>
      </c>
      <c r="C26" s="614" t="s">
        <v>2470</v>
      </c>
      <c r="D26" s="614" t="s">
        <v>2539</v>
      </c>
      <c r="E26" s="614" t="s">
        <v>2540</v>
      </c>
      <c r="F26" s="617">
        <v>2</v>
      </c>
      <c r="G26" s="617">
        <v>10893.4</v>
      </c>
      <c r="H26" s="617">
        <v>1</v>
      </c>
      <c r="I26" s="617">
        <v>5446.7</v>
      </c>
      <c r="J26" s="617">
        <v>3</v>
      </c>
      <c r="K26" s="617">
        <v>13337.99</v>
      </c>
      <c r="L26" s="617">
        <v>1.2244101933280702</v>
      </c>
      <c r="M26" s="617">
        <v>4445.9966666666669</v>
      </c>
      <c r="N26" s="617">
        <v>2</v>
      </c>
      <c r="O26" s="617">
        <v>8629.82</v>
      </c>
      <c r="P26" s="630">
        <v>0.79220629004718457</v>
      </c>
      <c r="Q26" s="618">
        <v>4314.91</v>
      </c>
    </row>
    <row r="27" spans="1:17" ht="14.4" customHeight="1" x14ac:dyDescent="0.3">
      <c r="A27" s="613" t="s">
        <v>323</v>
      </c>
      <c r="B27" s="614" t="s">
        <v>2520</v>
      </c>
      <c r="C27" s="614" t="s">
        <v>2470</v>
      </c>
      <c r="D27" s="614" t="s">
        <v>2541</v>
      </c>
      <c r="E27" s="614" t="s">
        <v>2542</v>
      </c>
      <c r="F27" s="617">
        <v>1</v>
      </c>
      <c r="G27" s="617">
        <v>10893.4</v>
      </c>
      <c r="H27" s="617">
        <v>1</v>
      </c>
      <c r="I27" s="617">
        <v>10893.4</v>
      </c>
      <c r="J27" s="617"/>
      <c r="K27" s="617"/>
      <c r="L27" s="617"/>
      <c r="M27" s="617"/>
      <c r="N27" s="617">
        <v>1</v>
      </c>
      <c r="O27" s="617">
        <v>8629.83</v>
      </c>
      <c r="P27" s="630">
        <v>0.79220720803422262</v>
      </c>
      <c r="Q27" s="618">
        <v>8629.83</v>
      </c>
    </row>
    <row r="28" spans="1:17" ht="14.4" customHeight="1" x14ac:dyDescent="0.3">
      <c r="A28" s="613" t="s">
        <v>323</v>
      </c>
      <c r="B28" s="614" t="s">
        <v>2520</v>
      </c>
      <c r="C28" s="614" t="s">
        <v>2470</v>
      </c>
      <c r="D28" s="614" t="s">
        <v>2543</v>
      </c>
      <c r="E28" s="614" t="s">
        <v>2544</v>
      </c>
      <c r="F28" s="617">
        <v>3</v>
      </c>
      <c r="G28" s="617">
        <v>16340.1</v>
      </c>
      <c r="H28" s="617">
        <v>1</v>
      </c>
      <c r="I28" s="617">
        <v>5446.7</v>
      </c>
      <c r="J28" s="617"/>
      <c r="K28" s="617"/>
      <c r="L28" s="617"/>
      <c r="M28" s="617"/>
      <c r="N28" s="617"/>
      <c r="O28" s="617"/>
      <c r="P28" s="630"/>
      <c r="Q28" s="618"/>
    </row>
    <row r="29" spans="1:17" ht="14.4" customHeight="1" x14ac:dyDescent="0.3">
      <c r="A29" s="613" t="s">
        <v>323</v>
      </c>
      <c r="B29" s="614" t="s">
        <v>2520</v>
      </c>
      <c r="C29" s="614" t="s">
        <v>2470</v>
      </c>
      <c r="D29" s="614" t="s">
        <v>2545</v>
      </c>
      <c r="E29" s="614" t="s">
        <v>2546</v>
      </c>
      <c r="F29" s="617">
        <v>13</v>
      </c>
      <c r="G29" s="617">
        <v>141614.20000000001</v>
      </c>
      <c r="H29" s="617">
        <v>1</v>
      </c>
      <c r="I29" s="617">
        <v>10893.400000000001</v>
      </c>
      <c r="J29" s="617"/>
      <c r="K29" s="617"/>
      <c r="L29" s="617"/>
      <c r="M29" s="617"/>
      <c r="N29" s="617"/>
      <c r="O29" s="617"/>
      <c r="P29" s="630"/>
      <c r="Q29" s="618"/>
    </row>
    <row r="30" spans="1:17" ht="14.4" customHeight="1" x14ac:dyDescent="0.3">
      <c r="A30" s="613" t="s">
        <v>323</v>
      </c>
      <c r="B30" s="614" t="s">
        <v>2520</v>
      </c>
      <c r="C30" s="614" t="s">
        <v>2470</v>
      </c>
      <c r="D30" s="614" t="s">
        <v>2547</v>
      </c>
      <c r="E30" s="614" t="s">
        <v>2548</v>
      </c>
      <c r="F30" s="617"/>
      <c r="G30" s="617"/>
      <c r="H30" s="617"/>
      <c r="I30" s="617"/>
      <c r="J30" s="617">
        <v>3</v>
      </c>
      <c r="K30" s="617">
        <v>290.89999999999998</v>
      </c>
      <c r="L30" s="617"/>
      <c r="M30" s="617">
        <v>96.966666666666654</v>
      </c>
      <c r="N30" s="617">
        <v>2.1</v>
      </c>
      <c r="O30" s="617">
        <v>194.74</v>
      </c>
      <c r="P30" s="630"/>
      <c r="Q30" s="618">
        <v>92.733333333333334</v>
      </c>
    </row>
    <row r="31" spans="1:17" ht="14.4" customHeight="1" x14ac:dyDescent="0.3">
      <c r="A31" s="613" t="s">
        <v>323</v>
      </c>
      <c r="B31" s="614" t="s">
        <v>2520</v>
      </c>
      <c r="C31" s="614" t="s">
        <v>2470</v>
      </c>
      <c r="D31" s="614" t="s">
        <v>2549</v>
      </c>
      <c r="E31" s="614" t="s">
        <v>2550</v>
      </c>
      <c r="F31" s="617"/>
      <c r="G31" s="617"/>
      <c r="H31" s="617"/>
      <c r="I31" s="617"/>
      <c r="J31" s="617">
        <v>44</v>
      </c>
      <c r="K31" s="617">
        <v>2816</v>
      </c>
      <c r="L31" s="617"/>
      <c r="M31" s="617">
        <v>64</v>
      </c>
      <c r="N31" s="617">
        <v>8</v>
      </c>
      <c r="O31" s="617">
        <v>489.68</v>
      </c>
      <c r="P31" s="630"/>
      <c r="Q31" s="618">
        <v>61.21</v>
      </c>
    </row>
    <row r="32" spans="1:17" ht="14.4" customHeight="1" x14ac:dyDescent="0.3">
      <c r="A32" s="613" t="s">
        <v>323</v>
      </c>
      <c r="B32" s="614" t="s">
        <v>2520</v>
      </c>
      <c r="C32" s="614" t="s">
        <v>2470</v>
      </c>
      <c r="D32" s="614" t="s">
        <v>1002</v>
      </c>
      <c r="E32" s="614" t="s">
        <v>2551</v>
      </c>
      <c r="F32" s="617">
        <v>36</v>
      </c>
      <c r="G32" s="617">
        <v>243068.04</v>
      </c>
      <c r="H32" s="617">
        <v>1</v>
      </c>
      <c r="I32" s="617">
        <v>6751.89</v>
      </c>
      <c r="J32" s="617"/>
      <c r="K32" s="617"/>
      <c r="L32" s="617"/>
      <c r="M32" s="617"/>
      <c r="N32" s="617">
        <v>15</v>
      </c>
      <c r="O32" s="617">
        <v>96874.95</v>
      </c>
      <c r="P32" s="630">
        <v>0.39855075146860114</v>
      </c>
      <c r="Q32" s="618">
        <v>6458.33</v>
      </c>
    </row>
    <row r="33" spans="1:17" ht="14.4" customHeight="1" x14ac:dyDescent="0.3">
      <c r="A33" s="613" t="s">
        <v>323</v>
      </c>
      <c r="B33" s="614" t="s">
        <v>2520</v>
      </c>
      <c r="C33" s="614" t="s">
        <v>2470</v>
      </c>
      <c r="D33" s="614" t="s">
        <v>2552</v>
      </c>
      <c r="E33" s="614" t="s">
        <v>1202</v>
      </c>
      <c r="F33" s="617">
        <v>1.3</v>
      </c>
      <c r="G33" s="617">
        <v>1048.8399999999999</v>
      </c>
      <c r="H33" s="617">
        <v>1</v>
      </c>
      <c r="I33" s="617">
        <v>806.8</v>
      </c>
      <c r="J33" s="617"/>
      <c r="K33" s="617"/>
      <c r="L33" s="617"/>
      <c r="M33" s="617"/>
      <c r="N33" s="617">
        <v>7.3</v>
      </c>
      <c r="O33" s="617">
        <v>5881.88</v>
      </c>
      <c r="P33" s="630">
        <v>5.6079859654475426</v>
      </c>
      <c r="Q33" s="618">
        <v>805.73698630136994</v>
      </c>
    </row>
    <row r="34" spans="1:17" ht="14.4" customHeight="1" x14ac:dyDescent="0.3">
      <c r="A34" s="613" t="s">
        <v>323</v>
      </c>
      <c r="B34" s="614" t="s">
        <v>2520</v>
      </c>
      <c r="C34" s="614" t="s">
        <v>2470</v>
      </c>
      <c r="D34" s="614" t="s">
        <v>2553</v>
      </c>
      <c r="E34" s="614" t="s">
        <v>950</v>
      </c>
      <c r="F34" s="617">
        <v>1.2</v>
      </c>
      <c r="G34" s="617">
        <v>1379.94</v>
      </c>
      <c r="H34" s="617">
        <v>1</v>
      </c>
      <c r="I34" s="617">
        <v>1149.95</v>
      </c>
      <c r="J34" s="617"/>
      <c r="K34" s="617"/>
      <c r="L34" s="617"/>
      <c r="M34" s="617"/>
      <c r="N34" s="617">
        <v>5.4</v>
      </c>
      <c r="O34" s="617">
        <v>4288.9399999999996</v>
      </c>
      <c r="P34" s="630">
        <v>3.1080626693914226</v>
      </c>
      <c r="Q34" s="618">
        <v>794.24814814814806</v>
      </c>
    </row>
    <row r="35" spans="1:17" ht="14.4" customHeight="1" x14ac:dyDescent="0.3">
      <c r="A35" s="613" t="s">
        <v>323</v>
      </c>
      <c r="B35" s="614" t="s">
        <v>2520</v>
      </c>
      <c r="C35" s="614" t="s">
        <v>2470</v>
      </c>
      <c r="D35" s="614" t="s">
        <v>2554</v>
      </c>
      <c r="E35" s="614" t="s">
        <v>2555</v>
      </c>
      <c r="F35" s="617"/>
      <c r="G35" s="617"/>
      <c r="H35" s="617"/>
      <c r="I35" s="617"/>
      <c r="J35" s="617"/>
      <c r="K35" s="617"/>
      <c r="L35" s="617"/>
      <c r="M35" s="617"/>
      <c r="N35" s="617">
        <v>2.2000000000000002</v>
      </c>
      <c r="O35" s="617">
        <v>2892.56</v>
      </c>
      <c r="P35" s="630"/>
      <c r="Q35" s="618">
        <v>1314.8</v>
      </c>
    </row>
    <row r="36" spans="1:17" ht="14.4" customHeight="1" x14ac:dyDescent="0.3">
      <c r="A36" s="613" t="s">
        <v>323</v>
      </c>
      <c r="B36" s="614" t="s">
        <v>2520</v>
      </c>
      <c r="C36" s="614" t="s">
        <v>2470</v>
      </c>
      <c r="D36" s="614" t="s">
        <v>2556</v>
      </c>
      <c r="E36" s="614" t="s">
        <v>2557</v>
      </c>
      <c r="F36" s="617"/>
      <c r="G36" s="617"/>
      <c r="H36" s="617"/>
      <c r="I36" s="617"/>
      <c r="J36" s="617">
        <v>8.1999999999999993</v>
      </c>
      <c r="K36" s="617">
        <v>29749.87</v>
      </c>
      <c r="L36" s="617"/>
      <c r="M36" s="617">
        <v>3628.0329268292685</v>
      </c>
      <c r="N36" s="617">
        <v>1.7</v>
      </c>
      <c r="O36" s="617">
        <v>4795.99</v>
      </c>
      <c r="P36" s="630"/>
      <c r="Q36" s="618">
        <v>2821.170588235294</v>
      </c>
    </row>
    <row r="37" spans="1:17" ht="14.4" customHeight="1" x14ac:dyDescent="0.3">
      <c r="A37" s="613" t="s">
        <v>323</v>
      </c>
      <c r="B37" s="614" t="s">
        <v>2520</v>
      </c>
      <c r="C37" s="614" t="s">
        <v>2470</v>
      </c>
      <c r="D37" s="614" t="s">
        <v>2558</v>
      </c>
      <c r="E37" s="614" t="s">
        <v>993</v>
      </c>
      <c r="F37" s="617"/>
      <c r="G37" s="617"/>
      <c r="H37" s="617"/>
      <c r="I37" s="617"/>
      <c r="J37" s="617"/>
      <c r="K37" s="617"/>
      <c r="L37" s="617"/>
      <c r="M37" s="617"/>
      <c r="N37" s="617">
        <v>0.3</v>
      </c>
      <c r="O37" s="617">
        <v>257.26</v>
      </c>
      <c r="P37" s="630"/>
      <c r="Q37" s="618">
        <v>857.5333333333333</v>
      </c>
    </row>
    <row r="38" spans="1:17" ht="14.4" customHeight="1" x14ac:dyDescent="0.3">
      <c r="A38" s="613" t="s">
        <v>323</v>
      </c>
      <c r="B38" s="614" t="s">
        <v>2520</v>
      </c>
      <c r="C38" s="614" t="s">
        <v>2559</v>
      </c>
      <c r="D38" s="614" t="s">
        <v>2560</v>
      </c>
      <c r="E38" s="614" t="s">
        <v>2561</v>
      </c>
      <c r="F38" s="617">
        <v>8</v>
      </c>
      <c r="G38" s="617">
        <v>12880</v>
      </c>
      <c r="H38" s="617">
        <v>1</v>
      </c>
      <c r="I38" s="617">
        <v>1610</v>
      </c>
      <c r="J38" s="617">
        <v>2</v>
      </c>
      <c r="K38" s="617">
        <v>3626</v>
      </c>
      <c r="L38" s="617">
        <v>0.28152173913043477</v>
      </c>
      <c r="M38" s="617">
        <v>1813</v>
      </c>
      <c r="N38" s="617">
        <v>10</v>
      </c>
      <c r="O38" s="617">
        <v>18123</v>
      </c>
      <c r="P38" s="630">
        <v>1.4070652173913043</v>
      </c>
      <c r="Q38" s="618">
        <v>1812.3</v>
      </c>
    </row>
    <row r="39" spans="1:17" ht="14.4" customHeight="1" x14ac:dyDescent="0.3">
      <c r="A39" s="613" t="s">
        <v>323</v>
      </c>
      <c r="B39" s="614" t="s">
        <v>2520</v>
      </c>
      <c r="C39" s="614" t="s">
        <v>2559</v>
      </c>
      <c r="D39" s="614" t="s">
        <v>2562</v>
      </c>
      <c r="E39" s="614" t="s">
        <v>2563</v>
      </c>
      <c r="F39" s="617">
        <v>1</v>
      </c>
      <c r="G39" s="617">
        <v>9254</v>
      </c>
      <c r="H39" s="617">
        <v>1</v>
      </c>
      <c r="I39" s="617">
        <v>9254</v>
      </c>
      <c r="J39" s="617"/>
      <c r="K39" s="617"/>
      <c r="L39" s="617"/>
      <c r="M39" s="617"/>
      <c r="N39" s="617"/>
      <c r="O39" s="617"/>
      <c r="P39" s="630"/>
      <c r="Q39" s="618"/>
    </row>
    <row r="40" spans="1:17" ht="14.4" customHeight="1" x14ac:dyDescent="0.3">
      <c r="A40" s="613" t="s">
        <v>323</v>
      </c>
      <c r="B40" s="614" t="s">
        <v>2520</v>
      </c>
      <c r="C40" s="614" t="s">
        <v>2559</v>
      </c>
      <c r="D40" s="614" t="s">
        <v>2564</v>
      </c>
      <c r="E40" s="614" t="s">
        <v>2565</v>
      </c>
      <c r="F40" s="617">
        <v>4</v>
      </c>
      <c r="G40" s="617">
        <v>2544</v>
      </c>
      <c r="H40" s="617">
        <v>1</v>
      </c>
      <c r="I40" s="617">
        <v>636</v>
      </c>
      <c r="J40" s="617">
        <v>2</v>
      </c>
      <c r="K40" s="617">
        <v>1851.14</v>
      </c>
      <c r="L40" s="617">
        <v>0.72764937106918248</v>
      </c>
      <c r="M40" s="617">
        <v>925.57</v>
      </c>
      <c r="N40" s="617">
        <v>4</v>
      </c>
      <c r="O40" s="617">
        <v>3664</v>
      </c>
      <c r="P40" s="630">
        <v>1.4402515723270439</v>
      </c>
      <c r="Q40" s="618">
        <v>916</v>
      </c>
    </row>
    <row r="41" spans="1:17" ht="14.4" customHeight="1" x14ac:dyDescent="0.3">
      <c r="A41" s="613" t="s">
        <v>323</v>
      </c>
      <c r="B41" s="614" t="s">
        <v>2520</v>
      </c>
      <c r="C41" s="614" t="s">
        <v>2566</v>
      </c>
      <c r="D41" s="614" t="s">
        <v>2567</v>
      </c>
      <c r="E41" s="614" t="s">
        <v>2568</v>
      </c>
      <c r="F41" s="617">
        <v>5</v>
      </c>
      <c r="G41" s="617">
        <v>23090</v>
      </c>
      <c r="H41" s="617">
        <v>1</v>
      </c>
      <c r="I41" s="617">
        <v>4618</v>
      </c>
      <c r="J41" s="617">
        <v>6</v>
      </c>
      <c r="K41" s="617">
        <v>27708</v>
      </c>
      <c r="L41" s="617">
        <v>1.2</v>
      </c>
      <c r="M41" s="617">
        <v>4618</v>
      </c>
      <c r="N41" s="617">
        <v>4</v>
      </c>
      <c r="O41" s="617">
        <v>18472</v>
      </c>
      <c r="P41" s="630">
        <v>0.8</v>
      </c>
      <c r="Q41" s="618">
        <v>4618</v>
      </c>
    </row>
    <row r="42" spans="1:17" ht="14.4" customHeight="1" x14ac:dyDescent="0.3">
      <c r="A42" s="613" t="s">
        <v>323</v>
      </c>
      <c r="B42" s="614" t="s">
        <v>2520</v>
      </c>
      <c r="C42" s="614" t="s">
        <v>2566</v>
      </c>
      <c r="D42" s="614" t="s">
        <v>2569</v>
      </c>
      <c r="E42" s="614" t="s">
        <v>2570</v>
      </c>
      <c r="F42" s="617"/>
      <c r="G42" s="617"/>
      <c r="H42" s="617"/>
      <c r="I42" s="617"/>
      <c r="J42" s="617">
        <v>2</v>
      </c>
      <c r="K42" s="617">
        <v>1113</v>
      </c>
      <c r="L42" s="617"/>
      <c r="M42" s="617">
        <v>556.5</v>
      </c>
      <c r="N42" s="617">
        <v>2</v>
      </c>
      <c r="O42" s="617">
        <v>1113</v>
      </c>
      <c r="P42" s="630"/>
      <c r="Q42" s="618">
        <v>556.5</v>
      </c>
    </row>
    <row r="43" spans="1:17" ht="14.4" customHeight="1" x14ac:dyDescent="0.3">
      <c r="A43" s="613" t="s">
        <v>323</v>
      </c>
      <c r="B43" s="614" t="s">
        <v>2520</v>
      </c>
      <c r="C43" s="614" t="s">
        <v>2566</v>
      </c>
      <c r="D43" s="614" t="s">
        <v>2571</v>
      </c>
      <c r="E43" s="614" t="s">
        <v>2572</v>
      </c>
      <c r="F43" s="617">
        <v>5</v>
      </c>
      <c r="G43" s="617">
        <v>678.45</v>
      </c>
      <c r="H43" s="617">
        <v>1</v>
      </c>
      <c r="I43" s="617">
        <v>135.69</v>
      </c>
      <c r="J43" s="617">
        <v>5</v>
      </c>
      <c r="K43" s="617">
        <v>678.45</v>
      </c>
      <c r="L43" s="617">
        <v>1</v>
      </c>
      <c r="M43" s="617">
        <v>135.69</v>
      </c>
      <c r="N43" s="617">
        <v>4</v>
      </c>
      <c r="O43" s="617">
        <v>542.76</v>
      </c>
      <c r="P43" s="630">
        <v>0.79999999999999993</v>
      </c>
      <c r="Q43" s="618">
        <v>135.69</v>
      </c>
    </row>
    <row r="44" spans="1:17" ht="14.4" customHeight="1" x14ac:dyDescent="0.3">
      <c r="A44" s="613" t="s">
        <v>323</v>
      </c>
      <c r="B44" s="614" t="s">
        <v>2520</v>
      </c>
      <c r="C44" s="614" t="s">
        <v>2566</v>
      </c>
      <c r="D44" s="614" t="s">
        <v>2573</v>
      </c>
      <c r="E44" s="614" t="s">
        <v>2572</v>
      </c>
      <c r="F44" s="617">
        <v>12</v>
      </c>
      <c r="G44" s="617">
        <v>2043.6</v>
      </c>
      <c r="H44" s="617">
        <v>1</v>
      </c>
      <c r="I44" s="617">
        <v>170.29999999999998</v>
      </c>
      <c r="J44" s="617">
        <v>9</v>
      </c>
      <c r="K44" s="617">
        <v>1532.7</v>
      </c>
      <c r="L44" s="617">
        <v>0.75000000000000011</v>
      </c>
      <c r="M44" s="617">
        <v>170.3</v>
      </c>
      <c r="N44" s="617">
        <v>9</v>
      </c>
      <c r="O44" s="617">
        <v>1532.6999999999998</v>
      </c>
      <c r="P44" s="630">
        <v>0.74999999999999989</v>
      </c>
      <c r="Q44" s="618">
        <v>170.29999999999998</v>
      </c>
    </row>
    <row r="45" spans="1:17" ht="14.4" customHeight="1" x14ac:dyDescent="0.3">
      <c r="A45" s="613" t="s">
        <v>323</v>
      </c>
      <c r="B45" s="614" t="s">
        <v>2520</v>
      </c>
      <c r="C45" s="614" t="s">
        <v>2566</v>
      </c>
      <c r="D45" s="614" t="s">
        <v>2574</v>
      </c>
      <c r="E45" s="614" t="s">
        <v>2575</v>
      </c>
      <c r="F45" s="617"/>
      <c r="G45" s="617"/>
      <c r="H45" s="617"/>
      <c r="I45" s="617"/>
      <c r="J45" s="617"/>
      <c r="K45" s="617"/>
      <c r="L45" s="617"/>
      <c r="M45" s="617"/>
      <c r="N45" s="617">
        <v>1</v>
      </c>
      <c r="O45" s="617">
        <v>96.6</v>
      </c>
      <c r="P45" s="630"/>
      <c r="Q45" s="618">
        <v>96.6</v>
      </c>
    </row>
    <row r="46" spans="1:17" ht="14.4" customHeight="1" x14ac:dyDescent="0.3">
      <c r="A46" s="613" t="s">
        <v>323</v>
      </c>
      <c r="B46" s="614" t="s">
        <v>2520</v>
      </c>
      <c r="C46" s="614" t="s">
        <v>2566</v>
      </c>
      <c r="D46" s="614" t="s">
        <v>2576</v>
      </c>
      <c r="E46" s="614" t="s">
        <v>2577</v>
      </c>
      <c r="F46" s="617">
        <v>2</v>
      </c>
      <c r="G46" s="617">
        <v>312.98</v>
      </c>
      <c r="H46" s="617">
        <v>1</v>
      </c>
      <c r="I46" s="617">
        <v>156.49</v>
      </c>
      <c r="J46" s="617"/>
      <c r="K46" s="617"/>
      <c r="L46" s="617"/>
      <c r="M46" s="617"/>
      <c r="N46" s="617"/>
      <c r="O46" s="617"/>
      <c r="P46" s="630"/>
      <c r="Q46" s="618"/>
    </row>
    <row r="47" spans="1:17" ht="14.4" customHeight="1" x14ac:dyDescent="0.3">
      <c r="A47" s="613" t="s">
        <v>323</v>
      </c>
      <c r="B47" s="614" t="s">
        <v>2520</v>
      </c>
      <c r="C47" s="614" t="s">
        <v>2566</v>
      </c>
      <c r="D47" s="614" t="s">
        <v>2578</v>
      </c>
      <c r="E47" s="614" t="s">
        <v>2579</v>
      </c>
      <c r="F47" s="617">
        <v>72</v>
      </c>
      <c r="G47" s="617">
        <v>11267.279999999999</v>
      </c>
      <c r="H47" s="617">
        <v>1</v>
      </c>
      <c r="I47" s="617">
        <v>156.48999999999998</v>
      </c>
      <c r="J47" s="617">
        <v>53</v>
      </c>
      <c r="K47" s="617">
        <v>8293.9700000000012</v>
      </c>
      <c r="L47" s="617">
        <v>0.73611111111111127</v>
      </c>
      <c r="M47" s="617">
        <v>156.49</v>
      </c>
      <c r="N47" s="617">
        <v>103</v>
      </c>
      <c r="O47" s="617">
        <v>16118.47</v>
      </c>
      <c r="P47" s="630">
        <v>1.4305555555555556</v>
      </c>
      <c r="Q47" s="618">
        <v>156.48999999999998</v>
      </c>
    </row>
    <row r="48" spans="1:17" ht="14.4" customHeight="1" x14ac:dyDescent="0.3">
      <c r="A48" s="613" t="s">
        <v>323</v>
      </c>
      <c r="B48" s="614" t="s">
        <v>2520</v>
      </c>
      <c r="C48" s="614" t="s">
        <v>2566</v>
      </c>
      <c r="D48" s="614" t="s">
        <v>2580</v>
      </c>
      <c r="E48" s="614" t="s">
        <v>2579</v>
      </c>
      <c r="F48" s="617">
        <v>55</v>
      </c>
      <c r="G48" s="617">
        <v>9462.1999999999989</v>
      </c>
      <c r="H48" s="617">
        <v>1</v>
      </c>
      <c r="I48" s="617">
        <v>172.04</v>
      </c>
      <c r="J48" s="617">
        <v>82</v>
      </c>
      <c r="K48" s="617">
        <v>14107.279999999999</v>
      </c>
      <c r="L48" s="617">
        <v>1.490909090909091</v>
      </c>
      <c r="M48" s="617">
        <v>172.04</v>
      </c>
      <c r="N48" s="617">
        <v>61</v>
      </c>
      <c r="O48" s="617">
        <v>10494.44</v>
      </c>
      <c r="P48" s="630">
        <v>1.1090909090909093</v>
      </c>
      <c r="Q48" s="618">
        <v>172.04000000000002</v>
      </c>
    </row>
    <row r="49" spans="1:17" ht="14.4" customHeight="1" x14ac:dyDescent="0.3">
      <c r="A49" s="613" t="s">
        <v>323</v>
      </c>
      <c r="B49" s="614" t="s">
        <v>2520</v>
      </c>
      <c r="C49" s="614" t="s">
        <v>2566</v>
      </c>
      <c r="D49" s="614" t="s">
        <v>2581</v>
      </c>
      <c r="E49" s="614" t="s">
        <v>2579</v>
      </c>
      <c r="F49" s="617">
        <v>2</v>
      </c>
      <c r="G49" s="617">
        <v>393.82</v>
      </c>
      <c r="H49" s="617">
        <v>1</v>
      </c>
      <c r="I49" s="617">
        <v>196.91</v>
      </c>
      <c r="J49" s="617">
        <v>14</v>
      </c>
      <c r="K49" s="617">
        <v>2756.74</v>
      </c>
      <c r="L49" s="617">
        <v>7</v>
      </c>
      <c r="M49" s="617">
        <v>196.91</v>
      </c>
      <c r="N49" s="617">
        <v>6</v>
      </c>
      <c r="O49" s="617">
        <v>1181.46</v>
      </c>
      <c r="P49" s="630">
        <v>3</v>
      </c>
      <c r="Q49" s="618">
        <v>196.91</v>
      </c>
    </row>
    <row r="50" spans="1:17" ht="14.4" customHeight="1" x14ac:dyDescent="0.3">
      <c r="A50" s="613" t="s">
        <v>323</v>
      </c>
      <c r="B50" s="614" t="s">
        <v>2520</v>
      </c>
      <c r="C50" s="614" t="s">
        <v>2566</v>
      </c>
      <c r="D50" s="614" t="s">
        <v>2582</v>
      </c>
      <c r="E50" s="614" t="s">
        <v>2579</v>
      </c>
      <c r="F50" s="617"/>
      <c r="G50" s="617"/>
      <c r="H50" s="617"/>
      <c r="I50" s="617"/>
      <c r="J50" s="617"/>
      <c r="K50" s="617"/>
      <c r="L50" s="617"/>
      <c r="M50" s="617"/>
      <c r="N50" s="617">
        <v>2</v>
      </c>
      <c r="O50" s="617">
        <v>625.96</v>
      </c>
      <c r="P50" s="630"/>
      <c r="Q50" s="618">
        <v>312.98</v>
      </c>
    </row>
    <row r="51" spans="1:17" ht="14.4" customHeight="1" x14ac:dyDescent="0.3">
      <c r="A51" s="613" t="s">
        <v>323</v>
      </c>
      <c r="B51" s="614" t="s">
        <v>2520</v>
      </c>
      <c r="C51" s="614" t="s">
        <v>2566</v>
      </c>
      <c r="D51" s="614" t="s">
        <v>2583</v>
      </c>
      <c r="E51" s="614" t="s">
        <v>2579</v>
      </c>
      <c r="F51" s="617">
        <v>5</v>
      </c>
      <c r="G51" s="617">
        <v>1564.9</v>
      </c>
      <c r="H51" s="617">
        <v>1</v>
      </c>
      <c r="I51" s="617">
        <v>312.98</v>
      </c>
      <c r="J51" s="617"/>
      <c r="K51" s="617"/>
      <c r="L51" s="617"/>
      <c r="M51" s="617"/>
      <c r="N51" s="617">
        <v>6</v>
      </c>
      <c r="O51" s="617">
        <v>1877.88</v>
      </c>
      <c r="P51" s="630">
        <v>1.2</v>
      </c>
      <c r="Q51" s="618">
        <v>312.98</v>
      </c>
    </row>
    <row r="52" spans="1:17" ht="14.4" customHeight="1" x14ac:dyDescent="0.3">
      <c r="A52" s="613" t="s">
        <v>323</v>
      </c>
      <c r="B52" s="614" t="s">
        <v>2520</v>
      </c>
      <c r="C52" s="614" t="s">
        <v>2566</v>
      </c>
      <c r="D52" s="614" t="s">
        <v>2584</v>
      </c>
      <c r="E52" s="614" t="s">
        <v>2579</v>
      </c>
      <c r="F52" s="617">
        <v>19</v>
      </c>
      <c r="G52" s="617">
        <v>7128.04</v>
      </c>
      <c r="H52" s="617">
        <v>1</v>
      </c>
      <c r="I52" s="617">
        <v>375.16</v>
      </c>
      <c r="J52" s="617">
        <v>23</v>
      </c>
      <c r="K52" s="617">
        <v>8628.68</v>
      </c>
      <c r="L52" s="617">
        <v>1.2105263157894737</v>
      </c>
      <c r="M52" s="617">
        <v>375.16</v>
      </c>
      <c r="N52" s="617">
        <v>20</v>
      </c>
      <c r="O52" s="617">
        <v>7503.2</v>
      </c>
      <c r="P52" s="630">
        <v>1.0526315789473684</v>
      </c>
      <c r="Q52" s="618">
        <v>375.15999999999997</v>
      </c>
    </row>
    <row r="53" spans="1:17" ht="14.4" customHeight="1" x14ac:dyDescent="0.3">
      <c r="A53" s="613" t="s">
        <v>323</v>
      </c>
      <c r="B53" s="614" t="s">
        <v>2520</v>
      </c>
      <c r="C53" s="614" t="s">
        <v>2566</v>
      </c>
      <c r="D53" s="614" t="s">
        <v>2585</v>
      </c>
      <c r="E53" s="614" t="s">
        <v>2579</v>
      </c>
      <c r="F53" s="617">
        <v>5</v>
      </c>
      <c r="G53" s="617">
        <v>2093.4499999999998</v>
      </c>
      <c r="H53" s="617">
        <v>1</v>
      </c>
      <c r="I53" s="617">
        <v>418.68999999999994</v>
      </c>
      <c r="J53" s="617">
        <v>3</v>
      </c>
      <c r="K53" s="617">
        <v>1256.07</v>
      </c>
      <c r="L53" s="617">
        <v>0.6</v>
      </c>
      <c r="M53" s="617">
        <v>418.69</v>
      </c>
      <c r="N53" s="617">
        <v>1</v>
      </c>
      <c r="O53" s="617">
        <v>418.69</v>
      </c>
      <c r="P53" s="630">
        <v>0.2</v>
      </c>
      <c r="Q53" s="618">
        <v>418.69</v>
      </c>
    </row>
    <row r="54" spans="1:17" ht="14.4" customHeight="1" x14ac:dyDescent="0.3">
      <c r="A54" s="613" t="s">
        <v>323</v>
      </c>
      <c r="B54" s="614" t="s">
        <v>2520</v>
      </c>
      <c r="C54" s="614" t="s">
        <v>2566</v>
      </c>
      <c r="D54" s="614" t="s">
        <v>2586</v>
      </c>
      <c r="E54" s="614" t="s">
        <v>2579</v>
      </c>
      <c r="F54" s="617">
        <v>1</v>
      </c>
      <c r="G54" s="617">
        <v>536.84</v>
      </c>
      <c r="H54" s="617">
        <v>1</v>
      </c>
      <c r="I54" s="617">
        <v>536.84</v>
      </c>
      <c r="J54" s="617"/>
      <c r="K54" s="617"/>
      <c r="L54" s="617"/>
      <c r="M54" s="617"/>
      <c r="N54" s="617">
        <v>2</v>
      </c>
      <c r="O54" s="617">
        <v>1073.68</v>
      </c>
      <c r="P54" s="630">
        <v>2</v>
      </c>
      <c r="Q54" s="618">
        <v>536.84</v>
      </c>
    </row>
    <row r="55" spans="1:17" ht="14.4" customHeight="1" x14ac:dyDescent="0.3">
      <c r="A55" s="613" t="s">
        <v>323</v>
      </c>
      <c r="B55" s="614" t="s">
        <v>2520</v>
      </c>
      <c r="C55" s="614" t="s">
        <v>2566</v>
      </c>
      <c r="D55" s="614" t="s">
        <v>2587</v>
      </c>
      <c r="E55" s="614" t="s">
        <v>2579</v>
      </c>
      <c r="F55" s="617"/>
      <c r="G55" s="617"/>
      <c r="H55" s="617"/>
      <c r="I55" s="617"/>
      <c r="J55" s="617"/>
      <c r="K55" s="617"/>
      <c r="L55" s="617"/>
      <c r="M55" s="617"/>
      <c r="N55" s="617">
        <v>2</v>
      </c>
      <c r="O55" s="617">
        <v>835.3</v>
      </c>
      <c r="P55" s="630"/>
      <c r="Q55" s="618">
        <v>417.65</v>
      </c>
    </row>
    <row r="56" spans="1:17" ht="14.4" customHeight="1" x14ac:dyDescent="0.3">
      <c r="A56" s="613" t="s">
        <v>323</v>
      </c>
      <c r="B56" s="614" t="s">
        <v>2520</v>
      </c>
      <c r="C56" s="614" t="s">
        <v>2566</v>
      </c>
      <c r="D56" s="614" t="s">
        <v>2588</v>
      </c>
      <c r="E56" s="614" t="s">
        <v>2579</v>
      </c>
      <c r="F56" s="617">
        <v>1</v>
      </c>
      <c r="G56" s="617">
        <v>519.22</v>
      </c>
      <c r="H56" s="617">
        <v>1</v>
      </c>
      <c r="I56" s="617">
        <v>519.22</v>
      </c>
      <c r="J56" s="617"/>
      <c r="K56" s="617"/>
      <c r="L56" s="617"/>
      <c r="M56" s="617"/>
      <c r="N56" s="617">
        <v>2</v>
      </c>
      <c r="O56" s="617">
        <v>1038.44</v>
      </c>
      <c r="P56" s="630">
        <v>2</v>
      </c>
      <c r="Q56" s="618">
        <v>519.22</v>
      </c>
    </row>
    <row r="57" spans="1:17" ht="14.4" customHeight="1" x14ac:dyDescent="0.3">
      <c r="A57" s="613" t="s">
        <v>323</v>
      </c>
      <c r="B57" s="614" t="s">
        <v>2520</v>
      </c>
      <c r="C57" s="614" t="s">
        <v>2566</v>
      </c>
      <c r="D57" s="614" t="s">
        <v>2589</v>
      </c>
      <c r="E57" s="614" t="s">
        <v>2590</v>
      </c>
      <c r="F57" s="617"/>
      <c r="G57" s="617"/>
      <c r="H57" s="617"/>
      <c r="I57" s="617"/>
      <c r="J57" s="617">
        <v>12</v>
      </c>
      <c r="K57" s="617">
        <v>2064.48</v>
      </c>
      <c r="L57" s="617"/>
      <c r="M57" s="617">
        <v>172.04</v>
      </c>
      <c r="N57" s="617">
        <v>7</v>
      </c>
      <c r="O57" s="617">
        <v>1204.28</v>
      </c>
      <c r="P57" s="630"/>
      <c r="Q57" s="618">
        <v>172.04</v>
      </c>
    </row>
    <row r="58" spans="1:17" ht="14.4" customHeight="1" x14ac:dyDescent="0.3">
      <c r="A58" s="613" t="s">
        <v>323</v>
      </c>
      <c r="B58" s="614" t="s">
        <v>2520</v>
      </c>
      <c r="C58" s="614" t="s">
        <v>2566</v>
      </c>
      <c r="D58" s="614" t="s">
        <v>2591</v>
      </c>
      <c r="E58" s="614" t="s">
        <v>2590</v>
      </c>
      <c r="F58" s="617"/>
      <c r="G58" s="617"/>
      <c r="H58" s="617"/>
      <c r="I58" s="617"/>
      <c r="J58" s="617">
        <v>3</v>
      </c>
      <c r="K58" s="617">
        <v>590.73</v>
      </c>
      <c r="L58" s="617"/>
      <c r="M58" s="617">
        <v>196.91</v>
      </c>
      <c r="N58" s="617">
        <v>1</v>
      </c>
      <c r="O58" s="617">
        <v>196.91</v>
      </c>
      <c r="P58" s="630"/>
      <c r="Q58" s="618">
        <v>196.91</v>
      </c>
    </row>
    <row r="59" spans="1:17" ht="14.4" customHeight="1" x14ac:dyDescent="0.3">
      <c r="A59" s="613" t="s">
        <v>323</v>
      </c>
      <c r="B59" s="614" t="s">
        <v>2520</v>
      </c>
      <c r="C59" s="614" t="s">
        <v>2566</v>
      </c>
      <c r="D59" s="614" t="s">
        <v>2592</v>
      </c>
      <c r="E59" s="614" t="s">
        <v>2590</v>
      </c>
      <c r="F59" s="617"/>
      <c r="G59" s="617"/>
      <c r="H59" s="617"/>
      <c r="I59" s="617"/>
      <c r="J59" s="617">
        <v>1</v>
      </c>
      <c r="K59" s="617">
        <v>2370.16</v>
      </c>
      <c r="L59" s="617"/>
      <c r="M59" s="617">
        <v>2370.16</v>
      </c>
      <c r="N59" s="617">
        <v>2</v>
      </c>
      <c r="O59" s="617">
        <v>4740.32</v>
      </c>
      <c r="P59" s="630"/>
      <c r="Q59" s="618">
        <v>2370.16</v>
      </c>
    </row>
    <row r="60" spans="1:17" ht="14.4" customHeight="1" x14ac:dyDescent="0.3">
      <c r="A60" s="613" t="s">
        <v>323</v>
      </c>
      <c r="B60" s="614" t="s">
        <v>2520</v>
      </c>
      <c r="C60" s="614" t="s">
        <v>2566</v>
      </c>
      <c r="D60" s="614" t="s">
        <v>2593</v>
      </c>
      <c r="E60" s="614" t="s">
        <v>2590</v>
      </c>
      <c r="F60" s="617"/>
      <c r="G60" s="617"/>
      <c r="H60" s="617"/>
      <c r="I60" s="617"/>
      <c r="J60" s="617">
        <v>1</v>
      </c>
      <c r="K60" s="617">
        <v>4349.62</v>
      </c>
      <c r="L60" s="617"/>
      <c r="M60" s="617">
        <v>4349.62</v>
      </c>
      <c r="N60" s="617"/>
      <c r="O60" s="617"/>
      <c r="P60" s="630"/>
      <c r="Q60" s="618"/>
    </row>
    <row r="61" spans="1:17" ht="14.4" customHeight="1" x14ac:dyDescent="0.3">
      <c r="A61" s="613" t="s">
        <v>323</v>
      </c>
      <c r="B61" s="614" t="s">
        <v>2520</v>
      </c>
      <c r="C61" s="614" t="s">
        <v>2566</v>
      </c>
      <c r="D61" s="614" t="s">
        <v>2594</v>
      </c>
      <c r="E61" s="614" t="s">
        <v>2595</v>
      </c>
      <c r="F61" s="617"/>
      <c r="G61" s="617"/>
      <c r="H61" s="617"/>
      <c r="I61" s="617"/>
      <c r="J61" s="617"/>
      <c r="K61" s="617"/>
      <c r="L61" s="617"/>
      <c r="M61" s="617"/>
      <c r="N61" s="617">
        <v>5</v>
      </c>
      <c r="O61" s="617">
        <v>2815</v>
      </c>
      <c r="P61" s="630"/>
      <c r="Q61" s="618">
        <v>563</v>
      </c>
    </row>
    <row r="62" spans="1:17" ht="14.4" customHeight="1" x14ac:dyDescent="0.3">
      <c r="A62" s="613" t="s">
        <v>323</v>
      </c>
      <c r="B62" s="614" t="s">
        <v>2520</v>
      </c>
      <c r="C62" s="614" t="s">
        <v>2566</v>
      </c>
      <c r="D62" s="614" t="s">
        <v>2596</v>
      </c>
      <c r="E62" s="614" t="s">
        <v>2577</v>
      </c>
      <c r="F62" s="617">
        <v>2</v>
      </c>
      <c r="G62" s="617">
        <v>362.72</v>
      </c>
      <c r="H62" s="617">
        <v>1</v>
      </c>
      <c r="I62" s="617">
        <v>181.36</v>
      </c>
      <c r="J62" s="617"/>
      <c r="K62" s="617"/>
      <c r="L62" s="617"/>
      <c r="M62" s="617"/>
      <c r="N62" s="617"/>
      <c r="O62" s="617"/>
      <c r="P62" s="630"/>
      <c r="Q62" s="618"/>
    </row>
    <row r="63" spans="1:17" ht="14.4" customHeight="1" x14ac:dyDescent="0.3">
      <c r="A63" s="613" t="s">
        <v>323</v>
      </c>
      <c r="B63" s="614" t="s">
        <v>2520</v>
      </c>
      <c r="C63" s="614" t="s">
        <v>2566</v>
      </c>
      <c r="D63" s="614" t="s">
        <v>2597</v>
      </c>
      <c r="E63" s="614" t="s">
        <v>2577</v>
      </c>
      <c r="F63" s="617">
        <v>1</v>
      </c>
      <c r="G63" s="617">
        <v>299.51</v>
      </c>
      <c r="H63" s="617">
        <v>1</v>
      </c>
      <c r="I63" s="617">
        <v>299.51</v>
      </c>
      <c r="J63" s="617"/>
      <c r="K63" s="617"/>
      <c r="L63" s="617"/>
      <c r="M63" s="617"/>
      <c r="N63" s="617"/>
      <c r="O63" s="617"/>
      <c r="P63" s="630"/>
      <c r="Q63" s="618"/>
    </row>
    <row r="64" spans="1:17" ht="14.4" customHeight="1" x14ac:dyDescent="0.3">
      <c r="A64" s="613" t="s">
        <v>323</v>
      </c>
      <c r="B64" s="614" t="s">
        <v>2520</v>
      </c>
      <c r="C64" s="614" t="s">
        <v>2566</v>
      </c>
      <c r="D64" s="614" t="s">
        <v>2598</v>
      </c>
      <c r="E64" s="614" t="s">
        <v>2599</v>
      </c>
      <c r="F64" s="617"/>
      <c r="G64" s="617"/>
      <c r="H64" s="617"/>
      <c r="I64" s="617"/>
      <c r="J64" s="617">
        <v>2</v>
      </c>
      <c r="K64" s="617">
        <v>31114</v>
      </c>
      <c r="L64" s="617"/>
      <c r="M64" s="617">
        <v>15557</v>
      </c>
      <c r="N64" s="617"/>
      <c r="O64" s="617"/>
      <c r="P64" s="630"/>
      <c r="Q64" s="618"/>
    </row>
    <row r="65" spans="1:17" ht="14.4" customHeight="1" x14ac:dyDescent="0.3">
      <c r="A65" s="613" t="s">
        <v>323</v>
      </c>
      <c r="B65" s="614" t="s">
        <v>2520</v>
      </c>
      <c r="C65" s="614" t="s">
        <v>2566</v>
      </c>
      <c r="D65" s="614" t="s">
        <v>2600</v>
      </c>
      <c r="E65" s="614" t="s">
        <v>2577</v>
      </c>
      <c r="F65" s="617"/>
      <c r="G65" s="617"/>
      <c r="H65" s="617"/>
      <c r="I65" s="617"/>
      <c r="J65" s="617"/>
      <c r="K65" s="617"/>
      <c r="L65" s="617"/>
      <c r="M65" s="617"/>
      <c r="N65" s="617">
        <v>6</v>
      </c>
      <c r="O65" s="617">
        <v>1181.46</v>
      </c>
      <c r="P65" s="630"/>
      <c r="Q65" s="618">
        <v>196.91</v>
      </c>
    </row>
    <row r="66" spans="1:17" ht="14.4" customHeight="1" x14ac:dyDescent="0.3">
      <c r="A66" s="613" t="s">
        <v>323</v>
      </c>
      <c r="B66" s="614" t="s">
        <v>2520</v>
      </c>
      <c r="C66" s="614" t="s">
        <v>2566</v>
      </c>
      <c r="D66" s="614" t="s">
        <v>2601</v>
      </c>
      <c r="E66" s="614" t="s">
        <v>2577</v>
      </c>
      <c r="F66" s="617"/>
      <c r="G66" s="617"/>
      <c r="H66" s="617"/>
      <c r="I66" s="617"/>
      <c r="J66" s="617"/>
      <c r="K66" s="617"/>
      <c r="L66" s="617"/>
      <c r="M66" s="617"/>
      <c r="N66" s="617">
        <v>1</v>
      </c>
      <c r="O66" s="617">
        <v>1356.6</v>
      </c>
      <c r="P66" s="630"/>
      <c r="Q66" s="618">
        <v>1356.6</v>
      </c>
    </row>
    <row r="67" spans="1:17" ht="14.4" customHeight="1" x14ac:dyDescent="0.3">
      <c r="A67" s="613" t="s">
        <v>323</v>
      </c>
      <c r="B67" s="614" t="s">
        <v>2520</v>
      </c>
      <c r="C67" s="614" t="s">
        <v>2566</v>
      </c>
      <c r="D67" s="614" t="s">
        <v>2602</v>
      </c>
      <c r="E67" s="614" t="s">
        <v>2579</v>
      </c>
      <c r="F67" s="617"/>
      <c r="G67" s="617"/>
      <c r="H67" s="617"/>
      <c r="I67" s="617"/>
      <c r="J67" s="617"/>
      <c r="K67" s="617"/>
      <c r="L67" s="617"/>
      <c r="M67" s="617"/>
      <c r="N67" s="617">
        <v>2</v>
      </c>
      <c r="O67" s="617">
        <v>315.06</v>
      </c>
      <c r="P67" s="630"/>
      <c r="Q67" s="618">
        <v>157.53</v>
      </c>
    </row>
    <row r="68" spans="1:17" ht="14.4" customHeight="1" x14ac:dyDescent="0.3">
      <c r="A68" s="613" t="s">
        <v>323</v>
      </c>
      <c r="B68" s="614" t="s">
        <v>2520</v>
      </c>
      <c r="C68" s="614" t="s">
        <v>2566</v>
      </c>
      <c r="D68" s="614" t="s">
        <v>2603</v>
      </c>
      <c r="E68" s="614" t="s">
        <v>2604</v>
      </c>
      <c r="F68" s="617"/>
      <c r="G68" s="617"/>
      <c r="H68" s="617"/>
      <c r="I68" s="617"/>
      <c r="J68" s="617"/>
      <c r="K68" s="617"/>
      <c r="L68" s="617"/>
      <c r="M68" s="617"/>
      <c r="N68" s="617">
        <v>5</v>
      </c>
      <c r="O68" s="617">
        <v>1243.6500000000001</v>
      </c>
      <c r="P68" s="630"/>
      <c r="Q68" s="618">
        <v>248.73000000000002</v>
      </c>
    </row>
    <row r="69" spans="1:17" ht="14.4" customHeight="1" x14ac:dyDescent="0.3">
      <c r="A69" s="613" t="s">
        <v>323</v>
      </c>
      <c r="B69" s="614" t="s">
        <v>2520</v>
      </c>
      <c r="C69" s="614" t="s">
        <v>2566</v>
      </c>
      <c r="D69" s="614" t="s">
        <v>2605</v>
      </c>
      <c r="E69" s="614" t="s">
        <v>2590</v>
      </c>
      <c r="F69" s="617"/>
      <c r="G69" s="617"/>
      <c r="H69" s="617"/>
      <c r="I69" s="617"/>
      <c r="J69" s="617"/>
      <c r="K69" s="617"/>
      <c r="L69" s="617"/>
      <c r="M69" s="617"/>
      <c r="N69" s="617">
        <v>1</v>
      </c>
      <c r="O69" s="617">
        <v>195.87</v>
      </c>
      <c r="P69" s="630"/>
      <c r="Q69" s="618">
        <v>195.87</v>
      </c>
    </row>
    <row r="70" spans="1:17" ht="14.4" customHeight="1" x14ac:dyDescent="0.3">
      <c r="A70" s="613" t="s">
        <v>323</v>
      </c>
      <c r="B70" s="614" t="s">
        <v>2520</v>
      </c>
      <c r="C70" s="614" t="s">
        <v>2357</v>
      </c>
      <c r="D70" s="614" t="s">
        <v>2606</v>
      </c>
      <c r="E70" s="614"/>
      <c r="F70" s="617"/>
      <c r="G70" s="617"/>
      <c r="H70" s="617"/>
      <c r="I70" s="617"/>
      <c r="J70" s="617"/>
      <c r="K70" s="617"/>
      <c r="L70" s="617"/>
      <c r="M70" s="617"/>
      <c r="N70" s="617">
        <v>1</v>
      </c>
      <c r="O70" s="617">
        <v>1107</v>
      </c>
      <c r="P70" s="630"/>
      <c r="Q70" s="618">
        <v>1107</v>
      </c>
    </row>
    <row r="71" spans="1:17" ht="14.4" customHeight="1" x14ac:dyDescent="0.3">
      <c r="A71" s="613" t="s">
        <v>323</v>
      </c>
      <c r="B71" s="614" t="s">
        <v>2520</v>
      </c>
      <c r="C71" s="614" t="s">
        <v>2357</v>
      </c>
      <c r="D71" s="614" t="s">
        <v>2607</v>
      </c>
      <c r="E71" s="614"/>
      <c r="F71" s="617"/>
      <c r="G71" s="617"/>
      <c r="H71" s="617"/>
      <c r="I71" s="617"/>
      <c r="J71" s="617"/>
      <c r="K71" s="617"/>
      <c r="L71" s="617"/>
      <c r="M71" s="617"/>
      <c r="N71" s="617">
        <v>4</v>
      </c>
      <c r="O71" s="617">
        <v>2812</v>
      </c>
      <c r="P71" s="630"/>
      <c r="Q71" s="618">
        <v>703</v>
      </c>
    </row>
    <row r="72" spans="1:17" ht="14.4" customHeight="1" x14ac:dyDescent="0.3">
      <c r="A72" s="613" t="s">
        <v>323</v>
      </c>
      <c r="B72" s="614" t="s">
        <v>2520</v>
      </c>
      <c r="C72" s="614" t="s">
        <v>2380</v>
      </c>
      <c r="D72" s="614" t="s">
        <v>2608</v>
      </c>
      <c r="E72" s="614" t="s">
        <v>2609</v>
      </c>
      <c r="F72" s="617">
        <v>2</v>
      </c>
      <c r="G72" s="617">
        <v>142</v>
      </c>
      <c r="H72" s="617">
        <v>1</v>
      </c>
      <c r="I72" s="617">
        <v>71</v>
      </c>
      <c r="J72" s="617">
        <v>2</v>
      </c>
      <c r="K72" s="617">
        <v>143</v>
      </c>
      <c r="L72" s="617">
        <v>1.0070422535211268</v>
      </c>
      <c r="M72" s="617">
        <v>71.5</v>
      </c>
      <c r="N72" s="617">
        <v>1</v>
      </c>
      <c r="O72" s="617">
        <v>72</v>
      </c>
      <c r="P72" s="630">
        <v>0.50704225352112675</v>
      </c>
      <c r="Q72" s="618">
        <v>72</v>
      </c>
    </row>
    <row r="73" spans="1:17" ht="14.4" customHeight="1" x14ac:dyDescent="0.3">
      <c r="A73" s="613" t="s">
        <v>323</v>
      </c>
      <c r="B73" s="614" t="s">
        <v>2520</v>
      </c>
      <c r="C73" s="614" t="s">
        <v>2380</v>
      </c>
      <c r="D73" s="614" t="s">
        <v>2610</v>
      </c>
      <c r="E73" s="614" t="s">
        <v>2417</v>
      </c>
      <c r="F73" s="617">
        <v>59</v>
      </c>
      <c r="G73" s="617">
        <v>16339</v>
      </c>
      <c r="H73" s="617">
        <v>1</v>
      </c>
      <c r="I73" s="617">
        <v>276.93220338983053</v>
      </c>
      <c r="J73" s="617">
        <v>56</v>
      </c>
      <c r="K73" s="617">
        <v>15024</v>
      </c>
      <c r="L73" s="617">
        <v>0.91951771834261586</v>
      </c>
      <c r="M73" s="617">
        <v>268.28571428571428</v>
      </c>
      <c r="N73" s="617">
        <v>65</v>
      </c>
      <c r="O73" s="617">
        <v>18330</v>
      </c>
      <c r="P73" s="630">
        <v>1.1218556827223207</v>
      </c>
      <c r="Q73" s="618">
        <v>282</v>
      </c>
    </row>
    <row r="74" spans="1:17" ht="14.4" customHeight="1" x14ac:dyDescent="0.3">
      <c r="A74" s="613" t="s">
        <v>323</v>
      </c>
      <c r="B74" s="614" t="s">
        <v>2520</v>
      </c>
      <c r="C74" s="614" t="s">
        <v>2380</v>
      </c>
      <c r="D74" s="614" t="s">
        <v>2611</v>
      </c>
      <c r="E74" s="614" t="s">
        <v>2427</v>
      </c>
      <c r="F74" s="617">
        <v>65</v>
      </c>
      <c r="G74" s="617">
        <v>4938</v>
      </c>
      <c r="H74" s="617">
        <v>1</v>
      </c>
      <c r="I74" s="617">
        <v>75.969230769230762</v>
      </c>
      <c r="J74" s="617">
        <v>86</v>
      </c>
      <c r="K74" s="617">
        <v>6262</v>
      </c>
      <c r="L74" s="617">
        <v>1.2681247468610775</v>
      </c>
      <c r="M74" s="617">
        <v>72.813953488372093</v>
      </c>
      <c r="N74" s="617">
        <v>152</v>
      </c>
      <c r="O74" s="617">
        <v>11856</v>
      </c>
      <c r="P74" s="630">
        <v>2.4009720534629406</v>
      </c>
      <c r="Q74" s="618">
        <v>78</v>
      </c>
    </row>
    <row r="75" spans="1:17" ht="14.4" customHeight="1" x14ac:dyDescent="0.3">
      <c r="A75" s="613" t="s">
        <v>323</v>
      </c>
      <c r="B75" s="614" t="s">
        <v>2520</v>
      </c>
      <c r="C75" s="614" t="s">
        <v>2380</v>
      </c>
      <c r="D75" s="614" t="s">
        <v>2612</v>
      </c>
      <c r="E75" s="614" t="s">
        <v>2613</v>
      </c>
      <c r="F75" s="617">
        <v>127</v>
      </c>
      <c r="G75" s="617">
        <v>16256</v>
      </c>
      <c r="H75" s="617">
        <v>1</v>
      </c>
      <c r="I75" s="617">
        <v>128</v>
      </c>
      <c r="J75" s="617">
        <v>156</v>
      </c>
      <c r="K75" s="617">
        <v>20084</v>
      </c>
      <c r="L75" s="617">
        <v>1.2354822834645669</v>
      </c>
      <c r="M75" s="617">
        <v>128.74358974358975</v>
      </c>
      <c r="N75" s="617">
        <v>185</v>
      </c>
      <c r="O75" s="617">
        <v>24050</v>
      </c>
      <c r="P75" s="630">
        <v>1.4794537401574803</v>
      </c>
      <c r="Q75" s="618">
        <v>130</v>
      </c>
    </row>
    <row r="76" spans="1:17" ht="14.4" customHeight="1" x14ac:dyDescent="0.3">
      <c r="A76" s="613" t="s">
        <v>323</v>
      </c>
      <c r="B76" s="614" t="s">
        <v>2520</v>
      </c>
      <c r="C76" s="614" t="s">
        <v>2380</v>
      </c>
      <c r="D76" s="614" t="s">
        <v>2475</v>
      </c>
      <c r="E76" s="614" t="s">
        <v>2476</v>
      </c>
      <c r="F76" s="617">
        <v>136</v>
      </c>
      <c r="G76" s="617">
        <v>12240</v>
      </c>
      <c r="H76" s="617">
        <v>1</v>
      </c>
      <c r="I76" s="617">
        <v>90</v>
      </c>
      <c r="J76" s="617">
        <v>152</v>
      </c>
      <c r="K76" s="617">
        <v>13729</v>
      </c>
      <c r="L76" s="617">
        <v>1.1216503267973856</v>
      </c>
      <c r="M76" s="617">
        <v>90.32236842105263</v>
      </c>
      <c r="N76" s="617">
        <v>168</v>
      </c>
      <c r="O76" s="617">
        <v>15455</v>
      </c>
      <c r="P76" s="630">
        <v>1.2626633986928104</v>
      </c>
      <c r="Q76" s="618">
        <v>91.99404761904762</v>
      </c>
    </row>
    <row r="77" spans="1:17" ht="14.4" customHeight="1" x14ac:dyDescent="0.3">
      <c r="A77" s="613" t="s">
        <v>323</v>
      </c>
      <c r="B77" s="614" t="s">
        <v>2520</v>
      </c>
      <c r="C77" s="614" t="s">
        <v>2380</v>
      </c>
      <c r="D77" s="614" t="s">
        <v>2614</v>
      </c>
      <c r="E77" s="614" t="s">
        <v>2615</v>
      </c>
      <c r="F77" s="617">
        <v>37</v>
      </c>
      <c r="G77" s="617">
        <v>5698</v>
      </c>
      <c r="H77" s="617">
        <v>1</v>
      </c>
      <c r="I77" s="617">
        <v>154</v>
      </c>
      <c r="J77" s="617">
        <v>78</v>
      </c>
      <c r="K77" s="617">
        <v>12066</v>
      </c>
      <c r="L77" s="617">
        <v>2.1175851175851177</v>
      </c>
      <c r="M77" s="617">
        <v>154.69230769230768</v>
      </c>
      <c r="N77" s="617">
        <v>21</v>
      </c>
      <c r="O77" s="617">
        <v>3297</v>
      </c>
      <c r="P77" s="630">
        <v>0.57862407862407861</v>
      </c>
      <c r="Q77" s="618">
        <v>157</v>
      </c>
    </row>
    <row r="78" spans="1:17" ht="14.4" customHeight="1" x14ac:dyDescent="0.3">
      <c r="A78" s="613" t="s">
        <v>323</v>
      </c>
      <c r="B78" s="614" t="s">
        <v>2520</v>
      </c>
      <c r="C78" s="614" t="s">
        <v>2380</v>
      </c>
      <c r="D78" s="614" t="s">
        <v>2616</v>
      </c>
      <c r="E78" s="614" t="s">
        <v>2617</v>
      </c>
      <c r="F78" s="617">
        <v>115</v>
      </c>
      <c r="G78" s="617">
        <v>54740</v>
      </c>
      <c r="H78" s="617">
        <v>1</v>
      </c>
      <c r="I78" s="617">
        <v>476</v>
      </c>
      <c r="J78" s="617">
        <v>141</v>
      </c>
      <c r="K78" s="617">
        <v>67556</v>
      </c>
      <c r="L78" s="617">
        <v>1.2341249543295578</v>
      </c>
      <c r="M78" s="617">
        <v>479.12056737588654</v>
      </c>
      <c r="N78" s="617">
        <v>284</v>
      </c>
      <c r="O78" s="617">
        <v>138308</v>
      </c>
      <c r="P78" s="630">
        <v>2.5266350018268176</v>
      </c>
      <c r="Q78" s="618">
        <v>487</v>
      </c>
    </row>
    <row r="79" spans="1:17" ht="14.4" customHeight="1" x14ac:dyDescent="0.3">
      <c r="A79" s="613" t="s">
        <v>323</v>
      </c>
      <c r="B79" s="614" t="s">
        <v>2520</v>
      </c>
      <c r="C79" s="614" t="s">
        <v>2380</v>
      </c>
      <c r="D79" s="614" t="s">
        <v>2618</v>
      </c>
      <c r="E79" s="614" t="s">
        <v>2619</v>
      </c>
      <c r="F79" s="617">
        <v>25</v>
      </c>
      <c r="G79" s="617">
        <v>23250</v>
      </c>
      <c r="H79" s="617">
        <v>1</v>
      </c>
      <c r="I79" s="617">
        <v>930</v>
      </c>
      <c r="J79" s="617">
        <v>102</v>
      </c>
      <c r="K79" s="617">
        <v>95490</v>
      </c>
      <c r="L79" s="617">
        <v>4.1070967741935487</v>
      </c>
      <c r="M79" s="617">
        <v>936.17647058823525</v>
      </c>
      <c r="N79" s="617">
        <v>46</v>
      </c>
      <c r="O79" s="617">
        <v>43654</v>
      </c>
      <c r="P79" s="630">
        <v>1.8775913978494623</v>
      </c>
      <c r="Q79" s="618">
        <v>949</v>
      </c>
    </row>
    <row r="80" spans="1:17" ht="14.4" customHeight="1" x14ac:dyDescent="0.3">
      <c r="A80" s="613" t="s">
        <v>323</v>
      </c>
      <c r="B80" s="614" t="s">
        <v>2520</v>
      </c>
      <c r="C80" s="614" t="s">
        <v>2380</v>
      </c>
      <c r="D80" s="614" t="s">
        <v>2620</v>
      </c>
      <c r="E80" s="614" t="s">
        <v>2621</v>
      </c>
      <c r="F80" s="617">
        <v>102</v>
      </c>
      <c r="G80" s="617">
        <v>192168</v>
      </c>
      <c r="H80" s="617">
        <v>1</v>
      </c>
      <c r="I80" s="617">
        <v>1884</v>
      </c>
      <c r="J80" s="617">
        <v>133</v>
      </c>
      <c r="K80" s="617">
        <v>248004</v>
      </c>
      <c r="L80" s="617">
        <v>1.290558261521169</v>
      </c>
      <c r="M80" s="617">
        <v>1864.6917293233082</v>
      </c>
      <c r="N80" s="617">
        <v>155</v>
      </c>
      <c r="O80" s="617">
        <v>296360</v>
      </c>
      <c r="P80" s="630">
        <v>1.5421922484492736</v>
      </c>
      <c r="Q80" s="618">
        <v>1912</v>
      </c>
    </row>
    <row r="81" spans="1:17" ht="14.4" customHeight="1" x14ac:dyDescent="0.3">
      <c r="A81" s="613" t="s">
        <v>323</v>
      </c>
      <c r="B81" s="614" t="s">
        <v>2520</v>
      </c>
      <c r="C81" s="614" t="s">
        <v>2380</v>
      </c>
      <c r="D81" s="614" t="s">
        <v>2622</v>
      </c>
      <c r="E81" s="614" t="s">
        <v>2623</v>
      </c>
      <c r="F81" s="617">
        <v>90</v>
      </c>
      <c r="G81" s="617">
        <v>7011</v>
      </c>
      <c r="H81" s="617">
        <v>1</v>
      </c>
      <c r="I81" s="617">
        <v>77.900000000000006</v>
      </c>
      <c r="J81" s="617">
        <v>79</v>
      </c>
      <c r="K81" s="617">
        <v>6210</v>
      </c>
      <c r="L81" s="617">
        <v>0.88575096277278564</v>
      </c>
      <c r="M81" s="617">
        <v>78.607594936708864</v>
      </c>
      <c r="N81" s="617">
        <v>92</v>
      </c>
      <c r="O81" s="617">
        <v>7335</v>
      </c>
      <c r="P81" s="630">
        <v>1.0462130937098844</v>
      </c>
      <c r="Q81" s="618">
        <v>79.728260869565219</v>
      </c>
    </row>
    <row r="82" spans="1:17" ht="14.4" customHeight="1" x14ac:dyDescent="0.3">
      <c r="A82" s="613" t="s">
        <v>323</v>
      </c>
      <c r="B82" s="614" t="s">
        <v>2520</v>
      </c>
      <c r="C82" s="614" t="s">
        <v>2380</v>
      </c>
      <c r="D82" s="614" t="s">
        <v>2624</v>
      </c>
      <c r="E82" s="614" t="s">
        <v>2625</v>
      </c>
      <c r="F82" s="617"/>
      <c r="G82" s="617"/>
      <c r="H82" s="617"/>
      <c r="I82" s="617"/>
      <c r="J82" s="617">
        <v>6</v>
      </c>
      <c r="K82" s="617">
        <v>492</v>
      </c>
      <c r="L82" s="617"/>
      <c r="M82" s="617">
        <v>82</v>
      </c>
      <c r="N82" s="617"/>
      <c r="O82" s="617"/>
      <c r="P82" s="630"/>
      <c r="Q82" s="618"/>
    </row>
    <row r="83" spans="1:17" ht="14.4" customHeight="1" x14ac:dyDescent="0.3">
      <c r="A83" s="613" t="s">
        <v>323</v>
      </c>
      <c r="B83" s="614" t="s">
        <v>2520</v>
      </c>
      <c r="C83" s="614" t="s">
        <v>2380</v>
      </c>
      <c r="D83" s="614" t="s">
        <v>2626</v>
      </c>
      <c r="E83" s="614" t="s">
        <v>2627</v>
      </c>
      <c r="F83" s="617">
        <v>2</v>
      </c>
      <c r="G83" s="617">
        <v>312</v>
      </c>
      <c r="H83" s="617">
        <v>1</v>
      </c>
      <c r="I83" s="617">
        <v>156</v>
      </c>
      <c r="J83" s="617">
        <v>3</v>
      </c>
      <c r="K83" s="617">
        <v>472</v>
      </c>
      <c r="L83" s="617">
        <v>1.5128205128205128</v>
      </c>
      <c r="M83" s="617">
        <v>157.33333333333334</v>
      </c>
      <c r="N83" s="617">
        <v>3</v>
      </c>
      <c r="O83" s="617">
        <v>477</v>
      </c>
      <c r="P83" s="630">
        <v>1.5288461538461537</v>
      </c>
      <c r="Q83" s="618">
        <v>159</v>
      </c>
    </row>
    <row r="84" spans="1:17" ht="14.4" customHeight="1" x14ac:dyDescent="0.3">
      <c r="A84" s="613" t="s">
        <v>323</v>
      </c>
      <c r="B84" s="614" t="s">
        <v>2520</v>
      </c>
      <c r="C84" s="614" t="s">
        <v>2380</v>
      </c>
      <c r="D84" s="614" t="s">
        <v>2477</v>
      </c>
      <c r="E84" s="614" t="s">
        <v>2478</v>
      </c>
      <c r="F84" s="617">
        <v>6</v>
      </c>
      <c r="G84" s="617">
        <v>8154</v>
      </c>
      <c r="H84" s="617">
        <v>1</v>
      </c>
      <c r="I84" s="617">
        <v>1359</v>
      </c>
      <c r="J84" s="617">
        <v>7</v>
      </c>
      <c r="K84" s="617">
        <v>9555</v>
      </c>
      <c r="L84" s="617">
        <v>1.1718175128771156</v>
      </c>
      <c r="M84" s="617">
        <v>1365</v>
      </c>
      <c r="N84" s="617">
        <v>13</v>
      </c>
      <c r="O84" s="617">
        <v>17914</v>
      </c>
      <c r="P84" s="630">
        <v>2.1969585479519256</v>
      </c>
      <c r="Q84" s="618">
        <v>1378</v>
      </c>
    </row>
    <row r="85" spans="1:17" ht="14.4" customHeight="1" x14ac:dyDescent="0.3">
      <c r="A85" s="613" t="s">
        <v>323</v>
      </c>
      <c r="B85" s="614" t="s">
        <v>2520</v>
      </c>
      <c r="C85" s="614" t="s">
        <v>2380</v>
      </c>
      <c r="D85" s="614" t="s">
        <v>2628</v>
      </c>
      <c r="E85" s="614" t="s">
        <v>2629</v>
      </c>
      <c r="F85" s="617">
        <v>11</v>
      </c>
      <c r="G85" s="617">
        <v>11143</v>
      </c>
      <c r="H85" s="617">
        <v>1</v>
      </c>
      <c r="I85" s="617">
        <v>1013</v>
      </c>
      <c r="J85" s="617">
        <v>9</v>
      </c>
      <c r="K85" s="617">
        <v>9137</v>
      </c>
      <c r="L85" s="617">
        <v>0.81997666696580818</v>
      </c>
      <c r="M85" s="617">
        <v>1015.2222222222222</v>
      </c>
      <c r="N85" s="617">
        <v>6</v>
      </c>
      <c r="O85" s="617">
        <v>6168</v>
      </c>
      <c r="P85" s="630">
        <v>0.55353136498250022</v>
      </c>
      <c r="Q85" s="618">
        <v>1028</v>
      </c>
    </row>
    <row r="86" spans="1:17" ht="14.4" customHeight="1" x14ac:dyDescent="0.3">
      <c r="A86" s="613" t="s">
        <v>323</v>
      </c>
      <c r="B86" s="614" t="s">
        <v>2520</v>
      </c>
      <c r="C86" s="614" t="s">
        <v>2380</v>
      </c>
      <c r="D86" s="614" t="s">
        <v>2479</v>
      </c>
      <c r="E86" s="614" t="s">
        <v>2449</v>
      </c>
      <c r="F86" s="617">
        <v>5</v>
      </c>
      <c r="G86" s="617">
        <v>990</v>
      </c>
      <c r="H86" s="617">
        <v>1</v>
      </c>
      <c r="I86" s="617">
        <v>198</v>
      </c>
      <c r="J86" s="617">
        <v>4</v>
      </c>
      <c r="K86" s="617">
        <v>798</v>
      </c>
      <c r="L86" s="617">
        <v>0.80606060606060603</v>
      </c>
      <c r="M86" s="617">
        <v>199.5</v>
      </c>
      <c r="N86" s="617">
        <v>3</v>
      </c>
      <c r="O86" s="617">
        <v>605</v>
      </c>
      <c r="P86" s="630">
        <v>0.61111111111111116</v>
      </c>
      <c r="Q86" s="618">
        <v>201.66666666666666</v>
      </c>
    </row>
    <row r="87" spans="1:17" ht="14.4" customHeight="1" x14ac:dyDescent="0.3">
      <c r="A87" s="613" t="s">
        <v>323</v>
      </c>
      <c r="B87" s="614" t="s">
        <v>2520</v>
      </c>
      <c r="C87" s="614" t="s">
        <v>2380</v>
      </c>
      <c r="D87" s="614" t="s">
        <v>2630</v>
      </c>
      <c r="E87" s="614" t="s">
        <v>2631</v>
      </c>
      <c r="F87" s="617">
        <v>26</v>
      </c>
      <c r="G87" s="617">
        <v>17984</v>
      </c>
      <c r="H87" s="617">
        <v>1</v>
      </c>
      <c r="I87" s="617">
        <v>691.69230769230774</v>
      </c>
      <c r="J87" s="617">
        <v>35</v>
      </c>
      <c r="K87" s="617">
        <v>22988</v>
      </c>
      <c r="L87" s="617">
        <v>1.2782473309608542</v>
      </c>
      <c r="M87" s="617">
        <v>656.8</v>
      </c>
      <c r="N87" s="617">
        <v>18</v>
      </c>
      <c r="O87" s="617">
        <v>12654</v>
      </c>
      <c r="P87" s="630">
        <v>0.70362544483985767</v>
      </c>
      <c r="Q87" s="618">
        <v>703</v>
      </c>
    </row>
    <row r="88" spans="1:17" ht="14.4" customHeight="1" x14ac:dyDescent="0.3">
      <c r="A88" s="613" t="s">
        <v>323</v>
      </c>
      <c r="B88" s="614" t="s">
        <v>2520</v>
      </c>
      <c r="C88" s="614" t="s">
        <v>2380</v>
      </c>
      <c r="D88" s="614" t="s">
        <v>2632</v>
      </c>
      <c r="E88" s="614" t="s">
        <v>2633</v>
      </c>
      <c r="F88" s="617">
        <v>4</v>
      </c>
      <c r="G88" s="617">
        <v>2616</v>
      </c>
      <c r="H88" s="617">
        <v>1</v>
      </c>
      <c r="I88" s="617">
        <v>654</v>
      </c>
      <c r="J88" s="617">
        <v>7</v>
      </c>
      <c r="K88" s="617">
        <v>4608</v>
      </c>
      <c r="L88" s="617">
        <v>1.761467889908257</v>
      </c>
      <c r="M88" s="617">
        <v>658.28571428571433</v>
      </c>
      <c r="N88" s="617">
        <v>10</v>
      </c>
      <c r="O88" s="617">
        <v>6680</v>
      </c>
      <c r="P88" s="630">
        <v>2.5535168195718656</v>
      </c>
      <c r="Q88" s="618">
        <v>668</v>
      </c>
    </row>
    <row r="89" spans="1:17" ht="14.4" customHeight="1" x14ac:dyDescent="0.3">
      <c r="A89" s="613" t="s">
        <v>323</v>
      </c>
      <c r="B89" s="614" t="s">
        <v>2520</v>
      </c>
      <c r="C89" s="614" t="s">
        <v>2380</v>
      </c>
      <c r="D89" s="614" t="s">
        <v>2634</v>
      </c>
      <c r="E89" s="614" t="s">
        <v>2635</v>
      </c>
      <c r="F89" s="617"/>
      <c r="G89" s="617"/>
      <c r="H89" s="617"/>
      <c r="I89" s="617"/>
      <c r="J89" s="617">
        <v>3</v>
      </c>
      <c r="K89" s="617">
        <v>2193</v>
      </c>
      <c r="L89" s="617"/>
      <c r="M89" s="617">
        <v>731</v>
      </c>
      <c r="N89" s="617">
        <v>2</v>
      </c>
      <c r="O89" s="617">
        <v>1492</v>
      </c>
      <c r="P89" s="630"/>
      <c r="Q89" s="618">
        <v>746</v>
      </c>
    </row>
    <row r="90" spans="1:17" ht="14.4" customHeight="1" x14ac:dyDescent="0.3">
      <c r="A90" s="613" t="s">
        <v>323</v>
      </c>
      <c r="B90" s="614" t="s">
        <v>2520</v>
      </c>
      <c r="C90" s="614" t="s">
        <v>2380</v>
      </c>
      <c r="D90" s="614" t="s">
        <v>2636</v>
      </c>
      <c r="E90" s="614" t="s">
        <v>2637</v>
      </c>
      <c r="F90" s="617">
        <v>3</v>
      </c>
      <c r="G90" s="617">
        <v>3216</v>
      </c>
      <c r="H90" s="617">
        <v>1</v>
      </c>
      <c r="I90" s="617">
        <v>1072</v>
      </c>
      <c r="J90" s="617"/>
      <c r="K90" s="617"/>
      <c r="L90" s="617"/>
      <c r="M90" s="617"/>
      <c r="N90" s="617"/>
      <c r="O90" s="617"/>
      <c r="P90" s="630"/>
      <c r="Q90" s="618"/>
    </row>
    <row r="91" spans="1:17" ht="14.4" customHeight="1" x14ac:dyDescent="0.3">
      <c r="A91" s="613" t="s">
        <v>323</v>
      </c>
      <c r="B91" s="614" t="s">
        <v>2520</v>
      </c>
      <c r="C91" s="614" t="s">
        <v>2380</v>
      </c>
      <c r="D91" s="614" t="s">
        <v>2638</v>
      </c>
      <c r="E91" s="614" t="s">
        <v>2639</v>
      </c>
      <c r="F91" s="617">
        <v>29</v>
      </c>
      <c r="G91" s="617">
        <v>51272</v>
      </c>
      <c r="H91" s="617">
        <v>1</v>
      </c>
      <c r="I91" s="617">
        <v>1768</v>
      </c>
      <c r="J91" s="617">
        <v>41</v>
      </c>
      <c r="K91" s="617">
        <v>72884</v>
      </c>
      <c r="L91" s="617">
        <v>1.4215166172569824</v>
      </c>
      <c r="M91" s="617">
        <v>1777.6585365853659</v>
      </c>
      <c r="N91" s="617">
        <v>42</v>
      </c>
      <c r="O91" s="617">
        <v>75306</v>
      </c>
      <c r="P91" s="630">
        <v>1.4687548759556872</v>
      </c>
      <c r="Q91" s="618">
        <v>1793</v>
      </c>
    </row>
    <row r="92" spans="1:17" ht="14.4" customHeight="1" x14ac:dyDescent="0.3">
      <c r="A92" s="613" t="s">
        <v>323</v>
      </c>
      <c r="B92" s="614" t="s">
        <v>2520</v>
      </c>
      <c r="C92" s="614" t="s">
        <v>2380</v>
      </c>
      <c r="D92" s="614" t="s">
        <v>2640</v>
      </c>
      <c r="E92" s="614" t="s">
        <v>2641</v>
      </c>
      <c r="F92" s="617">
        <v>17</v>
      </c>
      <c r="G92" s="617">
        <v>5746</v>
      </c>
      <c r="H92" s="617">
        <v>1</v>
      </c>
      <c r="I92" s="617">
        <v>338</v>
      </c>
      <c r="J92" s="617">
        <v>13</v>
      </c>
      <c r="K92" s="617">
        <v>3058</v>
      </c>
      <c r="L92" s="617">
        <v>0.53219631047685345</v>
      </c>
      <c r="M92" s="617">
        <v>235.23076923076923</v>
      </c>
      <c r="N92" s="617">
        <v>7</v>
      </c>
      <c r="O92" s="617">
        <v>2408</v>
      </c>
      <c r="P92" s="630">
        <v>0.41907413853115211</v>
      </c>
      <c r="Q92" s="618">
        <v>344</v>
      </c>
    </row>
    <row r="93" spans="1:17" ht="14.4" customHeight="1" x14ac:dyDescent="0.3">
      <c r="A93" s="613" t="s">
        <v>323</v>
      </c>
      <c r="B93" s="614" t="s">
        <v>2520</v>
      </c>
      <c r="C93" s="614" t="s">
        <v>2380</v>
      </c>
      <c r="D93" s="614" t="s">
        <v>2642</v>
      </c>
      <c r="E93" s="614" t="s">
        <v>2643</v>
      </c>
      <c r="F93" s="617">
        <v>1</v>
      </c>
      <c r="G93" s="617">
        <v>346</v>
      </c>
      <c r="H93" s="617">
        <v>1</v>
      </c>
      <c r="I93" s="617">
        <v>346</v>
      </c>
      <c r="J93" s="617">
        <v>1</v>
      </c>
      <c r="K93" s="617">
        <v>346</v>
      </c>
      <c r="L93" s="617">
        <v>1</v>
      </c>
      <c r="M93" s="617">
        <v>346</v>
      </c>
      <c r="N93" s="617">
        <v>1</v>
      </c>
      <c r="O93" s="617">
        <v>352</v>
      </c>
      <c r="P93" s="630">
        <v>1.0173410404624277</v>
      </c>
      <c r="Q93" s="618">
        <v>352</v>
      </c>
    </row>
    <row r="94" spans="1:17" ht="14.4" customHeight="1" x14ac:dyDescent="0.3">
      <c r="A94" s="613" t="s">
        <v>323</v>
      </c>
      <c r="B94" s="614" t="s">
        <v>2520</v>
      </c>
      <c r="C94" s="614" t="s">
        <v>2380</v>
      </c>
      <c r="D94" s="614" t="s">
        <v>2644</v>
      </c>
      <c r="E94" s="614" t="s">
        <v>2645</v>
      </c>
      <c r="F94" s="617"/>
      <c r="G94" s="617"/>
      <c r="H94" s="617"/>
      <c r="I94" s="617"/>
      <c r="J94" s="617">
        <v>1</v>
      </c>
      <c r="K94" s="617">
        <v>912</v>
      </c>
      <c r="L94" s="617"/>
      <c r="M94" s="617">
        <v>912</v>
      </c>
      <c r="N94" s="617">
        <v>1</v>
      </c>
      <c r="O94" s="617">
        <v>924</v>
      </c>
      <c r="P94" s="630"/>
      <c r="Q94" s="618">
        <v>924</v>
      </c>
    </row>
    <row r="95" spans="1:17" ht="14.4" customHeight="1" x14ac:dyDescent="0.3">
      <c r="A95" s="613" t="s">
        <v>323</v>
      </c>
      <c r="B95" s="614" t="s">
        <v>2520</v>
      </c>
      <c r="C95" s="614" t="s">
        <v>2380</v>
      </c>
      <c r="D95" s="614" t="s">
        <v>2646</v>
      </c>
      <c r="E95" s="614" t="s">
        <v>2647</v>
      </c>
      <c r="F95" s="617">
        <v>4</v>
      </c>
      <c r="G95" s="617">
        <v>5680</v>
      </c>
      <c r="H95" s="617">
        <v>1</v>
      </c>
      <c r="I95" s="617">
        <v>1420</v>
      </c>
      <c r="J95" s="617">
        <v>6</v>
      </c>
      <c r="K95" s="617">
        <v>8562</v>
      </c>
      <c r="L95" s="617">
        <v>1.5073943661971831</v>
      </c>
      <c r="M95" s="617">
        <v>1427</v>
      </c>
      <c r="N95" s="617">
        <v>4</v>
      </c>
      <c r="O95" s="617">
        <v>5760</v>
      </c>
      <c r="P95" s="630">
        <v>1.0140845070422535</v>
      </c>
      <c r="Q95" s="618">
        <v>1440</v>
      </c>
    </row>
    <row r="96" spans="1:17" ht="14.4" customHeight="1" x14ac:dyDescent="0.3">
      <c r="A96" s="613" t="s">
        <v>323</v>
      </c>
      <c r="B96" s="614" t="s">
        <v>2520</v>
      </c>
      <c r="C96" s="614" t="s">
        <v>2380</v>
      </c>
      <c r="D96" s="614" t="s">
        <v>2648</v>
      </c>
      <c r="E96" s="614" t="s">
        <v>2649</v>
      </c>
      <c r="F96" s="617">
        <v>5</v>
      </c>
      <c r="G96" s="617">
        <v>7250</v>
      </c>
      <c r="H96" s="617">
        <v>1</v>
      </c>
      <c r="I96" s="617">
        <v>1450</v>
      </c>
      <c r="J96" s="617">
        <v>9</v>
      </c>
      <c r="K96" s="617">
        <v>13064</v>
      </c>
      <c r="L96" s="617">
        <v>1.8019310344827586</v>
      </c>
      <c r="M96" s="617">
        <v>1451.5555555555557</v>
      </c>
      <c r="N96" s="617">
        <v>7</v>
      </c>
      <c r="O96" s="617">
        <v>10290</v>
      </c>
      <c r="P96" s="630">
        <v>1.4193103448275861</v>
      </c>
      <c r="Q96" s="618">
        <v>1470</v>
      </c>
    </row>
    <row r="97" spans="1:17" ht="14.4" customHeight="1" x14ac:dyDescent="0.3">
      <c r="A97" s="613" t="s">
        <v>323</v>
      </c>
      <c r="B97" s="614" t="s">
        <v>2520</v>
      </c>
      <c r="C97" s="614" t="s">
        <v>2380</v>
      </c>
      <c r="D97" s="614" t="s">
        <v>2650</v>
      </c>
      <c r="E97" s="614" t="s">
        <v>2651</v>
      </c>
      <c r="F97" s="617">
        <v>2</v>
      </c>
      <c r="G97" s="617">
        <v>2832</v>
      </c>
      <c r="H97" s="617">
        <v>1</v>
      </c>
      <c r="I97" s="617">
        <v>1416</v>
      </c>
      <c r="J97" s="617">
        <v>3</v>
      </c>
      <c r="K97" s="617">
        <v>4262</v>
      </c>
      <c r="L97" s="617">
        <v>1.5049435028248588</v>
      </c>
      <c r="M97" s="617">
        <v>1420.6666666666667</v>
      </c>
      <c r="N97" s="617">
        <v>1</v>
      </c>
      <c r="O97" s="617">
        <v>1436</v>
      </c>
      <c r="P97" s="630">
        <v>0.50706214689265539</v>
      </c>
      <c r="Q97" s="618">
        <v>1436</v>
      </c>
    </row>
    <row r="98" spans="1:17" ht="14.4" customHeight="1" x14ac:dyDescent="0.3">
      <c r="A98" s="613" t="s">
        <v>323</v>
      </c>
      <c r="B98" s="614" t="s">
        <v>2520</v>
      </c>
      <c r="C98" s="614" t="s">
        <v>2380</v>
      </c>
      <c r="D98" s="614" t="s">
        <v>2480</v>
      </c>
      <c r="E98" s="614" t="s">
        <v>2481</v>
      </c>
      <c r="F98" s="617">
        <v>22</v>
      </c>
      <c r="G98" s="617">
        <v>7722</v>
      </c>
      <c r="H98" s="617">
        <v>1</v>
      </c>
      <c r="I98" s="617">
        <v>351</v>
      </c>
      <c r="J98" s="617">
        <v>17</v>
      </c>
      <c r="K98" s="617">
        <v>5283</v>
      </c>
      <c r="L98" s="617">
        <v>0.68414918414918413</v>
      </c>
      <c r="M98" s="617">
        <v>310.76470588235293</v>
      </c>
      <c r="N98" s="617">
        <v>17</v>
      </c>
      <c r="O98" s="617">
        <v>6052</v>
      </c>
      <c r="P98" s="630">
        <v>0.78373478373478378</v>
      </c>
      <c r="Q98" s="618">
        <v>356</v>
      </c>
    </row>
    <row r="99" spans="1:17" ht="14.4" customHeight="1" x14ac:dyDescent="0.3">
      <c r="A99" s="613" t="s">
        <v>323</v>
      </c>
      <c r="B99" s="614" t="s">
        <v>2520</v>
      </c>
      <c r="C99" s="614" t="s">
        <v>2380</v>
      </c>
      <c r="D99" s="614" t="s">
        <v>2652</v>
      </c>
      <c r="E99" s="614" t="s">
        <v>2653</v>
      </c>
      <c r="F99" s="617">
        <v>226</v>
      </c>
      <c r="G99" s="617">
        <v>34352</v>
      </c>
      <c r="H99" s="617">
        <v>1</v>
      </c>
      <c r="I99" s="617">
        <v>152</v>
      </c>
      <c r="J99" s="617">
        <v>344</v>
      </c>
      <c r="K99" s="617">
        <v>52748</v>
      </c>
      <c r="L99" s="617">
        <v>1.5355146716348393</v>
      </c>
      <c r="M99" s="617">
        <v>153.33720930232559</v>
      </c>
      <c r="N99" s="617">
        <v>153</v>
      </c>
      <c r="O99" s="617">
        <v>23715</v>
      </c>
      <c r="P99" s="630">
        <v>0.69035281788542147</v>
      </c>
      <c r="Q99" s="618">
        <v>155</v>
      </c>
    </row>
    <row r="100" spans="1:17" ht="14.4" customHeight="1" x14ac:dyDescent="0.3">
      <c r="A100" s="613" t="s">
        <v>323</v>
      </c>
      <c r="B100" s="614" t="s">
        <v>2520</v>
      </c>
      <c r="C100" s="614" t="s">
        <v>2380</v>
      </c>
      <c r="D100" s="614" t="s">
        <v>2654</v>
      </c>
      <c r="E100" s="614" t="s">
        <v>2655</v>
      </c>
      <c r="F100" s="617">
        <v>5</v>
      </c>
      <c r="G100" s="617">
        <v>925</v>
      </c>
      <c r="H100" s="617">
        <v>1</v>
      </c>
      <c r="I100" s="617">
        <v>185</v>
      </c>
      <c r="J100" s="617">
        <v>1</v>
      </c>
      <c r="K100" s="617">
        <v>185</v>
      </c>
      <c r="L100" s="617">
        <v>0.2</v>
      </c>
      <c r="M100" s="617">
        <v>185</v>
      </c>
      <c r="N100" s="617">
        <v>6</v>
      </c>
      <c r="O100" s="617">
        <v>1133</v>
      </c>
      <c r="P100" s="630">
        <v>1.2248648648648648</v>
      </c>
      <c r="Q100" s="618">
        <v>188.83333333333334</v>
      </c>
    </row>
    <row r="101" spans="1:17" ht="14.4" customHeight="1" x14ac:dyDescent="0.3">
      <c r="A101" s="613" t="s">
        <v>323</v>
      </c>
      <c r="B101" s="614" t="s">
        <v>2520</v>
      </c>
      <c r="C101" s="614" t="s">
        <v>2380</v>
      </c>
      <c r="D101" s="614" t="s">
        <v>2656</v>
      </c>
      <c r="E101" s="614" t="s">
        <v>2657</v>
      </c>
      <c r="F101" s="617">
        <v>14</v>
      </c>
      <c r="G101" s="617">
        <v>6734</v>
      </c>
      <c r="H101" s="617">
        <v>1</v>
      </c>
      <c r="I101" s="617">
        <v>481</v>
      </c>
      <c r="J101" s="617">
        <v>23</v>
      </c>
      <c r="K101" s="617">
        <v>11111</v>
      </c>
      <c r="L101" s="617">
        <v>1.6499851499851499</v>
      </c>
      <c r="M101" s="617">
        <v>483.08695652173913</v>
      </c>
      <c r="N101" s="617">
        <v>12</v>
      </c>
      <c r="O101" s="617">
        <v>5832</v>
      </c>
      <c r="P101" s="630">
        <v>0.86605286605286602</v>
      </c>
      <c r="Q101" s="618">
        <v>486</v>
      </c>
    </row>
    <row r="102" spans="1:17" ht="14.4" customHeight="1" x14ac:dyDescent="0.3">
      <c r="A102" s="613" t="s">
        <v>323</v>
      </c>
      <c r="B102" s="614" t="s">
        <v>2520</v>
      </c>
      <c r="C102" s="614" t="s">
        <v>2380</v>
      </c>
      <c r="D102" s="614" t="s">
        <v>2488</v>
      </c>
      <c r="E102" s="614" t="s">
        <v>2489</v>
      </c>
      <c r="F102" s="617">
        <v>15</v>
      </c>
      <c r="G102" s="617">
        <v>15015</v>
      </c>
      <c r="H102" s="617">
        <v>1</v>
      </c>
      <c r="I102" s="617">
        <v>1001</v>
      </c>
      <c r="J102" s="617">
        <v>26</v>
      </c>
      <c r="K102" s="617">
        <v>26138</v>
      </c>
      <c r="L102" s="617">
        <v>1.7407925407925409</v>
      </c>
      <c r="M102" s="617">
        <v>1005.3076923076923</v>
      </c>
      <c r="N102" s="617">
        <v>14</v>
      </c>
      <c r="O102" s="617">
        <v>14168</v>
      </c>
      <c r="P102" s="630">
        <v>0.94358974358974357</v>
      </c>
      <c r="Q102" s="618">
        <v>1012</v>
      </c>
    </row>
    <row r="103" spans="1:17" ht="14.4" customHeight="1" x14ac:dyDescent="0.3">
      <c r="A103" s="613" t="s">
        <v>323</v>
      </c>
      <c r="B103" s="614" t="s">
        <v>2520</v>
      </c>
      <c r="C103" s="614" t="s">
        <v>2380</v>
      </c>
      <c r="D103" s="614" t="s">
        <v>2658</v>
      </c>
      <c r="E103" s="614" t="s">
        <v>2659</v>
      </c>
      <c r="F103" s="617">
        <v>5</v>
      </c>
      <c r="G103" s="617">
        <v>10000</v>
      </c>
      <c r="H103" s="617">
        <v>1</v>
      </c>
      <c r="I103" s="617">
        <v>2000</v>
      </c>
      <c r="J103" s="617">
        <v>3</v>
      </c>
      <c r="K103" s="617">
        <v>6012</v>
      </c>
      <c r="L103" s="617">
        <v>0.60119999999999996</v>
      </c>
      <c r="M103" s="617">
        <v>2004</v>
      </c>
      <c r="N103" s="617">
        <v>6</v>
      </c>
      <c r="O103" s="617">
        <v>12102</v>
      </c>
      <c r="P103" s="630">
        <v>1.2101999999999999</v>
      </c>
      <c r="Q103" s="618">
        <v>2017</v>
      </c>
    </row>
    <row r="104" spans="1:17" ht="14.4" customHeight="1" x14ac:dyDescent="0.3">
      <c r="A104" s="613" t="s">
        <v>323</v>
      </c>
      <c r="B104" s="614" t="s">
        <v>2520</v>
      </c>
      <c r="C104" s="614" t="s">
        <v>2380</v>
      </c>
      <c r="D104" s="614" t="s">
        <v>2660</v>
      </c>
      <c r="E104" s="614" t="s">
        <v>2661</v>
      </c>
      <c r="F104" s="617">
        <v>365</v>
      </c>
      <c r="G104" s="617">
        <v>84679</v>
      </c>
      <c r="H104" s="617">
        <v>1</v>
      </c>
      <c r="I104" s="617">
        <v>231.99726027397261</v>
      </c>
      <c r="J104" s="617">
        <v>413</v>
      </c>
      <c r="K104" s="617">
        <v>94756</v>
      </c>
      <c r="L104" s="617">
        <v>1.1190023500513704</v>
      </c>
      <c r="M104" s="617">
        <v>229.43341404358353</v>
      </c>
      <c r="N104" s="617">
        <v>358</v>
      </c>
      <c r="O104" s="617">
        <v>84130</v>
      </c>
      <c r="P104" s="630">
        <v>0.99351669245031238</v>
      </c>
      <c r="Q104" s="618">
        <v>235</v>
      </c>
    </row>
    <row r="105" spans="1:17" ht="14.4" customHeight="1" x14ac:dyDescent="0.3">
      <c r="A105" s="613" t="s">
        <v>323</v>
      </c>
      <c r="B105" s="614" t="s">
        <v>2520</v>
      </c>
      <c r="C105" s="614" t="s">
        <v>2380</v>
      </c>
      <c r="D105" s="614" t="s">
        <v>2490</v>
      </c>
      <c r="E105" s="614" t="s">
        <v>2491</v>
      </c>
      <c r="F105" s="617"/>
      <c r="G105" s="617"/>
      <c r="H105" s="617"/>
      <c r="I105" s="617"/>
      <c r="J105" s="617">
        <v>1</v>
      </c>
      <c r="K105" s="617">
        <v>116</v>
      </c>
      <c r="L105" s="617"/>
      <c r="M105" s="617">
        <v>116</v>
      </c>
      <c r="N105" s="617"/>
      <c r="O105" s="617"/>
      <c r="P105" s="630"/>
      <c r="Q105" s="618"/>
    </row>
    <row r="106" spans="1:17" ht="14.4" customHeight="1" x14ac:dyDescent="0.3">
      <c r="A106" s="613" t="s">
        <v>323</v>
      </c>
      <c r="B106" s="614" t="s">
        <v>2520</v>
      </c>
      <c r="C106" s="614" t="s">
        <v>2380</v>
      </c>
      <c r="D106" s="614" t="s">
        <v>2662</v>
      </c>
      <c r="E106" s="614" t="s">
        <v>2663</v>
      </c>
      <c r="F106" s="617">
        <v>2</v>
      </c>
      <c r="G106" s="617">
        <v>13638</v>
      </c>
      <c r="H106" s="617">
        <v>1</v>
      </c>
      <c r="I106" s="617">
        <v>6819</v>
      </c>
      <c r="J106" s="617">
        <v>1</v>
      </c>
      <c r="K106" s="617">
        <v>6819</v>
      </c>
      <c r="L106" s="617">
        <v>0.5</v>
      </c>
      <c r="M106" s="617">
        <v>6819</v>
      </c>
      <c r="N106" s="617"/>
      <c r="O106" s="617"/>
      <c r="P106" s="630"/>
      <c r="Q106" s="618"/>
    </row>
    <row r="107" spans="1:17" ht="14.4" customHeight="1" x14ac:dyDescent="0.3">
      <c r="A107" s="613" t="s">
        <v>323</v>
      </c>
      <c r="B107" s="614" t="s">
        <v>2520</v>
      </c>
      <c r="C107" s="614" t="s">
        <v>2380</v>
      </c>
      <c r="D107" s="614" t="s">
        <v>2664</v>
      </c>
      <c r="E107" s="614" t="s">
        <v>2665</v>
      </c>
      <c r="F107" s="617">
        <v>2</v>
      </c>
      <c r="G107" s="617">
        <v>10068</v>
      </c>
      <c r="H107" s="617">
        <v>1</v>
      </c>
      <c r="I107" s="617">
        <v>5034</v>
      </c>
      <c r="J107" s="617"/>
      <c r="K107" s="617"/>
      <c r="L107" s="617"/>
      <c r="M107" s="617"/>
      <c r="N107" s="617"/>
      <c r="O107" s="617"/>
      <c r="P107" s="630"/>
      <c r="Q107" s="618"/>
    </row>
    <row r="108" spans="1:17" ht="14.4" customHeight="1" x14ac:dyDescent="0.3">
      <c r="A108" s="613" t="s">
        <v>323</v>
      </c>
      <c r="B108" s="614" t="s">
        <v>2520</v>
      </c>
      <c r="C108" s="614" t="s">
        <v>2380</v>
      </c>
      <c r="D108" s="614" t="s">
        <v>2666</v>
      </c>
      <c r="E108" s="614" t="s">
        <v>2667</v>
      </c>
      <c r="F108" s="617">
        <v>4</v>
      </c>
      <c r="G108" s="617">
        <v>9996</v>
      </c>
      <c r="H108" s="617">
        <v>1</v>
      </c>
      <c r="I108" s="617">
        <v>2499</v>
      </c>
      <c r="J108" s="617">
        <v>2</v>
      </c>
      <c r="K108" s="617">
        <v>5054</v>
      </c>
      <c r="L108" s="617">
        <v>0.50560224089635852</v>
      </c>
      <c r="M108" s="617">
        <v>2527</v>
      </c>
      <c r="N108" s="617"/>
      <c r="O108" s="617"/>
      <c r="P108" s="630"/>
      <c r="Q108" s="618"/>
    </row>
    <row r="109" spans="1:17" ht="14.4" customHeight="1" x14ac:dyDescent="0.3">
      <c r="A109" s="613" t="s">
        <v>323</v>
      </c>
      <c r="B109" s="614" t="s">
        <v>2520</v>
      </c>
      <c r="C109" s="614" t="s">
        <v>2380</v>
      </c>
      <c r="D109" s="614" t="s">
        <v>2668</v>
      </c>
      <c r="E109" s="614" t="s">
        <v>2669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5461</v>
      </c>
      <c r="P109" s="630"/>
      <c r="Q109" s="618">
        <v>5461</v>
      </c>
    </row>
    <row r="110" spans="1:17" ht="14.4" customHeight="1" x14ac:dyDescent="0.3">
      <c r="A110" s="613" t="s">
        <v>323</v>
      </c>
      <c r="B110" s="614" t="s">
        <v>2520</v>
      </c>
      <c r="C110" s="614" t="s">
        <v>2380</v>
      </c>
      <c r="D110" s="614" t="s">
        <v>2670</v>
      </c>
      <c r="E110" s="614" t="s">
        <v>2671</v>
      </c>
      <c r="F110" s="617"/>
      <c r="G110" s="617"/>
      <c r="H110" s="617"/>
      <c r="I110" s="617"/>
      <c r="J110" s="617">
        <v>1</v>
      </c>
      <c r="K110" s="617">
        <v>2498</v>
      </c>
      <c r="L110" s="617"/>
      <c r="M110" s="617">
        <v>2498</v>
      </c>
      <c r="N110" s="617"/>
      <c r="O110" s="617"/>
      <c r="P110" s="630"/>
      <c r="Q110" s="618"/>
    </row>
    <row r="111" spans="1:17" ht="14.4" customHeight="1" x14ac:dyDescent="0.3">
      <c r="A111" s="613" t="s">
        <v>323</v>
      </c>
      <c r="B111" s="614" t="s">
        <v>2520</v>
      </c>
      <c r="C111" s="614" t="s">
        <v>2380</v>
      </c>
      <c r="D111" s="614" t="s">
        <v>2672</v>
      </c>
      <c r="E111" s="614" t="s">
        <v>2673</v>
      </c>
      <c r="F111" s="617">
        <v>1</v>
      </c>
      <c r="G111" s="617">
        <v>2333</v>
      </c>
      <c r="H111" s="617">
        <v>1</v>
      </c>
      <c r="I111" s="617">
        <v>2333</v>
      </c>
      <c r="J111" s="617"/>
      <c r="K111" s="617"/>
      <c r="L111" s="617"/>
      <c r="M111" s="617"/>
      <c r="N111" s="617">
        <v>1</v>
      </c>
      <c r="O111" s="617">
        <v>2377</v>
      </c>
      <c r="P111" s="630">
        <v>1.0188598371195885</v>
      </c>
      <c r="Q111" s="618">
        <v>2377</v>
      </c>
    </row>
    <row r="112" spans="1:17" ht="14.4" customHeight="1" x14ac:dyDescent="0.3">
      <c r="A112" s="613" t="s">
        <v>323</v>
      </c>
      <c r="B112" s="614" t="s">
        <v>2520</v>
      </c>
      <c r="C112" s="614" t="s">
        <v>2380</v>
      </c>
      <c r="D112" s="614" t="s">
        <v>2674</v>
      </c>
      <c r="E112" s="614" t="s">
        <v>2675</v>
      </c>
      <c r="F112" s="617"/>
      <c r="G112" s="617"/>
      <c r="H112" s="617"/>
      <c r="I112" s="617"/>
      <c r="J112" s="617"/>
      <c r="K112" s="617"/>
      <c r="L112" s="617"/>
      <c r="M112" s="617"/>
      <c r="N112" s="617">
        <v>1</v>
      </c>
      <c r="O112" s="617">
        <v>5315</v>
      </c>
      <c r="P112" s="630"/>
      <c r="Q112" s="618">
        <v>5315</v>
      </c>
    </row>
    <row r="113" spans="1:17" ht="14.4" customHeight="1" x14ac:dyDescent="0.3">
      <c r="A113" s="613" t="s">
        <v>323</v>
      </c>
      <c r="B113" s="614" t="s">
        <v>2520</v>
      </c>
      <c r="C113" s="614" t="s">
        <v>2380</v>
      </c>
      <c r="D113" s="614" t="s">
        <v>2676</v>
      </c>
      <c r="E113" s="614" t="s">
        <v>2677</v>
      </c>
      <c r="F113" s="617"/>
      <c r="G113" s="617"/>
      <c r="H113" s="617"/>
      <c r="I113" s="617"/>
      <c r="J113" s="617">
        <v>1</v>
      </c>
      <c r="K113" s="617">
        <v>4925</v>
      </c>
      <c r="L113" s="617"/>
      <c r="M113" s="617">
        <v>4925</v>
      </c>
      <c r="N113" s="617"/>
      <c r="O113" s="617"/>
      <c r="P113" s="630"/>
      <c r="Q113" s="618"/>
    </row>
    <row r="114" spans="1:17" ht="14.4" customHeight="1" x14ac:dyDescent="0.3">
      <c r="A114" s="613" t="s">
        <v>323</v>
      </c>
      <c r="B114" s="614" t="s">
        <v>2520</v>
      </c>
      <c r="C114" s="614" t="s">
        <v>2380</v>
      </c>
      <c r="D114" s="614" t="s">
        <v>2678</v>
      </c>
      <c r="E114" s="614" t="s">
        <v>2679</v>
      </c>
      <c r="F114" s="617">
        <v>8</v>
      </c>
      <c r="G114" s="617">
        <v>8664</v>
      </c>
      <c r="H114" s="617">
        <v>1</v>
      </c>
      <c r="I114" s="617">
        <v>1083</v>
      </c>
      <c r="J114" s="617">
        <v>13</v>
      </c>
      <c r="K114" s="617">
        <v>14154</v>
      </c>
      <c r="L114" s="617">
        <v>1.6336565096952909</v>
      </c>
      <c r="M114" s="617">
        <v>1088.7692307692307</v>
      </c>
      <c r="N114" s="617">
        <v>15</v>
      </c>
      <c r="O114" s="617">
        <v>16575</v>
      </c>
      <c r="P114" s="630">
        <v>1.9130886426592797</v>
      </c>
      <c r="Q114" s="618">
        <v>1105</v>
      </c>
    </row>
    <row r="115" spans="1:17" ht="14.4" customHeight="1" x14ac:dyDescent="0.3">
      <c r="A115" s="613" t="s">
        <v>323</v>
      </c>
      <c r="B115" s="614" t="s">
        <v>2520</v>
      </c>
      <c r="C115" s="614" t="s">
        <v>2380</v>
      </c>
      <c r="D115" s="614" t="s">
        <v>2680</v>
      </c>
      <c r="E115" s="614" t="s">
        <v>2681</v>
      </c>
      <c r="F115" s="617"/>
      <c r="G115" s="617"/>
      <c r="H115" s="617"/>
      <c r="I115" s="617"/>
      <c r="J115" s="617">
        <v>1</v>
      </c>
      <c r="K115" s="617">
        <v>1132</v>
      </c>
      <c r="L115" s="617"/>
      <c r="M115" s="617">
        <v>1132</v>
      </c>
      <c r="N115" s="617">
        <v>1</v>
      </c>
      <c r="O115" s="617">
        <v>1154</v>
      </c>
      <c r="P115" s="630"/>
      <c r="Q115" s="618">
        <v>1154</v>
      </c>
    </row>
    <row r="116" spans="1:17" ht="14.4" customHeight="1" x14ac:dyDescent="0.3">
      <c r="A116" s="613" t="s">
        <v>323</v>
      </c>
      <c r="B116" s="614" t="s">
        <v>2520</v>
      </c>
      <c r="C116" s="614" t="s">
        <v>2380</v>
      </c>
      <c r="D116" s="614" t="s">
        <v>2682</v>
      </c>
      <c r="E116" s="614" t="s">
        <v>2683</v>
      </c>
      <c r="F116" s="617">
        <v>3</v>
      </c>
      <c r="G116" s="617">
        <v>3432</v>
      </c>
      <c r="H116" s="617">
        <v>1</v>
      </c>
      <c r="I116" s="617">
        <v>1144</v>
      </c>
      <c r="J116" s="617">
        <v>16</v>
      </c>
      <c r="K116" s="617">
        <v>18334</v>
      </c>
      <c r="L116" s="617">
        <v>5.3420745920745922</v>
      </c>
      <c r="M116" s="617">
        <v>1145.875</v>
      </c>
      <c r="N116" s="617">
        <v>17</v>
      </c>
      <c r="O116" s="617">
        <v>19822</v>
      </c>
      <c r="P116" s="630">
        <v>5.7756410256410255</v>
      </c>
      <c r="Q116" s="618">
        <v>1166</v>
      </c>
    </row>
    <row r="117" spans="1:17" ht="14.4" customHeight="1" x14ac:dyDescent="0.3">
      <c r="A117" s="613" t="s">
        <v>323</v>
      </c>
      <c r="B117" s="614" t="s">
        <v>2520</v>
      </c>
      <c r="C117" s="614" t="s">
        <v>2380</v>
      </c>
      <c r="D117" s="614" t="s">
        <v>2684</v>
      </c>
      <c r="E117" s="614" t="s">
        <v>2685</v>
      </c>
      <c r="F117" s="617">
        <v>1</v>
      </c>
      <c r="G117" s="617">
        <v>4389</v>
      </c>
      <c r="H117" s="617">
        <v>1</v>
      </c>
      <c r="I117" s="617">
        <v>4389</v>
      </c>
      <c r="J117" s="617"/>
      <c r="K117" s="617"/>
      <c r="L117" s="617"/>
      <c r="M117" s="617"/>
      <c r="N117" s="617"/>
      <c r="O117" s="617"/>
      <c r="P117" s="630"/>
      <c r="Q117" s="618"/>
    </row>
    <row r="118" spans="1:17" ht="14.4" customHeight="1" x14ac:dyDescent="0.3">
      <c r="A118" s="613" t="s">
        <v>323</v>
      </c>
      <c r="B118" s="614" t="s">
        <v>2520</v>
      </c>
      <c r="C118" s="614" t="s">
        <v>2380</v>
      </c>
      <c r="D118" s="614" t="s">
        <v>2686</v>
      </c>
      <c r="E118" s="614" t="s">
        <v>2687</v>
      </c>
      <c r="F118" s="617">
        <v>13</v>
      </c>
      <c r="G118" s="617">
        <v>8724</v>
      </c>
      <c r="H118" s="617">
        <v>1</v>
      </c>
      <c r="I118" s="617">
        <v>671.07692307692309</v>
      </c>
      <c r="J118" s="617">
        <v>19</v>
      </c>
      <c r="K118" s="617">
        <v>12878</v>
      </c>
      <c r="L118" s="617">
        <v>1.476157725813847</v>
      </c>
      <c r="M118" s="617">
        <v>677.78947368421052</v>
      </c>
      <c r="N118" s="617">
        <v>10</v>
      </c>
      <c r="O118" s="617">
        <v>6870</v>
      </c>
      <c r="P118" s="630">
        <v>0.78748280605226961</v>
      </c>
      <c r="Q118" s="618">
        <v>687</v>
      </c>
    </row>
    <row r="119" spans="1:17" ht="14.4" customHeight="1" x14ac:dyDescent="0.3">
      <c r="A119" s="613" t="s">
        <v>323</v>
      </c>
      <c r="B119" s="614" t="s">
        <v>2520</v>
      </c>
      <c r="C119" s="614" t="s">
        <v>2380</v>
      </c>
      <c r="D119" s="614" t="s">
        <v>2688</v>
      </c>
      <c r="E119" s="614" t="s">
        <v>2689</v>
      </c>
      <c r="F119" s="617"/>
      <c r="G119" s="617"/>
      <c r="H119" s="617"/>
      <c r="I119" s="617"/>
      <c r="J119" s="617"/>
      <c r="K119" s="617"/>
      <c r="L119" s="617"/>
      <c r="M119" s="617"/>
      <c r="N119" s="617">
        <v>2</v>
      </c>
      <c r="O119" s="617">
        <v>9250</v>
      </c>
      <c r="P119" s="630"/>
      <c r="Q119" s="618">
        <v>4625</v>
      </c>
    </row>
    <row r="120" spans="1:17" ht="14.4" customHeight="1" x14ac:dyDescent="0.3">
      <c r="A120" s="613" t="s">
        <v>323</v>
      </c>
      <c r="B120" s="614" t="s">
        <v>2520</v>
      </c>
      <c r="C120" s="614" t="s">
        <v>2380</v>
      </c>
      <c r="D120" s="614" t="s">
        <v>2690</v>
      </c>
      <c r="E120" s="614" t="s">
        <v>2691</v>
      </c>
      <c r="F120" s="617">
        <v>1</v>
      </c>
      <c r="G120" s="617">
        <v>1911</v>
      </c>
      <c r="H120" s="617">
        <v>1</v>
      </c>
      <c r="I120" s="617">
        <v>1911</v>
      </c>
      <c r="J120" s="617">
        <v>3</v>
      </c>
      <c r="K120" s="617">
        <v>5733</v>
      </c>
      <c r="L120" s="617">
        <v>3</v>
      </c>
      <c r="M120" s="617">
        <v>1911</v>
      </c>
      <c r="N120" s="617">
        <v>4</v>
      </c>
      <c r="O120" s="617">
        <v>7792</v>
      </c>
      <c r="P120" s="630">
        <v>4.0774463631606492</v>
      </c>
      <c r="Q120" s="618">
        <v>1948</v>
      </c>
    </row>
    <row r="121" spans="1:17" ht="14.4" customHeight="1" x14ac:dyDescent="0.3">
      <c r="A121" s="613" t="s">
        <v>323</v>
      </c>
      <c r="B121" s="614" t="s">
        <v>2520</v>
      </c>
      <c r="C121" s="614" t="s">
        <v>2380</v>
      </c>
      <c r="D121" s="614" t="s">
        <v>2692</v>
      </c>
      <c r="E121" s="614" t="s">
        <v>2693</v>
      </c>
      <c r="F121" s="617">
        <v>1</v>
      </c>
      <c r="G121" s="617">
        <v>313</v>
      </c>
      <c r="H121" s="617">
        <v>1</v>
      </c>
      <c r="I121" s="617">
        <v>313</v>
      </c>
      <c r="J121" s="617">
        <v>1</v>
      </c>
      <c r="K121" s="617">
        <v>313</v>
      </c>
      <c r="L121" s="617">
        <v>1</v>
      </c>
      <c r="M121" s="617">
        <v>313</v>
      </c>
      <c r="N121" s="617">
        <v>1</v>
      </c>
      <c r="O121" s="617">
        <v>318</v>
      </c>
      <c r="P121" s="630">
        <v>1.0159744408945688</v>
      </c>
      <c r="Q121" s="618">
        <v>318</v>
      </c>
    </row>
    <row r="122" spans="1:17" ht="14.4" customHeight="1" x14ac:dyDescent="0.3">
      <c r="A122" s="613" t="s">
        <v>323</v>
      </c>
      <c r="B122" s="614" t="s">
        <v>2520</v>
      </c>
      <c r="C122" s="614" t="s">
        <v>2380</v>
      </c>
      <c r="D122" s="614" t="s">
        <v>2694</v>
      </c>
      <c r="E122" s="614" t="s">
        <v>2695</v>
      </c>
      <c r="F122" s="617">
        <v>1</v>
      </c>
      <c r="G122" s="617">
        <v>90</v>
      </c>
      <c r="H122" s="617">
        <v>1</v>
      </c>
      <c r="I122" s="617">
        <v>90</v>
      </c>
      <c r="J122" s="617"/>
      <c r="K122" s="617"/>
      <c r="L122" s="617"/>
      <c r="M122" s="617"/>
      <c r="N122" s="617"/>
      <c r="O122" s="617"/>
      <c r="P122" s="630"/>
      <c r="Q122" s="618"/>
    </row>
    <row r="123" spans="1:17" ht="14.4" customHeight="1" x14ac:dyDescent="0.3">
      <c r="A123" s="613" t="s">
        <v>323</v>
      </c>
      <c r="B123" s="614" t="s">
        <v>2520</v>
      </c>
      <c r="C123" s="614" t="s">
        <v>2380</v>
      </c>
      <c r="D123" s="614" t="s">
        <v>2696</v>
      </c>
      <c r="E123" s="614" t="s">
        <v>2697</v>
      </c>
      <c r="F123" s="617">
        <v>12</v>
      </c>
      <c r="G123" s="617">
        <v>22368</v>
      </c>
      <c r="H123" s="617">
        <v>1</v>
      </c>
      <c r="I123" s="617">
        <v>1864</v>
      </c>
      <c r="J123" s="617">
        <v>10</v>
      </c>
      <c r="K123" s="617">
        <v>18775</v>
      </c>
      <c r="L123" s="617">
        <v>0.83936874105865522</v>
      </c>
      <c r="M123" s="617">
        <v>1877.5</v>
      </c>
      <c r="N123" s="617">
        <v>13</v>
      </c>
      <c r="O123" s="617">
        <v>24739</v>
      </c>
      <c r="P123" s="630">
        <v>1.1059996423462088</v>
      </c>
      <c r="Q123" s="618">
        <v>1903</v>
      </c>
    </row>
    <row r="124" spans="1:17" ht="14.4" customHeight="1" x14ac:dyDescent="0.3">
      <c r="A124" s="613" t="s">
        <v>323</v>
      </c>
      <c r="B124" s="614" t="s">
        <v>2520</v>
      </c>
      <c r="C124" s="614" t="s">
        <v>2380</v>
      </c>
      <c r="D124" s="614" t="s">
        <v>2698</v>
      </c>
      <c r="E124" s="614" t="s">
        <v>2699</v>
      </c>
      <c r="F124" s="617">
        <v>4</v>
      </c>
      <c r="G124" s="617">
        <v>3224</v>
      </c>
      <c r="H124" s="617">
        <v>1</v>
      </c>
      <c r="I124" s="617">
        <v>806</v>
      </c>
      <c r="J124" s="617">
        <v>2</v>
      </c>
      <c r="K124" s="617">
        <v>1630</v>
      </c>
      <c r="L124" s="617">
        <v>0.50558312655086846</v>
      </c>
      <c r="M124" s="617">
        <v>815</v>
      </c>
      <c r="N124" s="617">
        <v>2</v>
      </c>
      <c r="O124" s="617">
        <v>1638</v>
      </c>
      <c r="P124" s="630">
        <v>0.50806451612903225</v>
      </c>
      <c r="Q124" s="618">
        <v>819</v>
      </c>
    </row>
    <row r="125" spans="1:17" ht="14.4" customHeight="1" x14ac:dyDescent="0.3">
      <c r="A125" s="613" t="s">
        <v>323</v>
      </c>
      <c r="B125" s="614" t="s">
        <v>2520</v>
      </c>
      <c r="C125" s="614" t="s">
        <v>2380</v>
      </c>
      <c r="D125" s="614" t="s">
        <v>2700</v>
      </c>
      <c r="E125" s="614" t="s">
        <v>2701</v>
      </c>
      <c r="F125" s="617">
        <v>12</v>
      </c>
      <c r="G125" s="617">
        <v>28332</v>
      </c>
      <c r="H125" s="617">
        <v>1</v>
      </c>
      <c r="I125" s="617">
        <v>2361</v>
      </c>
      <c r="J125" s="617">
        <v>7</v>
      </c>
      <c r="K125" s="617">
        <v>16611</v>
      </c>
      <c r="L125" s="617">
        <v>0.58629817873782297</v>
      </c>
      <c r="M125" s="617">
        <v>2373</v>
      </c>
      <c r="N125" s="617">
        <v>8</v>
      </c>
      <c r="O125" s="617">
        <v>19128</v>
      </c>
      <c r="P125" s="630">
        <v>0.67513765353663702</v>
      </c>
      <c r="Q125" s="618">
        <v>2391</v>
      </c>
    </row>
    <row r="126" spans="1:17" ht="14.4" customHeight="1" x14ac:dyDescent="0.3">
      <c r="A126" s="613" t="s">
        <v>323</v>
      </c>
      <c r="B126" s="614" t="s">
        <v>2520</v>
      </c>
      <c r="C126" s="614" t="s">
        <v>2380</v>
      </c>
      <c r="D126" s="614" t="s">
        <v>2702</v>
      </c>
      <c r="E126" s="614" t="s">
        <v>2703</v>
      </c>
      <c r="F126" s="617"/>
      <c r="G126" s="617"/>
      <c r="H126" s="617"/>
      <c r="I126" s="617"/>
      <c r="J126" s="617">
        <v>3</v>
      </c>
      <c r="K126" s="617">
        <v>3826</v>
      </c>
      <c r="L126" s="617"/>
      <c r="M126" s="617">
        <v>1275.3333333333333</v>
      </c>
      <c r="N126" s="617">
        <v>2</v>
      </c>
      <c r="O126" s="617">
        <v>2572</v>
      </c>
      <c r="P126" s="630"/>
      <c r="Q126" s="618">
        <v>1286</v>
      </c>
    </row>
    <row r="127" spans="1:17" ht="14.4" customHeight="1" x14ac:dyDescent="0.3">
      <c r="A127" s="613" t="s">
        <v>323</v>
      </c>
      <c r="B127" s="614" t="s">
        <v>2520</v>
      </c>
      <c r="C127" s="614" t="s">
        <v>2380</v>
      </c>
      <c r="D127" s="614" t="s">
        <v>2704</v>
      </c>
      <c r="E127" s="614" t="s">
        <v>2705</v>
      </c>
      <c r="F127" s="617">
        <v>2</v>
      </c>
      <c r="G127" s="617">
        <v>1058</v>
      </c>
      <c r="H127" s="617">
        <v>1</v>
      </c>
      <c r="I127" s="617">
        <v>529</v>
      </c>
      <c r="J127" s="617"/>
      <c r="K127" s="617"/>
      <c r="L127" s="617"/>
      <c r="M127" s="617"/>
      <c r="N127" s="617">
        <v>1</v>
      </c>
      <c r="O127" s="617">
        <v>540</v>
      </c>
      <c r="P127" s="630">
        <v>0.5103969754253308</v>
      </c>
      <c r="Q127" s="618">
        <v>540</v>
      </c>
    </row>
    <row r="128" spans="1:17" ht="14.4" customHeight="1" x14ac:dyDescent="0.3">
      <c r="A128" s="613" t="s">
        <v>323</v>
      </c>
      <c r="B128" s="614" t="s">
        <v>2520</v>
      </c>
      <c r="C128" s="614" t="s">
        <v>2380</v>
      </c>
      <c r="D128" s="614" t="s">
        <v>2706</v>
      </c>
      <c r="E128" s="614" t="s">
        <v>2707</v>
      </c>
      <c r="F128" s="617"/>
      <c r="G128" s="617"/>
      <c r="H128" s="617"/>
      <c r="I128" s="617"/>
      <c r="J128" s="617"/>
      <c r="K128" s="617"/>
      <c r="L128" s="617"/>
      <c r="M128" s="617"/>
      <c r="N128" s="617">
        <v>1</v>
      </c>
      <c r="O128" s="617">
        <v>5210</v>
      </c>
      <c r="P128" s="630"/>
      <c r="Q128" s="618">
        <v>5210</v>
      </c>
    </row>
    <row r="129" spans="1:17" ht="14.4" customHeight="1" x14ac:dyDescent="0.3">
      <c r="A129" s="613" t="s">
        <v>323</v>
      </c>
      <c r="B129" s="614" t="s">
        <v>2520</v>
      </c>
      <c r="C129" s="614" t="s">
        <v>2380</v>
      </c>
      <c r="D129" s="614" t="s">
        <v>2708</v>
      </c>
      <c r="E129" s="614" t="s">
        <v>2709</v>
      </c>
      <c r="F129" s="617">
        <v>2</v>
      </c>
      <c r="G129" s="617">
        <v>184</v>
      </c>
      <c r="H129" s="617">
        <v>1</v>
      </c>
      <c r="I129" s="617">
        <v>92</v>
      </c>
      <c r="J129" s="617"/>
      <c r="K129" s="617"/>
      <c r="L129" s="617"/>
      <c r="M129" s="617"/>
      <c r="N129" s="617">
        <v>5</v>
      </c>
      <c r="O129" s="617">
        <v>470</v>
      </c>
      <c r="P129" s="630">
        <v>2.5543478260869565</v>
      </c>
      <c r="Q129" s="618">
        <v>94</v>
      </c>
    </row>
    <row r="130" spans="1:17" ht="14.4" customHeight="1" x14ac:dyDescent="0.3">
      <c r="A130" s="613" t="s">
        <v>323</v>
      </c>
      <c r="B130" s="614" t="s">
        <v>2520</v>
      </c>
      <c r="C130" s="614" t="s">
        <v>2380</v>
      </c>
      <c r="D130" s="614" t="s">
        <v>2710</v>
      </c>
      <c r="E130" s="614" t="s">
        <v>2711</v>
      </c>
      <c r="F130" s="617"/>
      <c r="G130" s="617"/>
      <c r="H130" s="617"/>
      <c r="I130" s="617"/>
      <c r="J130" s="617">
        <v>2</v>
      </c>
      <c r="K130" s="617">
        <v>4113</v>
      </c>
      <c r="L130" s="617"/>
      <c r="M130" s="617">
        <v>2056.5</v>
      </c>
      <c r="N130" s="617"/>
      <c r="O130" s="617"/>
      <c r="P130" s="630"/>
      <c r="Q130" s="618"/>
    </row>
    <row r="131" spans="1:17" ht="14.4" customHeight="1" x14ac:dyDescent="0.3">
      <c r="A131" s="613" t="s">
        <v>323</v>
      </c>
      <c r="B131" s="614" t="s">
        <v>2520</v>
      </c>
      <c r="C131" s="614" t="s">
        <v>2380</v>
      </c>
      <c r="D131" s="614" t="s">
        <v>2712</v>
      </c>
      <c r="E131" s="614" t="s">
        <v>2713</v>
      </c>
      <c r="F131" s="617"/>
      <c r="G131" s="617"/>
      <c r="H131" s="617"/>
      <c r="I131" s="617"/>
      <c r="J131" s="617">
        <v>1</v>
      </c>
      <c r="K131" s="617">
        <v>271</v>
      </c>
      <c r="L131" s="617"/>
      <c r="M131" s="617">
        <v>271</v>
      </c>
      <c r="N131" s="617"/>
      <c r="O131" s="617"/>
      <c r="P131" s="630"/>
      <c r="Q131" s="618"/>
    </row>
    <row r="132" spans="1:17" ht="14.4" customHeight="1" x14ac:dyDescent="0.3">
      <c r="A132" s="613" t="s">
        <v>323</v>
      </c>
      <c r="B132" s="614" t="s">
        <v>2520</v>
      </c>
      <c r="C132" s="614" t="s">
        <v>2380</v>
      </c>
      <c r="D132" s="614" t="s">
        <v>2714</v>
      </c>
      <c r="E132" s="614" t="s">
        <v>2715</v>
      </c>
      <c r="F132" s="617"/>
      <c r="G132" s="617"/>
      <c r="H132" s="617"/>
      <c r="I132" s="617"/>
      <c r="J132" s="617">
        <v>2</v>
      </c>
      <c r="K132" s="617">
        <v>11668</v>
      </c>
      <c r="L132" s="617"/>
      <c r="M132" s="617">
        <v>5834</v>
      </c>
      <c r="N132" s="617"/>
      <c r="O132" s="617"/>
      <c r="P132" s="630"/>
      <c r="Q132" s="618"/>
    </row>
    <row r="133" spans="1:17" ht="14.4" customHeight="1" x14ac:dyDescent="0.3">
      <c r="A133" s="613" t="s">
        <v>323</v>
      </c>
      <c r="B133" s="614" t="s">
        <v>2520</v>
      </c>
      <c r="C133" s="614" t="s">
        <v>2380</v>
      </c>
      <c r="D133" s="614" t="s">
        <v>2716</v>
      </c>
      <c r="E133" s="614" t="s">
        <v>2717</v>
      </c>
      <c r="F133" s="617"/>
      <c r="G133" s="617"/>
      <c r="H133" s="617"/>
      <c r="I133" s="617"/>
      <c r="J133" s="617">
        <v>1</v>
      </c>
      <c r="K133" s="617">
        <v>2919</v>
      </c>
      <c r="L133" s="617"/>
      <c r="M133" s="617">
        <v>2919</v>
      </c>
      <c r="N133" s="617"/>
      <c r="O133" s="617"/>
      <c r="P133" s="630"/>
      <c r="Q133" s="618"/>
    </row>
    <row r="134" spans="1:17" ht="14.4" customHeight="1" x14ac:dyDescent="0.3">
      <c r="A134" s="613" t="s">
        <v>323</v>
      </c>
      <c r="B134" s="614" t="s">
        <v>2520</v>
      </c>
      <c r="C134" s="614" t="s">
        <v>2380</v>
      </c>
      <c r="D134" s="614" t="s">
        <v>2718</v>
      </c>
      <c r="E134" s="614" t="s">
        <v>2719</v>
      </c>
      <c r="F134" s="617">
        <v>0</v>
      </c>
      <c r="G134" s="617">
        <v>0</v>
      </c>
      <c r="H134" s="617"/>
      <c r="I134" s="617"/>
      <c r="J134" s="617">
        <v>0</v>
      </c>
      <c r="K134" s="617">
        <v>0</v>
      </c>
      <c r="L134" s="617"/>
      <c r="M134" s="617"/>
      <c r="N134" s="617">
        <v>0</v>
      </c>
      <c r="O134" s="617">
        <v>0</v>
      </c>
      <c r="P134" s="630"/>
      <c r="Q134" s="618"/>
    </row>
    <row r="135" spans="1:17" ht="14.4" customHeight="1" x14ac:dyDescent="0.3">
      <c r="A135" s="613" t="s">
        <v>323</v>
      </c>
      <c r="B135" s="614" t="s">
        <v>2520</v>
      </c>
      <c r="C135" s="614" t="s">
        <v>2380</v>
      </c>
      <c r="D135" s="614" t="s">
        <v>2720</v>
      </c>
      <c r="E135" s="614" t="s">
        <v>2721</v>
      </c>
      <c r="F135" s="617">
        <v>178</v>
      </c>
      <c r="G135" s="617">
        <v>0</v>
      </c>
      <c r="H135" s="617"/>
      <c r="I135" s="617">
        <v>0</v>
      </c>
      <c r="J135" s="617">
        <v>77</v>
      </c>
      <c r="K135" s="617">
        <v>0</v>
      </c>
      <c r="L135" s="617"/>
      <c r="M135" s="617">
        <v>0</v>
      </c>
      <c r="N135" s="617">
        <v>135</v>
      </c>
      <c r="O135" s="617">
        <v>0</v>
      </c>
      <c r="P135" s="630"/>
      <c r="Q135" s="618">
        <v>0</v>
      </c>
    </row>
    <row r="136" spans="1:17" ht="14.4" customHeight="1" x14ac:dyDescent="0.3">
      <c r="A136" s="613" t="s">
        <v>323</v>
      </c>
      <c r="B136" s="614" t="s">
        <v>2520</v>
      </c>
      <c r="C136" s="614" t="s">
        <v>2380</v>
      </c>
      <c r="D136" s="614" t="s">
        <v>2412</v>
      </c>
      <c r="E136" s="614" t="s">
        <v>2413</v>
      </c>
      <c r="F136" s="617">
        <v>36</v>
      </c>
      <c r="G136" s="617">
        <v>0</v>
      </c>
      <c r="H136" s="617"/>
      <c r="I136" s="617">
        <v>0</v>
      </c>
      <c r="J136" s="617"/>
      <c r="K136" s="617"/>
      <c r="L136" s="617"/>
      <c r="M136" s="617"/>
      <c r="N136" s="617"/>
      <c r="O136" s="617"/>
      <c r="P136" s="630"/>
      <c r="Q136" s="618"/>
    </row>
    <row r="137" spans="1:17" ht="14.4" customHeight="1" x14ac:dyDescent="0.3">
      <c r="A137" s="613" t="s">
        <v>323</v>
      </c>
      <c r="B137" s="614" t="s">
        <v>2520</v>
      </c>
      <c r="C137" s="614" t="s">
        <v>2380</v>
      </c>
      <c r="D137" s="614" t="s">
        <v>2722</v>
      </c>
      <c r="E137" s="614" t="s">
        <v>2723</v>
      </c>
      <c r="F137" s="617">
        <v>17</v>
      </c>
      <c r="G137" s="617">
        <v>0</v>
      </c>
      <c r="H137" s="617"/>
      <c r="I137" s="617">
        <v>0</v>
      </c>
      <c r="J137" s="617">
        <v>23</v>
      </c>
      <c r="K137" s="617">
        <v>0</v>
      </c>
      <c r="L137" s="617"/>
      <c r="M137" s="617">
        <v>0</v>
      </c>
      <c r="N137" s="617">
        <v>30</v>
      </c>
      <c r="O137" s="617">
        <v>0</v>
      </c>
      <c r="P137" s="630"/>
      <c r="Q137" s="618">
        <v>0</v>
      </c>
    </row>
    <row r="138" spans="1:17" ht="14.4" customHeight="1" x14ac:dyDescent="0.3">
      <c r="A138" s="613" t="s">
        <v>323</v>
      </c>
      <c r="B138" s="614" t="s">
        <v>2520</v>
      </c>
      <c r="C138" s="614" t="s">
        <v>2380</v>
      </c>
      <c r="D138" s="614" t="s">
        <v>2724</v>
      </c>
      <c r="E138" s="614" t="s">
        <v>2725</v>
      </c>
      <c r="F138" s="617"/>
      <c r="G138" s="617"/>
      <c r="H138" s="617"/>
      <c r="I138" s="617"/>
      <c r="J138" s="617">
        <v>1</v>
      </c>
      <c r="K138" s="617">
        <v>116</v>
      </c>
      <c r="L138" s="617"/>
      <c r="M138" s="617">
        <v>116</v>
      </c>
      <c r="N138" s="617"/>
      <c r="O138" s="617"/>
      <c r="P138" s="630"/>
      <c r="Q138" s="618"/>
    </row>
    <row r="139" spans="1:17" ht="14.4" customHeight="1" x14ac:dyDescent="0.3">
      <c r="A139" s="613" t="s">
        <v>323</v>
      </c>
      <c r="B139" s="614" t="s">
        <v>2520</v>
      </c>
      <c r="C139" s="614" t="s">
        <v>2380</v>
      </c>
      <c r="D139" s="614" t="s">
        <v>2726</v>
      </c>
      <c r="E139" s="614" t="s">
        <v>2727</v>
      </c>
      <c r="F139" s="617">
        <v>1130</v>
      </c>
      <c r="G139" s="617">
        <v>0</v>
      </c>
      <c r="H139" s="617"/>
      <c r="I139" s="617">
        <v>0</v>
      </c>
      <c r="J139" s="617"/>
      <c r="K139" s="617"/>
      <c r="L139" s="617"/>
      <c r="M139" s="617"/>
      <c r="N139" s="617"/>
      <c r="O139" s="617"/>
      <c r="P139" s="630"/>
      <c r="Q139" s="618"/>
    </row>
    <row r="140" spans="1:17" ht="14.4" customHeight="1" x14ac:dyDescent="0.3">
      <c r="A140" s="613" t="s">
        <v>323</v>
      </c>
      <c r="B140" s="614" t="s">
        <v>2520</v>
      </c>
      <c r="C140" s="614" t="s">
        <v>2380</v>
      </c>
      <c r="D140" s="614" t="s">
        <v>2494</v>
      </c>
      <c r="E140" s="614" t="s">
        <v>2495</v>
      </c>
      <c r="F140" s="617">
        <v>4</v>
      </c>
      <c r="G140" s="617">
        <v>324</v>
      </c>
      <c r="H140" s="617">
        <v>1</v>
      </c>
      <c r="I140" s="617">
        <v>81</v>
      </c>
      <c r="J140" s="617">
        <v>13</v>
      </c>
      <c r="K140" s="617">
        <v>1060</v>
      </c>
      <c r="L140" s="617">
        <v>3.2716049382716048</v>
      </c>
      <c r="M140" s="617">
        <v>81.538461538461533</v>
      </c>
      <c r="N140" s="617">
        <v>15</v>
      </c>
      <c r="O140" s="617">
        <v>1230</v>
      </c>
      <c r="P140" s="630">
        <v>3.7962962962962963</v>
      </c>
      <c r="Q140" s="618">
        <v>82</v>
      </c>
    </row>
    <row r="141" spans="1:17" ht="14.4" customHeight="1" x14ac:dyDescent="0.3">
      <c r="A141" s="613" t="s">
        <v>323</v>
      </c>
      <c r="B141" s="614" t="s">
        <v>2520</v>
      </c>
      <c r="C141" s="614" t="s">
        <v>2380</v>
      </c>
      <c r="D141" s="614" t="s">
        <v>2728</v>
      </c>
      <c r="E141" s="614" t="s">
        <v>2729</v>
      </c>
      <c r="F141" s="617">
        <v>1279</v>
      </c>
      <c r="G141" s="617">
        <v>1350022</v>
      </c>
      <c r="H141" s="617">
        <v>1</v>
      </c>
      <c r="I141" s="617">
        <v>1055.529319781079</v>
      </c>
      <c r="J141" s="617">
        <v>1489</v>
      </c>
      <c r="K141" s="617">
        <v>1585173</v>
      </c>
      <c r="L141" s="617">
        <v>1.1741830873867241</v>
      </c>
      <c r="M141" s="617">
        <v>1064.588985896575</v>
      </c>
      <c r="N141" s="617">
        <v>1347</v>
      </c>
      <c r="O141" s="617">
        <v>1427942</v>
      </c>
      <c r="P141" s="630">
        <v>1.057717577935767</v>
      </c>
      <c r="Q141" s="618">
        <v>1060.090571640683</v>
      </c>
    </row>
    <row r="142" spans="1:17" ht="14.4" customHeight="1" x14ac:dyDescent="0.3">
      <c r="A142" s="613" t="s">
        <v>323</v>
      </c>
      <c r="B142" s="614" t="s">
        <v>2520</v>
      </c>
      <c r="C142" s="614" t="s">
        <v>2380</v>
      </c>
      <c r="D142" s="614" t="s">
        <v>2430</v>
      </c>
      <c r="E142" s="614" t="s">
        <v>2431</v>
      </c>
      <c r="F142" s="617">
        <v>1</v>
      </c>
      <c r="G142" s="617">
        <v>0</v>
      </c>
      <c r="H142" s="617"/>
      <c r="I142" s="617">
        <v>0</v>
      </c>
      <c r="J142" s="617">
        <v>3</v>
      </c>
      <c r="K142" s="617">
        <v>0</v>
      </c>
      <c r="L142" s="617"/>
      <c r="M142" s="617">
        <v>0</v>
      </c>
      <c r="N142" s="617">
        <v>5</v>
      </c>
      <c r="O142" s="617">
        <v>0</v>
      </c>
      <c r="P142" s="630"/>
      <c r="Q142" s="618">
        <v>0</v>
      </c>
    </row>
    <row r="143" spans="1:17" ht="14.4" customHeight="1" x14ac:dyDescent="0.3">
      <c r="A143" s="613" t="s">
        <v>323</v>
      </c>
      <c r="B143" s="614" t="s">
        <v>2520</v>
      </c>
      <c r="C143" s="614" t="s">
        <v>2380</v>
      </c>
      <c r="D143" s="614" t="s">
        <v>2730</v>
      </c>
      <c r="E143" s="614" t="s">
        <v>2731</v>
      </c>
      <c r="F143" s="617"/>
      <c r="G143" s="617"/>
      <c r="H143" s="617"/>
      <c r="I143" s="617"/>
      <c r="J143" s="617">
        <v>1</v>
      </c>
      <c r="K143" s="617">
        <v>1892</v>
      </c>
      <c r="L143" s="617"/>
      <c r="M143" s="617">
        <v>1892</v>
      </c>
      <c r="N143" s="617">
        <v>3</v>
      </c>
      <c r="O143" s="617">
        <v>5766</v>
      </c>
      <c r="P143" s="630"/>
      <c r="Q143" s="618">
        <v>1922</v>
      </c>
    </row>
    <row r="144" spans="1:17" ht="14.4" customHeight="1" x14ac:dyDescent="0.3">
      <c r="A144" s="613" t="s">
        <v>323</v>
      </c>
      <c r="B144" s="614" t="s">
        <v>2520</v>
      </c>
      <c r="C144" s="614" t="s">
        <v>2380</v>
      </c>
      <c r="D144" s="614" t="s">
        <v>2732</v>
      </c>
      <c r="E144" s="614" t="s">
        <v>2733</v>
      </c>
      <c r="F144" s="617">
        <v>1</v>
      </c>
      <c r="G144" s="617">
        <v>5701</v>
      </c>
      <c r="H144" s="617">
        <v>1</v>
      </c>
      <c r="I144" s="617">
        <v>5701</v>
      </c>
      <c r="J144" s="617"/>
      <c r="K144" s="617"/>
      <c r="L144" s="617"/>
      <c r="M144" s="617"/>
      <c r="N144" s="617"/>
      <c r="O144" s="617"/>
      <c r="P144" s="630"/>
      <c r="Q144" s="618"/>
    </row>
    <row r="145" spans="1:17" ht="14.4" customHeight="1" x14ac:dyDescent="0.3">
      <c r="A145" s="613" t="s">
        <v>323</v>
      </c>
      <c r="B145" s="614" t="s">
        <v>2520</v>
      </c>
      <c r="C145" s="614" t="s">
        <v>2380</v>
      </c>
      <c r="D145" s="614" t="s">
        <v>2734</v>
      </c>
      <c r="E145" s="614" t="s">
        <v>2735</v>
      </c>
      <c r="F145" s="617">
        <v>2</v>
      </c>
      <c r="G145" s="617">
        <v>1368</v>
      </c>
      <c r="H145" s="617">
        <v>1</v>
      </c>
      <c r="I145" s="617">
        <v>684</v>
      </c>
      <c r="J145" s="617">
        <v>2</v>
      </c>
      <c r="K145" s="617">
        <v>1373</v>
      </c>
      <c r="L145" s="617">
        <v>1.003654970760234</v>
      </c>
      <c r="M145" s="617">
        <v>686.5</v>
      </c>
      <c r="N145" s="617">
        <v>11</v>
      </c>
      <c r="O145" s="617">
        <v>7601</v>
      </c>
      <c r="P145" s="630">
        <v>5.5562865497076022</v>
      </c>
      <c r="Q145" s="618">
        <v>691</v>
      </c>
    </row>
    <row r="146" spans="1:17" ht="14.4" customHeight="1" x14ac:dyDescent="0.3">
      <c r="A146" s="613" t="s">
        <v>323</v>
      </c>
      <c r="B146" s="614" t="s">
        <v>2520</v>
      </c>
      <c r="C146" s="614" t="s">
        <v>2380</v>
      </c>
      <c r="D146" s="614" t="s">
        <v>2736</v>
      </c>
      <c r="E146" s="614" t="s">
        <v>2737</v>
      </c>
      <c r="F146" s="617">
        <v>1</v>
      </c>
      <c r="G146" s="617">
        <v>2843</v>
      </c>
      <c r="H146" s="617">
        <v>1</v>
      </c>
      <c r="I146" s="617">
        <v>2843</v>
      </c>
      <c r="J146" s="617">
        <v>4</v>
      </c>
      <c r="K146" s="617">
        <v>11426</v>
      </c>
      <c r="L146" s="617">
        <v>4.0189940204009851</v>
      </c>
      <c r="M146" s="617">
        <v>2856.5</v>
      </c>
      <c r="N146" s="617">
        <v>4</v>
      </c>
      <c r="O146" s="617">
        <v>11528</v>
      </c>
      <c r="P146" s="630">
        <v>4.0548716144917343</v>
      </c>
      <c r="Q146" s="618">
        <v>2882</v>
      </c>
    </row>
    <row r="147" spans="1:17" ht="14.4" customHeight="1" x14ac:dyDescent="0.3">
      <c r="A147" s="613" t="s">
        <v>323</v>
      </c>
      <c r="B147" s="614" t="s">
        <v>2520</v>
      </c>
      <c r="C147" s="614" t="s">
        <v>2380</v>
      </c>
      <c r="D147" s="614" t="s">
        <v>2738</v>
      </c>
      <c r="E147" s="614" t="s">
        <v>2739</v>
      </c>
      <c r="F147" s="617">
        <v>2</v>
      </c>
      <c r="G147" s="617">
        <v>5264</v>
      </c>
      <c r="H147" s="617">
        <v>1</v>
      </c>
      <c r="I147" s="617">
        <v>2632</v>
      </c>
      <c r="J147" s="617">
        <v>5</v>
      </c>
      <c r="K147" s="617">
        <v>13176</v>
      </c>
      <c r="L147" s="617">
        <v>2.5030395136778116</v>
      </c>
      <c r="M147" s="617">
        <v>2635.2</v>
      </c>
      <c r="N147" s="617">
        <v>8</v>
      </c>
      <c r="O147" s="617">
        <v>21226</v>
      </c>
      <c r="P147" s="630">
        <v>4.0322948328267474</v>
      </c>
      <c r="Q147" s="618">
        <v>2653.25</v>
      </c>
    </row>
    <row r="148" spans="1:17" ht="14.4" customHeight="1" x14ac:dyDescent="0.3">
      <c r="A148" s="613" t="s">
        <v>323</v>
      </c>
      <c r="B148" s="614" t="s">
        <v>2520</v>
      </c>
      <c r="C148" s="614" t="s">
        <v>2380</v>
      </c>
      <c r="D148" s="614" t="s">
        <v>2740</v>
      </c>
      <c r="E148" s="614" t="s">
        <v>2741</v>
      </c>
      <c r="F148" s="617">
        <v>6</v>
      </c>
      <c r="G148" s="617">
        <v>14808</v>
      </c>
      <c r="H148" s="617">
        <v>1</v>
      </c>
      <c r="I148" s="617">
        <v>2468</v>
      </c>
      <c r="J148" s="617">
        <v>6</v>
      </c>
      <c r="K148" s="617">
        <v>14838</v>
      </c>
      <c r="L148" s="617">
        <v>1.0020259319286873</v>
      </c>
      <c r="M148" s="617">
        <v>2473</v>
      </c>
      <c r="N148" s="617">
        <v>4</v>
      </c>
      <c r="O148" s="617">
        <v>10034</v>
      </c>
      <c r="P148" s="630">
        <v>0.67760669908157756</v>
      </c>
      <c r="Q148" s="618">
        <v>2508.5</v>
      </c>
    </row>
    <row r="149" spans="1:17" ht="14.4" customHeight="1" x14ac:dyDescent="0.3">
      <c r="A149" s="613" t="s">
        <v>323</v>
      </c>
      <c r="B149" s="614" t="s">
        <v>2520</v>
      </c>
      <c r="C149" s="614" t="s">
        <v>2380</v>
      </c>
      <c r="D149" s="614" t="s">
        <v>2742</v>
      </c>
      <c r="E149" s="614" t="s">
        <v>2743</v>
      </c>
      <c r="F149" s="617">
        <v>1</v>
      </c>
      <c r="G149" s="617">
        <v>5227</v>
      </c>
      <c r="H149" s="617">
        <v>1</v>
      </c>
      <c r="I149" s="617">
        <v>5227</v>
      </c>
      <c r="J149" s="617">
        <v>1</v>
      </c>
      <c r="K149" s="617">
        <v>5227</v>
      </c>
      <c r="L149" s="617">
        <v>1</v>
      </c>
      <c r="M149" s="617">
        <v>5227</v>
      </c>
      <c r="N149" s="617"/>
      <c r="O149" s="617"/>
      <c r="P149" s="630"/>
      <c r="Q149" s="618"/>
    </row>
    <row r="150" spans="1:17" ht="14.4" customHeight="1" x14ac:dyDescent="0.3">
      <c r="A150" s="613" t="s">
        <v>323</v>
      </c>
      <c r="B150" s="614" t="s">
        <v>2520</v>
      </c>
      <c r="C150" s="614" t="s">
        <v>2380</v>
      </c>
      <c r="D150" s="614" t="s">
        <v>2744</v>
      </c>
      <c r="E150" s="614" t="s">
        <v>2745</v>
      </c>
      <c r="F150" s="617">
        <v>7</v>
      </c>
      <c r="G150" s="617">
        <v>15323</v>
      </c>
      <c r="H150" s="617">
        <v>1</v>
      </c>
      <c r="I150" s="617">
        <v>2189</v>
      </c>
      <c r="J150" s="617">
        <v>3</v>
      </c>
      <c r="K150" s="617">
        <v>6597</v>
      </c>
      <c r="L150" s="617">
        <v>0.43052926972524963</v>
      </c>
      <c r="M150" s="617">
        <v>2199</v>
      </c>
      <c r="N150" s="617">
        <v>3</v>
      </c>
      <c r="O150" s="617">
        <v>6699</v>
      </c>
      <c r="P150" s="630">
        <v>0.43718592964824121</v>
      </c>
      <c r="Q150" s="618">
        <v>2233</v>
      </c>
    </row>
    <row r="151" spans="1:17" ht="14.4" customHeight="1" x14ac:dyDescent="0.3">
      <c r="A151" s="613" t="s">
        <v>323</v>
      </c>
      <c r="B151" s="614" t="s">
        <v>2520</v>
      </c>
      <c r="C151" s="614" t="s">
        <v>2380</v>
      </c>
      <c r="D151" s="614" t="s">
        <v>2504</v>
      </c>
      <c r="E151" s="614" t="s">
        <v>2505</v>
      </c>
      <c r="F151" s="617">
        <v>1</v>
      </c>
      <c r="G151" s="617">
        <v>312</v>
      </c>
      <c r="H151" s="617">
        <v>1</v>
      </c>
      <c r="I151" s="617">
        <v>312</v>
      </c>
      <c r="J151" s="617"/>
      <c r="K151" s="617"/>
      <c r="L151" s="617"/>
      <c r="M151" s="617"/>
      <c r="N151" s="617"/>
      <c r="O151" s="617"/>
      <c r="P151" s="630"/>
      <c r="Q151" s="618"/>
    </row>
    <row r="152" spans="1:17" ht="14.4" customHeight="1" x14ac:dyDescent="0.3">
      <c r="A152" s="613" t="s">
        <v>323</v>
      </c>
      <c r="B152" s="614" t="s">
        <v>2520</v>
      </c>
      <c r="C152" s="614" t="s">
        <v>2380</v>
      </c>
      <c r="D152" s="614" t="s">
        <v>2746</v>
      </c>
      <c r="E152" s="614" t="s">
        <v>2747</v>
      </c>
      <c r="F152" s="617">
        <v>258</v>
      </c>
      <c r="G152" s="617">
        <v>88748</v>
      </c>
      <c r="H152" s="617">
        <v>1</v>
      </c>
      <c r="I152" s="617">
        <v>343.98449612403101</v>
      </c>
      <c r="J152" s="617">
        <v>355</v>
      </c>
      <c r="K152" s="617">
        <v>121308</v>
      </c>
      <c r="L152" s="617">
        <v>1.3668815071888945</v>
      </c>
      <c r="M152" s="617">
        <v>341.71267605633801</v>
      </c>
      <c r="N152" s="617">
        <v>286</v>
      </c>
      <c r="O152" s="617">
        <v>99812</v>
      </c>
      <c r="P152" s="630">
        <v>1.1246675981430567</v>
      </c>
      <c r="Q152" s="618">
        <v>348.99300699300699</v>
      </c>
    </row>
    <row r="153" spans="1:17" ht="14.4" customHeight="1" x14ac:dyDescent="0.3">
      <c r="A153" s="613" t="s">
        <v>323</v>
      </c>
      <c r="B153" s="614" t="s">
        <v>2520</v>
      </c>
      <c r="C153" s="614" t="s">
        <v>2380</v>
      </c>
      <c r="D153" s="614" t="s">
        <v>2748</v>
      </c>
      <c r="E153" s="614" t="s">
        <v>2749</v>
      </c>
      <c r="F153" s="617">
        <v>4</v>
      </c>
      <c r="G153" s="617">
        <v>5352</v>
      </c>
      <c r="H153" s="617">
        <v>1</v>
      </c>
      <c r="I153" s="617">
        <v>1338</v>
      </c>
      <c r="J153" s="617">
        <v>7</v>
      </c>
      <c r="K153" s="617">
        <v>9408</v>
      </c>
      <c r="L153" s="617">
        <v>1.757847533632287</v>
      </c>
      <c r="M153" s="617">
        <v>1344</v>
      </c>
      <c r="N153" s="617">
        <v>2</v>
      </c>
      <c r="O153" s="617">
        <v>2716</v>
      </c>
      <c r="P153" s="630">
        <v>0.50747384155455899</v>
      </c>
      <c r="Q153" s="618">
        <v>1358</v>
      </c>
    </row>
    <row r="154" spans="1:17" ht="14.4" customHeight="1" x14ac:dyDescent="0.3">
      <c r="A154" s="613" t="s">
        <v>323</v>
      </c>
      <c r="B154" s="614" t="s">
        <v>2520</v>
      </c>
      <c r="C154" s="614" t="s">
        <v>2380</v>
      </c>
      <c r="D154" s="614" t="s">
        <v>2750</v>
      </c>
      <c r="E154" s="614" t="s">
        <v>2751</v>
      </c>
      <c r="F154" s="617">
        <v>38</v>
      </c>
      <c r="G154" s="617">
        <v>91504</v>
      </c>
      <c r="H154" s="617">
        <v>1</v>
      </c>
      <c r="I154" s="617">
        <v>2408</v>
      </c>
      <c r="J154" s="617">
        <v>33</v>
      </c>
      <c r="K154" s="617">
        <v>65316</v>
      </c>
      <c r="L154" s="617">
        <v>0.71380486098968354</v>
      </c>
      <c r="M154" s="617">
        <v>1979.2727272727273</v>
      </c>
      <c r="N154" s="617">
        <v>36</v>
      </c>
      <c r="O154" s="617">
        <v>88258</v>
      </c>
      <c r="P154" s="630">
        <v>0.96452614093372968</v>
      </c>
      <c r="Q154" s="618">
        <v>2451.6111111111113</v>
      </c>
    </row>
    <row r="155" spans="1:17" ht="14.4" customHeight="1" x14ac:dyDescent="0.3">
      <c r="A155" s="613" t="s">
        <v>323</v>
      </c>
      <c r="B155" s="614" t="s">
        <v>2520</v>
      </c>
      <c r="C155" s="614" t="s">
        <v>2380</v>
      </c>
      <c r="D155" s="614" t="s">
        <v>2752</v>
      </c>
      <c r="E155" s="614" t="s">
        <v>2753</v>
      </c>
      <c r="F155" s="617">
        <v>3</v>
      </c>
      <c r="G155" s="617">
        <v>13569</v>
      </c>
      <c r="H155" s="617">
        <v>1</v>
      </c>
      <c r="I155" s="617">
        <v>4523</v>
      </c>
      <c r="J155" s="617">
        <v>2</v>
      </c>
      <c r="K155" s="617">
        <v>9108</v>
      </c>
      <c r="L155" s="617">
        <v>0.6712359053725403</v>
      </c>
      <c r="M155" s="617">
        <v>4554</v>
      </c>
      <c r="N155" s="617">
        <v>1</v>
      </c>
      <c r="O155" s="617">
        <v>4612</v>
      </c>
      <c r="P155" s="630">
        <v>0.3398924017982165</v>
      </c>
      <c r="Q155" s="618">
        <v>4612</v>
      </c>
    </row>
    <row r="156" spans="1:17" ht="14.4" customHeight="1" x14ac:dyDescent="0.3">
      <c r="A156" s="613" t="s">
        <v>323</v>
      </c>
      <c r="B156" s="614" t="s">
        <v>2520</v>
      </c>
      <c r="C156" s="614" t="s">
        <v>2380</v>
      </c>
      <c r="D156" s="614" t="s">
        <v>2754</v>
      </c>
      <c r="E156" s="614" t="s">
        <v>2755</v>
      </c>
      <c r="F156" s="617"/>
      <c r="G156" s="617"/>
      <c r="H156" s="617"/>
      <c r="I156" s="617"/>
      <c r="J156" s="617"/>
      <c r="K156" s="617"/>
      <c r="L156" s="617"/>
      <c r="M156" s="617"/>
      <c r="N156" s="617">
        <v>3</v>
      </c>
      <c r="O156" s="617">
        <v>15396</v>
      </c>
      <c r="P156" s="630"/>
      <c r="Q156" s="618">
        <v>5132</v>
      </c>
    </row>
    <row r="157" spans="1:17" ht="14.4" customHeight="1" x14ac:dyDescent="0.3">
      <c r="A157" s="613" t="s">
        <v>323</v>
      </c>
      <c r="B157" s="614" t="s">
        <v>2520</v>
      </c>
      <c r="C157" s="614" t="s">
        <v>2380</v>
      </c>
      <c r="D157" s="614" t="s">
        <v>2756</v>
      </c>
      <c r="E157" s="614" t="s">
        <v>2757</v>
      </c>
      <c r="F157" s="617">
        <v>1</v>
      </c>
      <c r="G157" s="617">
        <v>2913</v>
      </c>
      <c r="H157" s="617">
        <v>1</v>
      </c>
      <c r="I157" s="617">
        <v>2913</v>
      </c>
      <c r="J157" s="617"/>
      <c r="K157" s="617"/>
      <c r="L157" s="617"/>
      <c r="M157" s="617"/>
      <c r="N157" s="617">
        <v>3</v>
      </c>
      <c r="O157" s="617">
        <v>8895</v>
      </c>
      <c r="P157" s="630">
        <v>3.0535530381050462</v>
      </c>
      <c r="Q157" s="618">
        <v>2965</v>
      </c>
    </row>
    <row r="158" spans="1:17" ht="14.4" customHeight="1" x14ac:dyDescent="0.3">
      <c r="A158" s="613" t="s">
        <v>323</v>
      </c>
      <c r="B158" s="614" t="s">
        <v>2520</v>
      </c>
      <c r="C158" s="614" t="s">
        <v>2380</v>
      </c>
      <c r="D158" s="614" t="s">
        <v>2758</v>
      </c>
      <c r="E158" s="614" t="s">
        <v>2759</v>
      </c>
      <c r="F158" s="617">
        <v>2</v>
      </c>
      <c r="G158" s="617">
        <v>2502</v>
      </c>
      <c r="H158" s="617">
        <v>1</v>
      </c>
      <c r="I158" s="617">
        <v>1251</v>
      </c>
      <c r="J158" s="617">
        <v>2</v>
      </c>
      <c r="K158" s="617">
        <v>2502</v>
      </c>
      <c r="L158" s="617">
        <v>1</v>
      </c>
      <c r="M158" s="617">
        <v>1251</v>
      </c>
      <c r="N158" s="617">
        <v>1</v>
      </c>
      <c r="O158" s="617">
        <v>1273</v>
      </c>
      <c r="P158" s="630">
        <v>0.50879296562749798</v>
      </c>
      <c r="Q158" s="618">
        <v>1273</v>
      </c>
    </row>
    <row r="159" spans="1:17" ht="14.4" customHeight="1" x14ac:dyDescent="0.3">
      <c r="A159" s="613" t="s">
        <v>323</v>
      </c>
      <c r="B159" s="614" t="s">
        <v>2520</v>
      </c>
      <c r="C159" s="614" t="s">
        <v>2380</v>
      </c>
      <c r="D159" s="614" t="s">
        <v>2760</v>
      </c>
      <c r="E159" s="614" t="s">
        <v>2761</v>
      </c>
      <c r="F159" s="617"/>
      <c r="G159" s="617"/>
      <c r="H159" s="617"/>
      <c r="I159" s="617"/>
      <c r="J159" s="617">
        <v>2</v>
      </c>
      <c r="K159" s="617">
        <v>4666</v>
      </c>
      <c r="L159" s="617"/>
      <c r="M159" s="617">
        <v>2333</v>
      </c>
      <c r="N159" s="617"/>
      <c r="O159" s="617"/>
      <c r="P159" s="630"/>
      <c r="Q159" s="618"/>
    </row>
    <row r="160" spans="1:17" ht="14.4" customHeight="1" x14ac:dyDescent="0.3">
      <c r="A160" s="613" t="s">
        <v>323</v>
      </c>
      <c r="B160" s="614" t="s">
        <v>2520</v>
      </c>
      <c r="C160" s="614" t="s">
        <v>2380</v>
      </c>
      <c r="D160" s="614" t="s">
        <v>2762</v>
      </c>
      <c r="E160" s="614" t="s">
        <v>2763</v>
      </c>
      <c r="F160" s="617">
        <v>28</v>
      </c>
      <c r="G160" s="617">
        <v>16716</v>
      </c>
      <c r="H160" s="617">
        <v>1</v>
      </c>
      <c r="I160" s="617">
        <v>597</v>
      </c>
      <c r="J160" s="617">
        <v>22</v>
      </c>
      <c r="K160" s="617">
        <v>10802</v>
      </c>
      <c r="L160" s="617">
        <v>0.64620722660923668</v>
      </c>
      <c r="M160" s="617">
        <v>491</v>
      </c>
      <c r="N160" s="617">
        <v>21</v>
      </c>
      <c r="O160" s="617">
        <v>12768</v>
      </c>
      <c r="P160" s="630">
        <v>0.76381909547738691</v>
      </c>
      <c r="Q160" s="618">
        <v>608</v>
      </c>
    </row>
    <row r="161" spans="1:17" ht="14.4" customHeight="1" x14ac:dyDescent="0.3">
      <c r="A161" s="613" t="s">
        <v>323</v>
      </c>
      <c r="B161" s="614" t="s">
        <v>2520</v>
      </c>
      <c r="C161" s="614" t="s">
        <v>2380</v>
      </c>
      <c r="D161" s="614" t="s">
        <v>2764</v>
      </c>
      <c r="E161" s="614" t="s">
        <v>2765</v>
      </c>
      <c r="F161" s="617">
        <v>14</v>
      </c>
      <c r="G161" s="617">
        <v>20244</v>
      </c>
      <c r="H161" s="617">
        <v>1</v>
      </c>
      <c r="I161" s="617">
        <v>1446</v>
      </c>
      <c r="J161" s="617">
        <v>16</v>
      </c>
      <c r="K161" s="617">
        <v>20344</v>
      </c>
      <c r="L161" s="617">
        <v>1.0049397352301916</v>
      </c>
      <c r="M161" s="617">
        <v>1271.5</v>
      </c>
      <c r="N161" s="617">
        <v>16</v>
      </c>
      <c r="O161" s="617">
        <v>23600</v>
      </c>
      <c r="P161" s="630">
        <v>1.1657775143252322</v>
      </c>
      <c r="Q161" s="618">
        <v>1475</v>
      </c>
    </row>
    <row r="162" spans="1:17" ht="14.4" customHeight="1" x14ac:dyDescent="0.3">
      <c r="A162" s="613" t="s">
        <v>323</v>
      </c>
      <c r="B162" s="614" t="s">
        <v>2520</v>
      </c>
      <c r="C162" s="614" t="s">
        <v>2380</v>
      </c>
      <c r="D162" s="614" t="s">
        <v>2766</v>
      </c>
      <c r="E162" s="614" t="s">
        <v>2767</v>
      </c>
      <c r="F162" s="617">
        <v>2</v>
      </c>
      <c r="G162" s="617">
        <v>4644</v>
      </c>
      <c r="H162" s="617">
        <v>1</v>
      </c>
      <c r="I162" s="617">
        <v>2322</v>
      </c>
      <c r="J162" s="617"/>
      <c r="K162" s="617"/>
      <c r="L162" s="617"/>
      <c r="M162" s="617"/>
      <c r="N162" s="617"/>
      <c r="O162" s="617"/>
      <c r="P162" s="630"/>
      <c r="Q162" s="618"/>
    </row>
    <row r="163" spans="1:17" ht="14.4" customHeight="1" x14ac:dyDescent="0.3">
      <c r="A163" s="613" t="s">
        <v>323</v>
      </c>
      <c r="B163" s="614" t="s">
        <v>2520</v>
      </c>
      <c r="C163" s="614" t="s">
        <v>2380</v>
      </c>
      <c r="D163" s="614" t="s">
        <v>2768</v>
      </c>
      <c r="E163" s="614" t="s">
        <v>2769</v>
      </c>
      <c r="F163" s="617">
        <v>5</v>
      </c>
      <c r="G163" s="617">
        <v>15620</v>
      </c>
      <c r="H163" s="617">
        <v>1</v>
      </c>
      <c r="I163" s="617">
        <v>3124</v>
      </c>
      <c r="J163" s="617">
        <v>7</v>
      </c>
      <c r="K163" s="617">
        <v>21976</v>
      </c>
      <c r="L163" s="617">
        <v>1.4069142125480154</v>
      </c>
      <c r="M163" s="617">
        <v>3139.4285714285716</v>
      </c>
      <c r="N163" s="617">
        <v>5</v>
      </c>
      <c r="O163" s="617">
        <v>15815</v>
      </c>
      <c r="P163" s="630">
        <v>1.012483994878361</v>
      </c>
      <c r="Q163" s="618">
        <v>3163</v>
      </c>
    </row>
    <row r="164" spans="1:17" ht="14.4" customHeight="1" x14ac:dyDescent="0.3">
      <c r="A164" s="613" t="s">
        <v>323</v>
      </c>
      <c r="B164" s="614" t="s">
        <v>2520</v>
      </c>
      <c r="C164" s="614" t="s">
        <v>2380</v>
      </c>
      <c r="D164" s="614" t="s">
        <v>2770</v>
      </c>
      <c r="E164" s="614" t="s">
        <v>2771</v>
      </c>
      <c r="F164" s="617">
        <v>6</v>
      </c>
      <c r="G164" s="617">
        <v>18348</v>
      </c>
      <c r="H164" s="617">
        <v>1</v>
      </c>
      <c r="I164" s="617">
        <v>3058</v>
      </c>
      <c r="J164" s="617">
        <v>2</v>
      </c>
      <c r="K164" s="617">
        <v>6116</v>
      </c>
      <c r="L164" s="617">
        <v>0.33333333333333331</v>
      </c>
      <c r="M164" s="617">
        <v>3058</v>
      </c>
      <c r="N164" s="617">
        <v>3</v>
      </c>
      <c r="O164" s="617">
        <v>9291</v>
      </c>
      <c r="P164" s="630">
        <v>0.50637671680837149</v>
      </c>
      <c r="Q164" s="618">
        <v>3097</v>
      </c>
    </row>
    <row r="165" spans="1:17" ht="14.4" customHeight="1" x14ac:dyDescent="0.3">
      <c r="A165" s="613" t="s">
        <v>323</v>
      </c>
      <c r="B165" s="614" t="s">
        <v>2520</v>
      </c>
      <c r="C165" s="614" t="s">
        <v>2380</v>
      </c>
      <c r="D165" s="614" t="s">
        <v>2772</v>
      </c>
      <c r="E165" s="614" t="s">
        <v>2773</v>
      </c>
      <c r="F165" s="617"/>
      <c r="G165" s="617"/>
      <c r="H165" s="617"/>
      <c r="I165" s="617"/>
      <c r="J165" s="617"/>
      <c r="K165" s="617"/>
      <c r="L165" s="617"/>
      <c r="M165" s="617"/>
      <c r="N165" s="617">
        <v>4</v>
      </c>
      <c r="O165" s="617">
        <v>14752</v>
      </c>
      <c r="P165" s="630"/>
      <c r="Q165" s="618">
        <v>3688</v>
      </c>
    </row>
    <row r="166" spans="1:17" ht="14.4" customHeight="1" x14ac:dyDescent="0.3">
      <c r="A166" s="613" t="s">
        <v>323</v>
      </c>
      <c r="B166" s="614" t="s">
        <v>2520</v>
      </c>
      <c r="C166" s="614" t="s">
        <v>2380</v>
      </c>
      <c r="D166" s="614" t="s">
        <v>2774</v>
      </c>
      <c r="E166" s="614" t="s">
        <v>2775</v>
      </c>
      <c r="F166" s="617">
        <v>15</v>
      </c>
      <c r="G166" s="617">
        <v>26295</v>
      </c>
      <c r="H166" s="617">
        <v>1</v>
      </c>
      <c r="I166" s="617">
        <v>1753</v>
      </c>
      <c r="J166" s="617">
        <v>13</v>
      </c>
      <c r="K166" s="617">
        <v>22949</v>
      </c>
      <c r="L166" s="617">
        <v>0.8727514736641947</v>
      </c>
      <c r="M166" s="617">
        <v>1765.3076923076924</v>
      </c>
      <c r="N166" s="617">
        <v>24</v>
      </c>
      <c r="O166" s="617">
        <v>42768</v>
      </c>
      <c r="P166" s="630">
        <v>1.6264689104392469</v>
      </c>
      <c r="Q166" s="618">
        <v>1782</v>
      </c>
    </row>
    <row r="167" spans="1:17" ht="14.4" customHeight="1" x14ac:dyDescent="0.3">
      <c r="A167" s="613" t="s">
        <v>323</v>
      </c>
      <c r="B167" s="614" t="s">
        <v>2520</v>
      </c>
      <c r="C167" s="614" t="s">
        <v>2380</v>
      </c>
      <c r="D167" s="614" t="s">
        <v>2776</v>
      </c>
      <c r="E167" s="614" t="s">
        <v>2777</v>
      </c>
      <c r="F167" s="617">
        <v>0</v>
      </c>
      <c r="G167" s="617">
        <v>0</v>
      </c>
      <c r="H167" s="617"/>
      <c r="I167" s="617"/>
      <c r="J167" s="617"/>
      <c r="K167" s="617"/>
      <c r="L167" s="617"/>
      <c r="M167" s="617"/>
      <c r="N167" s="617"/>
      <c r="O167" s="617"/>
      <c r="P167" s="630"/>
      <c r="Q167" s="618"/>
    </row>
    <row r="168" spans="1:17" ht="14.4" customHeight="1" x14ac:dyDescent="0.3">
      <c r="A168" s="613" t="s">
        <v>323</v>
      </c>
      <c r="B168" s="614" t="s">
        <v>2520</v>
      </c>
      <c r="C168" s="614" t="s">
        <v>2380</v>
      </c>
      <c r="D168" s="614" t="s">
        <v>2778</v>
      </c>
      <c r="E168" s="614" t="s">
        <v>2779</v>
      </c>
      <c r="F168" s="617">
        <v>4</v>
      </c>
      <c r="G168" s="617">
        <v>4312</v>
      </c>
      <c r="H168" s="617">
        <v>1</v>
      </c>
      <c r="I168" s="617">
        <v>1078</v>
      </c>
      <c r="J168" s="617">
        <v>6</v>
      </c>
      <c r="K168" s="617">
        <v>6498</v>
      </c>
      <c r="L168" s="617">
        <v>1.5069573283858999</v>
      </c>
      <c r="M168" s="617">
        <v>1083</v>
      </c>
      <c r="N168" s="617">
        <v>4</v>
      </c>
      <c r="O168" s="617">
        <v>4400</v>
      </c>
      <c r="P168" s="630">
        <v>1.0204081632653061</v>
      </c>
      <c r="Q168" s="618">
        <v>1100</v>
      </c>
    </row>
    <row r="169" spans="1:17" ht="14.4" customHeight="1" x14ac:dyDescent="0.3">
      <c r="A169" s="613" t="s">
        <v>323</v>
      </c>
      <c r="B169" s="614" t="s">
        <v>2520</v>
      </c>
      <c r="C169" s="614" t="s">
        <v>2380</v>
      </c>
      <c r="D169" s="614" t="s">
        <v>2780</v>
      </c>
      <c r="E169" s="614" t="s">
        <v>2781</v>
      </c>
      <c r="F169" s="617">
        <v>3</v>
      </c>
      <c r="G169" s="617">
        <v>1593</v>
      </c>
      <c r="H169" s="617">
        <v>1</v>
      </c>
      <c r="I169" s="617">
        <v>531</v>
      </c>
      <c r="J169" s="617">
        <v>11</v>
      </c>
      <c r="K169" s="617">
        <v>5846</v>
      </c>
      <c r="L169" s="617">
        <v>3.669805398618958</v>
      </c>
      <c r="M169" s="617">
        <v>531.4545454545455</v>
      </c>
      <c r="N169" s="617">
        <v>2</v>
      </c>
      <c r="O169" s="617">
        <v>1076</v>
      </c>
      <c r="P169" s="630">
        <v>0.67545511613308229</v>
      </c>
      <c r="Q169" s="618">
        <v>538</v>
      </c>
    </row>
    <row r="170" spans="1:17" ht="14.4" customHeight="1" x14ac:dyDescent="0.3">
      <c r="A170" s="613" t="s">
        <v>323</v>
      </c>
      <c r="B170" s="614" t="s">
        <v>2520</v>
      </c>
      <c r="C170" s="614" t="s">
        <v>2380</v>
      </c>
      <c r="D170" s="614" t="s">
        <v>2782</v>
      </c>
      <c r="E170" s="614" t="s">
        <v>2783</v>
      </c>
      <c r="F170" s="617">
        <v>1</v>
      </c>
      <c r="G170" s="617">
        <v>466</v>
      </c>
      <c r="H170" s="617">
        <v>1</v>
      </c>
      <c r="I170" s="617">
        <v>466</v>
      </c>
      <c r="J170" s="617"/>
      <c r="K170" s="617"/>
      <c r="L170" s="617"/>
      <c r="M170" s="617"/>
      <c r="N170" s="617">
        <v>2</v>
      </c>
      <c r="O170" s="617">
        <v>952</v>
      </c>
      <c r="P170" s="630">
        <v>2.0429184549356223</v>
      </c>
      <c r="Q170" s="618">
        <v>476</v>
      </c>
    </row>
    <row r="171" spans="1:17" ht="14.4" customHeight="1" x14ac:dyDescent="0.3">
      <c r="A171" s="613" t="s">
        <v>323</v>
      </c>
      <c r="B171" s="614" t="s">
        <v>2520</v>
      </c>
      <c r="C171" s="614" t="s">
        <v>2380</v>
      </c>
      <c r="D171" s="614" t="s">
        <v>2784</v>
      </c>
      <c r="E171" s="614" t="s">
        <v>2785</v>
      </c>
      <c r="F171" s="617"/>
      <c r="G171" s="617"/>
      <c r="H171" s="617"/>
      <c r="I171" s="617"/>
      <c r="J171" s="617">
        <v>2</v>
      </c>
      <c r="K171" s="617">
        <v>2253</v>
      </c>
      <c r="L171" s="617"/>
      <c r="M171" s="617">
        <v>1126.5</v>
      </c>
      <c r="N171" s="617"/>
      <c r="O171" s="617"/>
      <c r="P171" s="630"/>
      <c r="Q171" s="618"/>
    </row>
    <row r="172" spans="1:17" ht="14.4" customHeight="1" x14ac:dyDescent="0.3">
      <c r="A172" s="613" t="s">
        <v>323</v>
      </c>
      <c r="B172" s="614" t="s">
        <v>2520</v>
      </c>
      <c r="C172" s="614" t="s">
        <v>2380</v>
      </c>
      <c r="D172" s="614" t="s">
        <v>2786</v>
      </c>
      <c r="E172" s="614" t="s">
        <v>2787</v>
      </c>
      <c r="F172" s="617">
        <v>2</v>
      </c>
      <c r="G172" s="617">
        <v>4638</v>
      </c>
      <c r="H172" s="617">
        <v>1</v>
      </c>
      <c r="I172" s="617">
        <v>2319</v>
      </c>
      <c r="J172" s="617"/>
      <c r="K172" s="617"/>
      <c r="L172" s="617"/>
      <c r="M172" s="617"/>
      <c r="N172" s="617"/>
      <c r="O172" s="617"/>
      <c r="P172" s="630"/>
      <c r="Q172" s="618"/>
    </row>
    <row r="173" spans="1:17" ht="14.4" customHeight="1" x14ac:dyDescent="0.3">
      <c r="A173" s="613" t="s">
        <v>323</v>
      </c>
      <c r="B173" s="614" t="s">
        <v>2520</v>
      </c>
      <c r="C173" s="614" t="s">
        <v>2380</v>
      </c>
      <c r="D173" s="614" t="s">
        <v>2788</v>
      </c>
      <c r="E173" s="614" t="s">
        <v>2789</v>
      </c>
      <c r="F173" s="617">
        <v>1</v>
      </c>
      <c r="G173" s="617">
        <v>247</v>
      </c>
      <c r="H173" s="617">
        <v>1</v>
      </c>
      <c r="I173" s="617">
        <v>247</v>
      </c>
      <c r="J173" s="617"/>
      <c r="K173" s="617"/>
      <c r="L173" s="617"/>
      <c r="M173" s="617"/>
      <c r="N173" s="617">
        <v>2</v>
      </c>
      <c r="O173" s="617">
        <v>504</v>
      </c>
      <c r="P173" s="630">
        <v>2.0404858299595143</v>
      </c>
      <c r="Q173" s="618">
        <v>252</v>
      </c>
    </row>
    <row r="174" spans="1:17" ht="14.4" customHeight="1" x14ac:dyDescent="0.3">
      <c r="A174" s="613" t="s">
        <v>323</v>
      </c>
      <c r="B174" s="614" t="s">
        <v>2520</v>
      </c>
      <c r="C174" s="614" t="s">
        <v>2380</v>
      </c>
      <c r="D174" s="614" t="s">
        <v>2790</v>
      </c>
      <c r="E174" s="614" t="s">
        <v>2791</v>
      </c>
      <c r="F174" s="617"/>
      <c r="G174" s="617"/>
      <c r="H174" s="617"/>
      <c r="I174" s="617"/>
      <c r="J174" s="617"/>
      <c r="K174" s="617"/>
      <c r="L174" s="617"/>
      <c r="M174" s="617"/>
      <c r="N174" s="617">
        <v>1</v>
      </c>
      <c r="O174" s="617">
        <v>3737</v>
      </c>
      <c r="P174" s="630"/>
      <c r="Q174" s="618">
        <v>3737</v>
      </c>
    </row>
    <row r="175" spans="1:17" ht="14.4" customHeight="1" x14ac:dyDescent="0.3">
      <c r="A175" s="613" t="s">
        <v>323</v>
      </c>
      <c r="B175" s="614" t="s">
        <v>2520</v>
      </c>
      <c r="C175" s="614" t="s">
        <v>2380</v>
      </c>
      <c r="D175" s="614" t="s">
        <v>2792</v>
      </c>
      <c r="E175" s="614" t="s">
        <v>2793</v>
      </c>
      <c r="F175" s="617"/>
      <c r="G175" s="617"/>
      <c r="H175" s="617"/>
      <c r="I175" s="617"/>
      <c r="J175" s="617"/>
      <c r="K175" s="617"/>
      <c r="L175" s="617"/>
      <c r="M175" s="617"/>
      <c r="N175" s="617">
        <v>1</v>
      </c>
      <c r="O175" s="617">
        <v>3619</v>
      </c>
      <c r="P175" s="630"/>
      <c r="Q175" s="618">
        <v>3619</v>
      </c>
    </row>
    <row r="176" spans="1:17" ht="14.4" customHeight="1" x14ac:dyDescent="0.3">
      <c r="A176" s="613" t="s">
        <v>323</v>
      </c>
      <c r="B176" s="614" t="s">
        <v>2520</v>
      </c>
      <c r="C176" s="614" t="s">
        <v>2380</v>
      </c>
      <c r="D176" s="614" t="s">
        <v>2794</v>
      </c>
      <c r="E176" s="614" t="s">
        <v>2795</v>
      </c>
      <c r="F176" s="617"/>
      <c r="G176" s="617"/>
      <c r="H176" s="617"/>
      <c r="I176" s="617"/>
      <c r="J176" s="617"/>
      <c r="K176" s="617"/>
      <c r="L176" s="617"/>
      <c r="M176" s="617"/>
      <c r="N176" s="617">
        <v>1</v>
      </c>
      <c r="O176" s="617">
        <v>2086</v>
      </c>
      <c r="P176" s="630"/>
      <c r="Q176" s="618">
        <v>2086</v>
      </c>
    </row>
    <row r="177" spans="1:17" ht="14.4" customHeight="1" x14ac:dyDescent="0.3">
      <c r="A177" s="613" t="s">
        <v>323</v>
      </c>
      <c r="B177" s="614" t="s">
        <v>2520</v>
      </c>
      <c r="C177" s="614" t="s">
        <v>2380</v>
      </c>
      <c r="D177" s="614" t="s">
        <v>2796</v>
      </c>
      <c r="E177" s="614" t="s">
        <v>2797</v>
      </c>
      <c r="F177" s="617"/>
      <c r="G177" s="617"/>
      <c r="H177" s="617"/>
      <c r="I177" s="617"/>
      <c r="J177" s="617"/>
      <c r="K177" s="617"/>
      <c r="L177" s="617"/>
      <c r="M177" s="617"/>
      <c r="N177" s="617">
        <v>1</v>
      </c>
      <c r="O177" s="617">
        <v>1879</v>
      </c>
      <c r="P177" s="630"/>
      <c r="Q177" s="618">
        <v>1879</v>
      </c>
    </row>
    <row r="178" spans="1:17" ht="14.4" customHeight="1" thickBot="1" x14ac:dyDescent="0.35">
      <c r="A178" s="619" t="s">
        <v>323</v>
      </c>
      <c r="B178" s="620" t="s">
        <v>2798</v>
      </c>
      <c r="C178" s="620" t="s">
        <v>2380</v>
      </c>
      <c r="D178" s="620" t="s">
        <v>2732</v>
      </c>
      <c r="E178" s="620" t="s">
        <v>2733</v>
      </c>
      <c r="F178" s="623">
        <v>2</v>
      </c>
      <c r="G178" s="623">
        <v>11402</v>
      </c>
      <c r="H178" s="623">
        <v>1</v>
      </c>
      <c r="I178" s="623">
        <v>5701</v>
      </c>
      <c r="J178" s="623"/>
      <c r="K178" s="623"/>
      <c r="L178" s="623"/>
      <c r="M178" s="623"/>
      <c r="N178" s="623"/>
      <c r="O178" s="623"/>
      <c r="P178" s="631"/>
      <c r="Q178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53" customWidth="1"/>
    <col min="2" max="4" width="7.88671875" style="353" customWidth="1"/>
    <col min="5" max="5" width="7.88671875" style="362" customWidth="1"/>
    <col min="6" max="8" width="7.88671875" style="353" customWidth="1"/>
    <col min="9" max="9" width="7.88671875" style="363" customWidth="1"/>
    <col min="10" max="13" width="7.88671875" style="353" customWidth="1"/>
    <col min="14" max="16384" width="9.33203125" style="353"/>
  </cols>
  <sheetData>
    <row r="1" spans="1:13" ht="18.600000000000001" customHeight="1" thickBot="1" x14ac:dyDescent="0.4">
      <c r="A1" s="571" t="s">
        <v>129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14.4" customHeight="1" thickBot="1" x14ac:dyDescent="0.35">
      <c r="A2" s="375" t="s">
        <v>320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</row>
    <row r="3" spans="1:13" ht="14.4" customHeight="1" thickBot="1" x14ac:dyDescent="0.35">
      <c r="A3" s="572" t="s">
        <v>64</v>
      </c>
      <c r="B3" s="535" t="s">
        <v>65</v>
      </c>
      <c r="C3" s="536"/>
      <c r="D3" s="536"/>
      <c r="E3" s="537"/>
      <c r="F3" s="535" t="s">
        <v>285</v>
      </c>
      <c r="G3" s="536"/>
      <c r="H3" s="536"/>
      <c r="I3" s="537"/>
      <c r="J3" s="118"/>
      <c r="K3" s="119"/>
      <c r="L3" s="118"/>
      <c r="M3" s="120"/>
    </row>
    <row r="4" spans="1:13" ht="14.4" customHeight="1" thickBot="1" x14ac:dyDescent="0.35">
      <c r="A4" s="573"/>
      <c r="B4" s="121">
        <v>2013</v>
      </c>
      <c r="C4" s="122">
        <v>2014</v>
      </c>
      <c r="D4" s="122">
        <v>2015</v>
      </c>
      <c r="E4" s="123" t="s">
        <v>2</v>
      </c>
      <c r="F4" s="122">
        <v>2013</v>
      </c>
      <c r="G4" s="122">
        <v>2014</v>
      </c>
      <c r="H4" s="122">
        <v>2015</v>
      </c>
      <c r="I4" s="123" t="s">
        <v>2</v>
      </c>
      <c r="J4" s="118"/>
      <c r="K4" s="118"/>
      <c r="L4" s="124" t="s">
        <v>66</v>
      </c>
      <c r="M4" s="125" t="s">
        <v>67</v>
      </c>
    </row>
    <row r="5" spans="1:13" ht="14.4" hidden="1" customHeight="1" outlineLevel="1" x14ac:dyDescent="0.3">
      <c r="A5" s="113" t="s">
        <v>162</v>
      </c>
      <c r="B5" s="116">
        <v>264.12400000000002</v>
      </c>
      <c r="C5" s="109">
        <v>305.142</v>
      </c>
      <c r="D5" s="109">
        <v>268.666</v>
      </c>
      <c r="E5" s="126">
        <v>1.0171964683254833</v>
      </c>
      <c r="F5" s="127">
        <v>183</v>
      </c>
      <c r="G5" s="109">
        <v>213</v>
      </c>
      <c r="H5" s="109">
        <v>179</v>
      </c>
      <c r="I5" s="128">
        <v>0.97814207650273222</v>
      </c>
      <c r="J5" s="118"/>
      <c r="K5" s="118"/>
      <c r="L5" s="7">
        <f>D5-B5</f>
        <v>4.5419999999999732</v>
      </c>
      <c r="M5" s="8">
        <f>H5-F5</f>
        <v>-4</v>
      </c>
    </row>
    <row r="6" spans="1:13" ht="14.4" hidden="1" customHeight="1" outlineLevel="1" x14ac:dyDescent="0.3">
      <c r="A6" s="114" t="s">
        <v>163</v>
      </c>
      <c r="B6" s="117">
        <v>37.244999999999997</v>
      </c>
      <c r="C6" s="108">
        <v>53.067</v>
      </c>
      <c r="D6" s="108">
        <v>43.734000000000002</v>
      </c>
      <c r="E6" s="129">
        <v>1.1742247281514298</v>
      </c>
      <c r="F6" s="130">
        <v>29</v>
      </c>
      <c r="G6" s="108">
        <v>43</v>
      </c>
      <c r="H6" s="108">
        <v>34</v>
      </c>
      <c r="I6" s="131">
        <v>1.1724137931034482</v>
      </c>
      <c r="J6" s="118"/>
      <c r="K6" s="118"/>
      <c r="L6" s="5">
        <f t="shared" ref="L6:L11" si="0">D6-B6</f>
        <v>6.4890000000000043</v>
      </c>
      <c r="M6" s="6">
        <f t="shared" ref="M6:M13" si="1">H6-F6</f>
        <v>5</v>
      </c>
    </row>
    <row r="7" spans="1:13" ht="14.4" hidden="1" customHeight="1" outlineLevel="1" x14ac:dyDescent="0.3">
      <c r="A7" s="114" t="s">
        <v>164</v>
      </c>
      <c r="B7" s="117">
        <v>118.626</v>
      </c>
      <c r="C7" s="108">
        <v>132.60300000000001</v>
      </c>
      <c r="D7" s="108">
        <v>129.66999999999999</v>
      </c>
      <c r="E7" s="129">
        <v>1.0930993205536728</v>
      </c>
      <c r="F7" s="130">
        <v>82</v>
      </c>
      <c r="G7" s="108">
        <v>105</v>
      </c>
      <c r="H7" s="108">
        <v>92</v>
      </c>
      <c r="I7" s="131">
        <v>1.1219512195121952</v>
      </c>
      <c r="J7" s="118"/>
      <c r="K7" s="118"/>
      <c r="L7" s="5">
        <f t="shared" si="0"/>
        <v>11.043999999999983</v>
      </c>
      <c r="M7" s="6">
        <f t="shared" si="1"/>
        <v>10</v>
      </c>
    </row>
    <row r="8" spans="1:13" ht="14.4" hidden="1" customHeight="1" outlineLevel="1" x14ac:dyDescent="0.3">
      <c r="A8" s="114" t="s">
        <v>165</v>
      </c>
      <c r="B8" s="117">
        <v>20.995999999999999</v>
      </c>
      <c r="C8" s="108">
        <v>21.369</v>
      </c>
      <c r="D8" s="108">
        <v>35.335999999999999</v>
      </c>
      <c r="E8" s="129">
        <v>1.6829872356639359</v>
      </c>
      <c r="F8" s="130">
        <v>10</v>
      </c>
      <c r="G8" s="108">
        <v>15</v>
      </c>
      <c r="H8" s="108">
        <v>27</v>
      </c>
      <c r="I8" s="131">
        <v>2.7</v>
      </c>
      <c r="J8" s="118"/>
      <c r="K8" s="118"/>
      <c r="L8" s="5">
        <f t="shared" si="0"/>
        <v>14.34</v>
      </c>
      <c r="M8" s="6">
        <f t="shared" si="1"/>
        <v>17</v>
      </c>
    </row>
    <row r="9" spans="1:13" ht="14.4" hidden="1" customHeight="1" outlineLevel="1" x14ac:dyDescent="0.3">
      <c r="A9" s="114" t="s">
        <v>166</v>
      </c>
      <c r="B9" s="117">
        <v>0</v>
      </c>
      <c r="C9" s="108">
        <v>0</v>
      </c>
      <c r="D9" s="108">
        <v>0</v>
      </c>
      <c r="E9" s="129" t="s">
        <v>325</v>
      </c>
      <c r="F9" s="130">
        <v>0</v>
      </c>
      <c r="G9" s="108">
        <v>0</v>
      </c>
      <c r="H9" s="108">
        <v>0</v>
      </c>
      <c r="I9" s="131" t="s">
        <v>325</v>
      </c>
      <c r="J9" s="118"/>
      <c r="K9" s="11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4" t="s">
        <v>167</v>
      </c>
      <c r="B10" s="117">
        <v>51.423000000000002</v>
      </c>
      <c r="C10" s="108">
        <v>87.262</v>
      </c>
      <c r="D10" s="108">
        <v>71.266999999999996</v>
      </c>
      <c r="E10" s="129">
        <v>1.3858973611030083</v>
      </c>
      <c r="F10" s="130">
        <v>41</v>
      </c>
      <c r="G10" s="108">
        <v>58</v>
      </c>
      <c r="H10" s="108">
        <v>48</v>
      </c>
      <c r="I10" s="131">
        <v>1.1707317073170731</v>
      </c>
      <c r="J10" s="118"/>
      <c r="K10" s="118"/>
      <c r="L10" s="5">
        <f t="shared" si="0"/>
        <v>19.843999999999994</v>
      </c>
      <c r="M10" s="6">
        <f t="shared" si="1"/>
        <v>7</v>
      </c>
    </row>
    <row r="11" spans="1:13" ht="14.4" hidden="1" customHeight="1" outlineLevel="1" x14ac:dyDescent="0.3">
      <c r="A11" s="114" t="s">
        <v>168</v>
      </c>
      <c r="B11" s="117">
        <v>21.805</v>
      </c>
      <c r="C11" s="108">
        <v>36.999000000000002</v>
      </c>
      <c r="D11" s="108">
        <v>39.531999999999996</v>
      </c>
      <c r="E11" s="129">
        <v>1.8129786746159136</v>
      </c>
      <c r="F11" s="130">
        <v>17</v>
      </c>
      <c r="G11" s="108">
        <v>26</v>
      </c>
      <c r="H11" s="108">
        <v>25</v>
      </c>
      <c r="I11" s="131">
        <v>1.4705882352941178</v>
      </c>
      <c r="J11" s="118"/>
      <c r="K11" s="118"/>
      <c r="L11" s="5">
        <f t="shared" si="0"/>
        <v>17.726999999999997</v>
      </c>
      <c r="M11" s="6">
        <f t="shared" si="1"/>
        <v>8</v>
      </c>
    </row>
    <row r="12" spans="1:13" ht="14.4" hidden="1" customHeight="1" outlineLevel="1" thickBot="1" x14ac:dyDescent="0.35">
      <c r="A12" s="238" t="s">
        <v>205</v>
      </c>
      <c r="B12" s="239">
        <v>0</v>
      </c>
      <c r="C12" s="240">
        <v>1.363</v>
      </c>
      <c r="D12" s="240">
        <v>1.841</v>
      </c>
      <c r="E12" s="241"/>
      <c r="F12" s="242">
        <v>0</v>
      </c>
      <c r="G12" s="240">
        <v>1</v>
      </c>
      <c r="H12" s="240">
        <v>1</v>
      </c>
      <c r="I12" s="243"/>
      <c r="J12" s="118"/>
      <c r="K12" s="118"/>
      <c r="L12" s="244">
        <f>D12-B12</f>
        <v>1.841</v>
      </c>
      <c r="M12" s="245">
        <f>H12-F12</f>
        <v>1</v>
      </c>
    </row>
    <row r="13" spans="1:13" ht="14.4" customHeight="1" collapsed="1" thickBot="1" x14ac:dyDescent="0.35">
      <c r="A13" s="115" t="s">
        <v>3</v>
      </c>
      <c r="B13" s="110">
        <f>SUM(B5:B12)</f>
        <v>514.21899999999994</v>
      </c>
      <c r="C13" s="111">
        <f>SUM(C5:C12)</f>
        <v>637.80500000000006</v>
      </c>
      <c r="D13" s="111">
        <f>SUM(D5:D12)</f>
        <v>590.04600000000005</v>
      </c>
      <c r="E13" s="132">
        <f>IF(OR(D13=0,B13=0),0,D13/B13)</f>
        <v>1.1474605177949475</v>
      </c>
      <c r="F13" s="133">
        <f>SUM(F5:F12)</f>
        <v>362</v>
      </c>
      <c r="G13" s="111">
        <f>SUM(G5:G12)</f>
        <v>461</v>
      </c>
      <c r="H13" s="111">
        <f>SUM(H5:H12)</f>
        <v>406</v>
      </c>
      <c r="I13" s="134">
        <f>IF(OR(H13=0,F13=0),0,H13/F13)</f>
        <v>1.1215469613259668</v>
      </c>
      <c r="J13" s="118"/>
      <c r="K13" s="118"/>
      <c r="L13" s="124">
        <f>D13-B13</f>
        <v>75.827000000000112</v>
      </c>
      <c r="M13" s="135">
        <f t="shared" si="1"/>
        <v>44</v>
      </c>
    </row>
    <row r="14" spans="1:13" ht="14.4" customHeight="1" x14ac:dyDescent="0.3">
      <c r="A14" s="136"/>
      <c r="B14" s="565"/>
      <c r="C14" s="565"/>
      <c r="D14" s="565"/>
      <c r="E14" s="565"/>
      <c r="F14" s="565"/>
      <c r="G14" s="565"/>
      <c r="H14" s="565"/>
      <c r="I14" s="565"/>
      <c r="J14" s="118"/>
      <c r="K14" s="118"/>
      <c r="L14" s="118"/>
      <c r="M14" s="120"/>
    </row>
    <row r="15" spans="1:13" ht="14.4" customHeight="1" thickBot="1" x14ac:dyDescent="0.35">
      <c r="A15" s="136"/>
      <c r="B15" s="355"/>
      <c r="C15" s="356"/>
      <c r="D15" s="356"/>
      <c r="E15" s="356"/>
      <c r="F15" s="355"/>
      <c r="G15" s="356"/>
      <c r="H15" s="356"/>
      <c r="I15" s="356"/>
      <c r="J15" s="118"/>
      <c r="K15" s="118"/>
      <c r="L15" s="118"/>
      <c r="M15" s="120"/>
    </row>
    <row r="16" spans="1:13" ht="14.4" customHeight="1" thickBot="1" x14ac:dyDescent="0.35">
      <c r="A16" s="560" t="s">
        <v>201</v>
      </c>
      <c r="B16" s="562" t="s">
        <v>65</v>
      </c>
      <c r="C16" s="563"/>
      <c r="D16" s="563"/>
      <c r="E16" s="564"/>
      <c r="F16" s="562" t="s">
        <v>285</v>
      </c>
      <c r="G16" s="563"/>
      <c r="H16" s="563"/>
      <c r="I16" s="564"/>
      <c r="J16" s="567" t="s">
        <v>173</v>
      </c>
      <c r="K16" s="568"/>
      <c r="L16" s="153"/>
      <c r="M16" s="153"/>
    </row>
    <row r="17" spans="1:13" ht="14.4" customHeight="1" thickBot="1" x14ac:dyDescent="0.35">
      <c r="A17" s="561"/>
      <c r="B17" s="137">
        <v>2013</v>
      </c>
      <c r="C17" s="138">
        <v>2014</v>
      </c>
      <c r="D17" s="138">
        <v>2015</v>
      </c>
      <c r="E17" s="139" t="s">
        <v>2</v>
      </c>
      <c r="F17" s="137">
        <v>2013</v>
      </c>
      <c r="G17" s="138">
        <v>2014</v>
      </c>
      <c r="H17" s="138">
        <v>2015</v>
      </c>
      <c r="I17" s="139" t="s">
        <v>2</v>
      </c>
      <c r="J17" s="569" t="s">
        <v>174</v>
      </c>
      <c r="K17" s="570"/>
      <c r="L17" s="140" t="s">
        <v>66</v>
      </c>
      <c r="M17" s="141" t="s">
        <v>67</v>
      </c>
    </row>
    <row r="18" spans="1:13" ht="14.4" hidden="1" customHeight="1" outlineLevel="1" x14ac:dyDescent="0.3">
      <c r="A18" s="113" t="s">
        <v>162</v>
      </c>
      <c r="B18" s="116">
        <v>264.12400000000002</v>
      </c>
      <c r="C18" s="109">
        <v>305.142</v>
      </c>
      <c r="D18" s="109">
        <v>268.666</v>
      </c>
      <c r="E18" s="126">
        <v>1.0171964683254833</v>
      </c>
      <c r="F18" s="116">
        <v>183</v>
      </c>
      <c r="G18" s="109">
        <v>213</v>
      </c>
      <c r="H18" s="109">
        <v>179</v>
      </c>
      <c r="I18" s="128">
        <v>0.97814207650273222</v>
      </c>
      <c r="J18" s="553">
        <f>0.97*0.976</f>
        <v>0.94672000000000001</v>
      </c>
      <c r="K18" s="554"/>
      <c r="L18" s="142">
        <f>D18-B18</f>
        <v>4.5419999999999732</v>
      </c>
      <c r="M18" s="143">
        <f>H18-F18</f>
        <v>-4</v>
      </c>
    </row>
    <row r="19" spans="1:13" ht="14.4" hidden="1" customHeight="1" outlineLevel="1" x14ac:dyDescent="0.3">
      <c r="A19" s="114" t="s">
        <v>163</v>
      </c>
      <c r="B19" s="117">
        <v>37.244999999999997</v>
      </c>
      <c r="C19" s="108">
        <v>53.067</v>
      </c>
      <c r="D19" s="108">
        <v>43.734000000000002</v>
      </c>
      <c r="E19" s="129">
        <v>1.1742247281514298</v>
      </c>
      <c r="F19" s="117">
        <v>29</v>
      </c>
      <c r="G19" s="108">
        <v>43</v>
      </c>
      <c r="H19" s="108">
        <v>34</v>
      </c>
      <c r="I19" s="131">
        <v>1.1724137931034482</v>
      </c>
      <c r="J19" s="553">
        <f>0.97*1.096</f>
        <v>1.0631200000000001</v>
      </c>
      <c r="K19" s="554"/>
      <c r="L19" s="144">
        <f t="shared" ref="L19:L26" si="2">D19-B19</f>
        <v>6.4890000000000043</v>
      </c>
      <c r="M19" s="145">
        <f t="shared" ref="M19:M26" si="3">H19-F19</f>
        <v>5</v>
      </c>
    </row>
    <row r="20" spans="1:13" ht="14.4" hidden="1" customHeight="1" outlineLevel="1" x14ac:dyDescent="0.3">
      <c r="A20" s="114" t="s">
        <v>164</v>
      </c>
      <c r="B20" s="117">
        <v>118.626</v>
      </c>
      <c r="C20" s="108">
        <v>132.60300000000001</v>
      </c>
      <c r="D20" s="108">
        <v>129.66999999999999</v>
      </c>
      <c r="E20" s="129">
        <v>1.0930993205536728</v>
      </c>
      <c r="F20" s="117">
        <v>82</v>
      </c>
      <c r="G20" s="108">
        <v>105</v>
      </c>
      <c r="H20" s="108">
        <v>92</v>
      </c>
      <c r="I20" s="131">
        <v>1.1219512195121952</v>
      </c>
      <c r="J20" s="553">
        <f>0.97*1.047</f>
        <v>1.01559</v>
      </c>
      <c r="K20" s="554"/>
      <c r="L20" s="144">
        <f t="shared" si="2"/>
        <v>11.043999999999983</v>
      </c>
      <c r="M20" s="145">
        <f t="shared" si="3"/>
        <v>10</v>
      </c>
    </row>
    <row r="21" spans="1:13" ht="14.4" hidden="1" customHeight="1" outlineLevel="1" x14ac:dyDescent="0.3">
      <c r="A21" s="114" t="s">
        <v>165</v>
      </c>
      <c r="B21" s="117">
        <v>20.995999999999999</v>
      </c>
      <c r="C21" s="108">
        <v>21.369</v>
      </c>
      <c r="D21" s="108">
        <v>35.335999999999999</v>
      </c>
      <c r="E21" s="129">
        <v>1.6829872356639359</v>
      </c>
      <c r="F21" s="117">
        <v>10</v>
      </c>
      <c r="G21" s="108">
        <v>15</v>
      </c>
      <c r="H21" s="108">
        <v>27</v>
      </c>
      <c r="I21" s="131">
        <v>2.7</v>
      </c>
      <c r="J21" s="553">
        <f>0.97*1.091</f>
        <v>1.05827</v>
      </c>
      <c r="K21" s="554"/>
      <c r="L21" s="144">
        <f t="shared" si="2"/>
        <v>14.34</v>
      </c>
      <c r="M21" s="145">
        <f t="shared" si="3"/>
        <v>17</v>
      </c>
    </row>
    <row r="22" spans="1:13" ht="14.4" hidden="1" customHeight="1" outlineLevel="1" x14ac:dyDescent="0.3">
      <c r="A22" s="114" t="s">
        <v>166</v>
      </c>
      <c r="B22" s="117">
        <v>0</v>
      </c>
      <c r="C22" s="108">
        <v>0</v>
      </c>
      <c r="D22" s="108">
        <v>0</v>
      </c>
      <c r="E22" s="129" t="s">
        <v>325</v>
      </c>
      <c r="F22" s="117">
        <v>0</v>
      </c>
      <c r="G22" s="108">
        <v>0</v>
      </c>
      <c r="H22" s="108">
        <v>0</v>
      </c>
      <c r="I22" s="131" t="s">
        <v>325</v>
      </c>
      <c r="J22" s="553">
        <f>0.97*1</f>
        <v>0.97</v>
      </c>
      <c r="K22" s="554"/>
      <c r="L22" s="144">
        <f t="shared" si="2"/>
        <v>0</v>
      </c>
      <c r="M22" s="145">
        <f t="shared" si="3"/>
        <v>0</v>
      </c>
    </row>
    <row r="23" spans="1:13" ht="14.4" hidden="1" customHeight="1" outlineLevel="1" x14ac:dyDescent="0.3">
      <c r="A23" s="114" t="s">
        <v>167</v>
      </c>
      <c r="B23" s="117">
        <v>51.423000000000002</v>
      </c>
      <c r="C23" s="108">
        <v>87.262</v>
      </c>
      <c r="D23" s="108">
        <v>71.266999999999996</v>
      </c>
      <c r="E23" s="129">
        <v>1.3858973611030083</v>
      </c>
      <c r="F23" s="117">
        <v>41</v>
      </c>
      <c r="G23" s="108">
        <v>58</v>
      </c>
      <c r="H23" s="108">
        <v>48</v>
      </c>
      <c r="I23" s="131">
        <v>1.1707317073170731</v>
      </c>
      <c r="J23" s="553">
        <f>0.97*1.096</f>
        <v>1.0631200000000001</v>
      </c>
      <c r="K23" s="554"/>
      <c r="L23" s="144">
        <f t="shared" si="2"/>
        <v>19.843999999999994</v>
      </c>
      <c r="M23" s="145">
        <f t="shared" si="3"/>
        <v>7</v>
      </c>
    </row>
    <row r="24" spans="1:13" ht="14.4" hidden="1" customHeight="1" outlineLevel="1" x14ac:dyDescent="0.3">
      <c r="A24" s="114" t="s">
        <v>168</v>
      </c>
      <c r="B24" s="117">
        <v>21.805</v>
      </c>
      <c r="C24" s="108">
        <v>36.999000000000002</v>
      </c>
      <c r="D24" s="108">
        <v>39.531999999999996</v>
      </c>
      <c r="E24" s="129">
        <v>1.8129786746159136</v>
      </c>
      <c r="F24" s="117">
        <v>17</v>
      </c>
      <c r="G24" s="108">
        <v>26</v>
      </c>
      <c r="H24" s="108">
        <v>25</v>
      </c>
      <c r="I24" s="131">
        <v>1.4705882352941178</v>
      </c>
      <c r="J24" s="553">
        <f>0.97*0.989</f>
        <v>0.95933000000000002</v>
      </c>
      <c r="K24" s="554"/>
      <c r="L24" s="144">
        <f t="shared" si="2"/>
        <v>17.726999999999997</v>
      </c>
      <c r="M24" s="145">
        <f t="shared" si="3"/>
        <v>8</v>
      </c>
    </row>
    <row r="25" spans="1:13" ht="14.4" hidden="1" customHeight="1" outlineLevel="1" thickBot="1" x14ac:dyDescent="0.35">
      <c r="A25" s="238" t="s">
        <v>205</v>
      </c>
      <c r="B25" s="239">
        <v>0</v>
      </c>
      <c r="C25" s="240">
        <v>1.363</v>
      </c>
      <c r="D25" s="240">
        <v>1.841</v>
      </c>
      <c r="E25" s="241"/>
      <c r="F25" s="239">
        <v>0</v>
      </c>
      <c r="G25" s="240">
        <v>1</v>
      </c>
      <c r="H25" s="240">
        <v>1</v>
      </c>
      <c r="I25" s="243"/>
      <c r="J25" s="357"/>
      <c r="K25" s="358"/>
      <c r="L25" s="246">
        <f>D25-B25</f>
        <v>1.841</v>
      </c>
      <c r="M25" s="247">
        <f>H25-F25</f>
        <v>1</v>
      </c>
    </row>
    <row r="26" spans="1:13" ht="14.4" customHeight="1" collapsed="1" thickBot="1" x14ac:dyDescent="0.35">
      <c r="A26" s="146" t="s">
        <v>3</v>
      </c>
      <c r="B26" s="147">
        <f>SUM(B18:B25)</f>
        <v>514.21899999999994</v>
      </c>
      <c r="C26" s="148">
        <f>SUM(C18:C25)</f>
        <v>637.80500000000006</v>
      </c>
      <c r="D26" s="148">
        <f>SUM(D18:D25)</f>
        <v>590.04600000000005</v>
      </c>
      <c r="E26" s="149">
        <f>IF(OR(D26=0,B26=0),0,D26/B26)</f>
        <v>1.1474605177949475</v>
      </c>
      <c r="F26" s="147">
        <f>SUM(F18:F25)</f>
        <v>362</v>
      </c>
      <c r="G26" s="148">
        <f>SUM(G18:G25)</f>
        <v>461</v>
      </c>
      <c r="H26" s="148">
        <f>SUM(H18:H25)</f>
        <v>406</v>
      </c>
      <c r="I26" s="150">
        <f>IF(OR(H26=0,F26=0),0,H26/F26)</f>
        <v>1.1215469613259668</v>
      </c>
      <c r="J26" s="118"/>
      <c r="K26" s="118"/>
      <c r="L26" s="140">
        <f t="shared" si="2"/>
        <v>75.827000000000112</v>
      </c>
      <c r="M26" s="151">
        <f t="shared" si="3"/>
        <v>44</v>
      </c>
    </row>
    <row r="27" spans="1:13" ht="14.4" customHeight="1" x14ac:dyDescent="0.3">
      <c r="A27" s="152"/>
      <c r="B27" s="565" t="s">
        <v>203</v>
      </c>
      <c r="C27" s="566"/>
      <c r="D27" s="566"/>
      <c r="E27" s="566"/>
      <c r="F27" s="565" t="s">
        <v>204</v>
      </c>
      <c r="G27" s="566"/>
      <c r="H27" s="566"/>
      <c r="I27" s="566"/>
      <c r="J27" s="153"/>
      <c r="K27" s="153"/>
      <c r="L27" s="153"/>
      <c r="M27" s="154"/>
    </row>
    <row r="28" spans="1:13" ht="14.4" customHeight="1" thickBot="1" x14ac:dyDescent="0.35">
      <c r="A28" s="152"/>
      <c r="B28" s="355"/>
      <c r="C28" s="356"/>
      <c r="D28" s="356"/>
      <c r="E28" s="356"/>
      <c r="F28" s="355"/>
      <c r="G28" s="356"/>
      <c r="H28" s="356"/>
      <c r="I28" s="356"/>
      <c r="J28" s="153"/>
      <c r="K28" s="153"/>
      <c r="L28" s="153"/>
      <c r="M28" s="154"/>
    </row>
    <row r="29" spans="1:13" ht="14.4" customHeight="1" thickBot="1" x14ac:dyDescent="0.35">
      <c r="A29" s="555" t="s">
        <v>202</v>
      </c>
      <c r="B29" s="557" t="s">
        <v>65</v>
      </c>
      <c r="C29" s="558"/>
      <c r="D29" s="558"/>
      <c r="E29" s="559"/>
      <c r="F29" s="558" t="s">
        <v>285</v>
      </c>
      <c r="G29" s="558"/>
      <c r="H29" s="558"/>
      <c r="I29" s="559"/>
      <c r="J29" s="153"/>
      <c r="K29" s="153"/>
      <c r="L29" s="153"/>
      <c r="M29" s="154"/>
    </row>
    <row r="30" spans="1:13" ht="14.4" customHeight="1" thickBot="1" x14ac:dyDescent="0.35">
      <c r="A30" s="556"/>
      <c r="B30" s="155">
        <v>2013</v>
      </c>
      <c r="C30" s="156">
        <v>2014</v>
      </c>
      <c r="D30" s="156">
        <v>2015</v>
      </c>
      <c r="E30" s="157" t="s">
        <v>2</v>
      </c>
      <c r="F30" s="156">
        <v>2013</v>
      </c>
      <c r="G30" s="156">
        <v>2014</v>
      </c>
      <c r="H30" s="156">
        <v>2015</v>
      </c>
      <c r="I30" s="157" t="s">
        <v>2</v>
      </c>
      <c r="J30" s="153"/>
      <c r="K30" s="153"/>
      <c r="L30" s="158" t="s">
        <v>66</v>
      </c>
      <c r="M30" s="159" t="s">
        <v>67</v>
      </c>
    </row>
    <row r="31" spans="1:13" ht="14.4" hidden="1" customHeight="1" outlineLevel="1" x14ac:dyDescent="0.3">
      <c r="A31" s="113" t="s">
        <v>162</v>
      </c>
      <c r="B31" s="116">
        <v>0</v>
      </c>
      <c r="C31" s="109">
        <v>0</v>
      </c>
      <c r="D31" s="109">
        <v>0</v>
      </c>
      <c r="E31" s="126" t="s">
        <v>325</v>
      </c>
      <c r="F31" s="127">
        <v>0</v>
      </c>
      <c r="G31" s="109">
        <v>0</v>
      </c>
      <c r="H31" s="109">
        <v>0</v>
      </c>
      <c r="I31" s="128" t="s">
        <v>325</v>
      </c>
      <c r="J31" s="153"/>
      <c r="K31" s="153"/>
      <c r="L31" s="142">
        <f t="shared" ref="L31:L39" si="4">D31-B31</f>
        <v>0</v>
      </c>
      <c r="M31" s="143">
        <f t="shared" ref="M31:M39" si="5">H31-F31</f>
        <v>0</v>
      </c>
    </row>
    <row r="32" spans="1:13" ht="14.4" hidden="1" customHeight="1" outlineLevel="1" x14ac:dyDescent="0.3">
      <c r="A32" s="114" t="s">
        <v>163</v>
      </c>
      <c r="B32" s="117">
        <v>0</v>
      </c>
      <c r="C32" s="108">
        <v>0</v>
      </c>
      <c r="D32" s="108">
        <v>0</v>
      </c>
      <c r="E32" s="129" t="s">
        <v>325</v>
      </c>
      <c r="F32" s="130">
        <v>0</v>
      </c>
      <c r="G32" s="108">
        <v>0</v>
      </c>
      <c r="H32" s="108">
        <v>0</v>
      </c>
      <c r="I32" s="131" t="s">
        <v>325</v>
      </c>
      <c r="J32" s="153"/>
      <c r="K32" s="153"/>
      <c r="L32" s="144">
        <f t="shared" si="4"/>
        <v>0</v>
      </c>
      <c r="M32" s="145">
        <f t="shared" si="5"/>
        <v>0</v>
      </c>
    </row>
    <row r="33" spans="1:13" ht="14.4" hidden="1" customHeight="1" outlineLevel="1" x14ac:dyDescent="0.3">
      <c r="A33" s="114" t="s">
        <v>164</v>
      </c>
      <c r="B33" s="117">
        <v>0</v>
      </c>
      <c r="C33" s="108">
        <v>0</v>
      </c>
      <c r="D33" s="108">
        <v>0</v>
      </c>
      <c r="E33" s="129" t="s">
        <v>325</v>
      </c>
      <c r="F33" s="130">
        <v>0</v>
      </c>
      <c r="G33" s="108">
        <v>0</v>
      </c>
      <c r="H33" s="108">
        <v>0</v>
      </c>
      <c r="I33" s="131" t="s">
        <v>325</v>
      </c>
      <c r="J33" s="153"/>
      <c r="K33" s="153"/>
      <c r="L33" s="144">
        <f t="shared" si="4"/>
        <v>0</v>
      </c>
      <c r="M33" s="145">
        <f t="shared" si="5"/>
        <v>0</v>
      </c>
    </row>
    <row r="34" spans="1:13" ht="14.4" hidden="1" customHeight="1" outlineLevel="1" x14ac:dyDescent="0.3">
      <c r="A34" s="114" t="s">
        <v>165</v>
      </c>
      <c r="B34" s="117">
        <v>0</v>
      </c>
      <c r="C34" s="108">
        <v>0</v>
      </c>
      <c r="D34" s="108">
        <v>0</v>
      </c>
      <c r="E34" s="129" t="s">
        <v>325</v>
      </c>
      <c r="F34" s="130">
        <v>0</v>
      </c>
      <c r="G34" s="108">
        <v>0</v>
      </c>
      <c r="H34" s="108">
        <v>0</v>
      </c>
      <c r="I34" s="131" t="s">
        <v>325</v>
      </c>
      <c r="J34" s="153"/>
      <c r="K34" s="153"/>
      <c r="L34" s="144">
        <f t="shared" si="4"/>
        <v>0</v>
      </c>
      <c r="M34" s="145">
        <f t="shared" si="5"/>
        <v>0</v>
      </c>
    </row>
    <row r="35" spans="1:13" ht="14.4" hidden="1" customHeight="1" outlineLevel="1" x14ac:dyDescent="0.3">
      <c r="A35" s="114" t="s">
        <v>166</v>
      </c>
      <c r="B35" s="117">
        <v>0</v>
      </c>
      <c r="C35" s="108">
        <v>0</v>
      </c>
      <c r="D35" s="108">
        <v>0</v>
      </c>
      <c r="E35" s="129" t="s">
        <v>325</v>
      </c>
      <c r="F35" s="130">
        <v>0</v>
      </c>
      <c r="G35" s="108">
        <v>0</v>
      </c>
      <c r="H35" s="108">
        <v>0</v>
      </c>
      <c r="I35" s="131" t="s">
        <v>325</v>
      </c>
      <c r="J35" s="153"/>
      <c r="K35" s="153"/>
      <c r="L35" s="144">
        <f t="shared" si="4"/>
        <v>0</v>
      </c>
      <c r="M35" s="145">
        <f t="shared" si="5"/>
        <v>0</v>
      </c>
    </row>
    <row r="36" spans="1:13" ht="14.4" hidden="1" customHeight="1" outlineLevel="1" x14ac:dyDescent="0.3">
      <c r="A36" s="114" t="s">
        <v>167</v>
      </c>
      <c r="B36" s="117">
        <v>0</v>
      </c>
      <c r="C36" s="108">
        <v>0</v>
      </c>
      <c r="D36" s="108">
        <v>0</v>
      </c>
      <c r="E36" s="129" t="s">
        <v>325</v>
      </c>
      <c r="F36" s="130">
        <v>0</v>
      </c>
      <c r="G36" s="108">
        <v>0</v>
      </c>
      <c r="H36" s="108">
        <v>0</v>
      </c>
      <c r="I36" s="131" t="s">
        <v>325</v>
      </c>
      <c r="J36" s="153"/>
      <c r="K36" s="153"/>
      <c r="L36" s="144">
        <f t="shared" si="4"/>
        <v>0</v>
      </c>
      <c r="M36" s="145">
        <f t="shared" si="5"/>
        <v>0</v>
      </c>
    </row>
    <row r="37" spans="1:13" ht="14.4" hidden="1" customHeight="1" outlineLevel="1" x14ac:dyDescent="0.3">
      <c r="A37" s="114" t="s">
        <v>168</v>
      </c>
      <c r="B37" s="117">
        <v>0</v>
      </c>
      <c r="C37" s="108">
        <v>0</v>
      </c>
      <c r="D37" s="108">
        <v>0</v>
      </c>
      <c r="E37" s="129" t="s">
        <v>325</v>
      </c>
      <c r="F37" s="130">
        <v>0</v>
      </c>
      <c r="G37" s="108">
        <v>0</v>
      </c>
      <c r="H37" s="108">
        <v>0</v>
      </c>
      <c r="I37" s="131" t="s">
        <v>325</v>
      </c>
      <c r="J37" s="153"/>
      <c r="K37" s="153"/>
      <c r="L37" s="144">
        <f t="shared" si="4"/>
        <v>0</v>
      </c>
      <c r="M37" s="145">
        <f t="shared" si="5"/>
        <v>0</v>
      </c>
    </row>
    <row r="38" spans="1:13" ht="14.4" hidden="1" customHeight="1" outlineLevel="1" thickBot="1" x14ac:dyDescent="0.35">
      <c r="A38" s="238" t="s">
        <v>205</v>
      </c>
      <c r="B38" s="239">
        <v>0</v>
      </c>
      <c r="C38" s="240">
        <v>0</v>
      </c>
      <c r="D38" s="240">
        <v>0</v>
      </c>
      <c r="E38" s="241" t="s">
        <v>325</v>
      </c>
      <c r="F38" s="242">
        <v>0</v>
      </c>
      <c r="G38" s="240">
        <v>0</v>
      </c>
      <c r="H38" s="240">
        <v>0</v>
      </c>
      <c r="I38" s="243" t="s">
        <v>325</v>
      </c>
      <c r="J38" s="153"/>
      <c r="K38" s="153"/>
      <c r="L38" s="246">
        <f>D38-B38</f>
        <v>0</v>
      </c>
      <c r="M38" s="247">
        <f>H38-F38</f>
        <v>0</v>
      </c>
    </row>
    <row r="39" spans="1:13" ht="14.4" customHeight="1" collapsed="1" thickBot="1" x14ac:dyDescent="0.35">
      <c r="A39" s="160" t="s">
        <v>3</v>
      </c>
      <c r="B39" s="112">
        <f>SUM(B31:B38)</f>
        <v>0</v>
      </c>
      <c r="C39" s="161">
        <f>SUM(C31:C38)</f>
        <v>0</v>
      </c>
      <c r="D39" s="161">
        <f>SUM(D31:D38)</f>
        <v>0</v>
      </c>
      <c r="E39" s="162">
        <f>IF(OR(D39=0,B39=0),0,D39/B39)</f>
        <v>0</v>
      </c>
      <c r="F39" s="163">
        <f>SUM(F31:F38)</f>
        <v>0</v>
      </c>
      <c r="G39" s="161">
        <f>SUM(G31:G38)</f>
        <v>0</v>
      </c>
      <c r="H39" s="161">
        <f>SUM(H31:H38)</f>
        <v>0</v>
      </c>
      <c r="I39" s="164">
        <f>IF(OR(H39=0,F39=0),0,H39/F39)</f>
        <v>0</v>
      </c>
      <c r="J39" s="153"/>
      <c r="K39" s="153"/>
      <c r="L39" s="158">
        <f t="shared" si="4"/>
        <v>0</v>
      </c>
      <c r="M39" s="165">
        <f t="shared" si="5"/>
        <v>0</v>
      </c>
    </row>
    <row r="40" spans="1:13" ht="14.4" customHeight="1" x14ac:dyDescent="0.25">
      <c r="A40" s="359"/>
      <c r="B40" s="359"/>
      <c r="C40" s="359"/>
      <c r="D40" s="359"/>
      <c r="E40" s="360"/>
      <c r="F40" s="359"/>
      <c r="G40" s="359"/>
      <c r="H40" s="359"/>
      <c r="I40" s="361"/>
      <c r="J40" s="359"/>
      <c r="K40" s="359"/>
      <c r="L40" s="359"/>
      <c r="M40" s="359"/>
    </row>
    <row r="41" spans="1:13" ht="14.4" customHeight="1" x14ac:dyDescent="0.3">
      <c r="A41" s="256" t="s">
        <v>288</v>
      </c>
      <c r="B41" s="359"/>
      <c r="C41" s="359"/>
      <c r="D41" s="359"/>
      <c r="E41" s="360"/>
      <c r="F41" s="359"/>
      <c r="G41" s="359"/>
      <c r="H41" s="359"/>
      <c r="I41" s="361"/>
      <c r="J41" s="359"/>
      <c r="K41" s="359"/>
      <c r="L41" s="359"/>
      <c r="M41" s="359"/>
    </row>
    <row r="42" spans="1:13" ht="14.4" customHeight="1" x14ac:dyDescent="0.25">
      <c r="A42" s="441" t="s">
        <v>284</v>
      </c>
    </row>
    <row r="43" spans="1:13" ht="14.4" customHeight="1" x14ac:dyDescent="0.25">
      <c r="A43" s="442" t="s">
        <v>290</v>
      </c>
    </row>
    <row r="44" spans="1:13" ht="14.4" customHeight="1" x14ac:dyDescent="0.25">
      <c r="A44" s="441" t="s">
        <v>286</v>
      </c>
    </row>
    <row r="45" spans="1:13" ht="14.4" customHeight="1" x14ac:dyDescent="0.25">
      <c r="A45" s="442" t="s">
        <v>287</v>
      </c>
    </row>
    <row r="46" spans="1:13" ht="14.4" customHeight="1" x14ac:dyDescent="0.3">
      <c r="A46" s="237" t="s">
        <v>289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6" bestFit="1" customWidth="1"/>
    <col min="2" max="3" width="7.77734375" style="200" customWidth="1"/>
    <col min="4" max="5" width="7.77734375" style="76" customWidth="1"/>
    <col min="6" max="6" width="14.88671875" style="76" bestFit="1" customWidth="1"/>
    <col min="7" max="7" width="2" style="76" bestFit="1" customWidth="1"/>
    <col min="8" max="8" width="5.33203125" style="76" bestFit="1" customWidth="1"/>
    <col min="9" max="9" width="7.6640625" style="76" bestFit="1" customWidth="1"/>
    <col min="10" max="10" width="6.88671875" style="76" bestFit="1" customWidth="1"/>
    <col min="11" max="11" width="17.33203125" style="76" bestFit="1" customWidth="1"/>
    <col min="12" max="13" width="19.6640625" style="76" bestFit="1" customWidth="1"/>
    <col min="14" max="16384" width="8.88671875" style="76"/>
  </cols>
  <sheetData>
    <row r="1" spans="1:13" ht="18.600000000000001" customHeight="1" thickBot="1" x14ac:dyDescent="0.4">
      <c r="A1" s="490" t="s">
        <v>109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14.4" customHeight="1" x14ac:dyDescent="0.3">
      <c r="A2" s="375" t="s">
        <v>320</v>
      </c>
      <c r="B2" s="196"/>
      <c r="C2" s="196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4.4" customHeight="1" x14ac:dyDescent="0.3">
      <c r="A3" s="75"/>
      <c r="B3" s="364"/>
      <c r="C3" s="364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4.4" customHeight="1" x14ac:dyDescent="0.3">
      <c r="A4" s="75"/>
      <c r="B4" s="364"/>
      <c r="C4" s="364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4.4" customHeight="1" x14ac:dyDescent="0.3">
      <c r="A5" s="75"/>
      <c r="B5" s="364"/>
      <c r="C5" s="364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" customHeight="1" x14ac:dyDescent="0.3">
      <c r="A6" s="75"/>
      <c r="B6" s="364"/>
      <c r="C6" s="364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4.4" customHeight="1" x14ac:dyDescent="0.3">
      <c r="A7" s="75"/>
      <c r="B7" s="364"/>
      <c r="C7" s="364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4.4" customHeight="1" x14ac:dyDescent="0.3">
      <c r="A8" s="75"/>
      <c r="B8" s="364"/>
      <c r="C8" s="364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4.4" customHeight="1" x14ac:dyDescent="0.3">
      <c r="A9" s="75"/>
      <c r="B9" s="364"/>
      <c r="C9" s="364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ht="14.4" customHeight="1" x14ac:dyDescent="0.3">
      <c r="A10" s="75"/>
      <c r="B10" s="364"/>
      <c r="C10" s="364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13" ht="14.4" customHeight="1" x14ac:dyDescent="0.3">
      <c r="A11" s="75"/>
      <c r="B11" s="364"/>
      <c r="C11" s="364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4.4" customHeight="1" x14ac:dyDescent="0.3">
      <c r="A12" s="75"/>
      <c r="B12" s="364"/>
      <c r="C12" s="364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ht="14.4" customHeight="1" x14ac:dyDescent="0.3">
      <c r="A13" s="75"/>
      <c r="B13" s="364"/>
      <c r="C13" s="364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4.4" customHeight="1" x14ac:dyDescent="0.3">
      <c r="A14" s="75"/>
      <c r="B14" s="364"/>
      <c r="C14" s="364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ht="14.4" customHeight="1" x14ac:dyDescent="0.3">
      <c r="A15" s="75"/>
      <c r="B15" s="364"/>
      <c r="C15" s="364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ht="14.4" customHeight="1" x14ac:dyDescent="0.3">
      <c r="A16" s="75"/>
      <c r="B16" s="364"/>
      <c r="C16" s="364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13" ht="14.4" customHeight="1" x14ac:dyDescent="0.3">
      <c r="A17" s="75"/>
      <c r="B17" s="364"/>
      <c r="C17" s="364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1:13" ht="14.4" customHeight="1" x14ac:dyDescent="0.3">
      <c r="A18" s="75"/>
      <c r="B18" s="364"/>
      <c r="C18" s="364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t="14.4" customHeight="1" x14ac:dyDescent="0.3">
      <c r="A19" s="75"/>
      <c r="B19" s="364"/>
      <c r="C19" s="364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t="14.4" customHeight="1" x14ac:dyDescent="0.3">
      <c r="A20" s="75"/>
      <c r="B20" s="364"/>
      <c r="C20" s="364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t="14.4" customHeight="1" x14ac:dyDescent="0.3">
      <c r="A21" s="75"/>
      <c r="B21" s="364"/>
      <c r="C21" s="364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ht="14.4" customHeight="1" x14ac:dyDescent="0.3">
      <c r="A22" s="75"/>
      <c r="B22" s="364"/>
      <c r="C22" s="364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ht="14.4" customHeight="1" x14ac:dyDescent="0.3">
      <c r="A23" s="75"/>
      <c r="B23" s="364"/>
      <c r="C23" s="364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4.4" customHeight="1" x14ac:dyDescent="0.3">
      <c r="A24" s="75"/>
      <c r="B24" s="364"/>
      <c r="C24" s="364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1:13" ht="14.4" customHeight="1" x14ac:dyDescent="0.3">
      <c r="A25" s="75"/>
      <c r="B25" s="364"/>
      <c r="C25" s="364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3" ht="14.4" customHeight="1" x14ac:dyDescent="0.3">
      <c r="A26" s="75"/>
      <c r="B26" s="364"/>
      <c r="C26" s="364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ht="14.4" customHeight="1" x14ac:dyDescent="0.3">
      <c r="A27" s="75"/>
      <c r="B27" s="364"/>
      <c r="C27" s="364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4.4" customHeight="1" x14ac:dyDescent="0.3">
      <c r="A28" s="75"/>
      <c r="B28" s="364"/>
      <c r="C28" s="364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4.4" customHeight="1" x14ac:dyDescent="0.3">
      <c r="A29" s="75"/>
      <c r="B29" s="364"/>
      <c r="C29" s="364"/>
      <c r="D29" s="75"/>
      <c r="E29" s="75"/>
      <c r="F29" s="75"/>
      <c r="G29" s="75"/>
      <c r="H29" s="75"/>
      <c r="I29" s="75"/>
      <c r="J29" s="75"/>
      <c r="K29" s="75"/>
      <c r="L29" s="75"/>
      <c r="M29" s="75"/>
    </row>
    <row r="30" spans="1:13" ht="14.4" customHeight="1" thickBot="1" x14ac:dyDescent="0.35">
      <c r="A30" s="75"/>
      <c r="B30" s="364"/>
      <c r="C30" s="364"/>
      <c r="D30" s="75"/>
      <c r="E30" s="75"/>
      <c r="F30" s="75"/>
      <c r="G30" s="75"/>
      <c r="H30" s="75"/>
      <c r="I30" s="75"/>
      <c r="J30" s="75"/>
      <c r="K30" s="75"/>
      <c r="L30" s="75"/>
      <c r="M30" s="75"/>
    </row>
    <row r="31" spans="1:13" ht="14.4" customHeight="1" x14ac:dyDescent="0.3">
      <c r="A31" s="174"/>
      <c r="B31" s="574" t="s">
        <v>77</v>
      </c>
      <c r="C31" s="575"/>
      <c r="D31" s="575"/>
      <c r="E31" s="576"/>
      <c r="F31" s="166" t="s">
        <v>77</v>
      </c>
      <c r="G31" s="78"/>
      <c r="H31" s="78"/>
      <c r="I31" s="75"/>
      <c r="J31" s="75"/>
      <c r="K31" s="75"/>
      <c r="L31" s="75"/>
      <c r="M31" s="75"/>
    </row>
    <row r="32" spans="1:13" ht="14.4" customHeight="1" thickBot="1" x14ac:dyDescent="0.35">
      <c r="A32" s="175" t="s">
        <v>61</v>
      </c>
      <c r="B32" s="167" t="s">
        <v>80</v>
      </c>
      <c r="C32" s="168" t="s">
        <v>81</v>
      </c>
      <c r="D32" s="168" t="s">
        <v>82</v>
      </c>
      <c r="E32" s="169" t="s">
        <v>2</v>
      </c>
      <c r="F32" s="170" t="s">
        <v>83</v>
      </c>
      <c r="G32" s="365"/>
      <c r="H32" s="365" t="s">
        <v>110</v>
      </c>
      <c r="I32" s="75"/>
      <c r="J32" s="75"/>
      <c r="K32" s="75"/>
      <c r="L32" s="75"/>
      <c r="M32" s="75"/>
    </row>
    <row r="33" spans="1:13" ht="14.4" customHeight="1" x14ac:dyDescent="0.3">
      <c r="A33" s="171" t="s">
        <v>97</v>
      </c>
      <c r="B33" s="197">
        <v>323.55</v>
      </c>
      <c r="C33" s="197">
        <v>314</v>
      </c>
      <c r="D33" s="79">
        <f>IF(C33="","",C33-B33)</f>
        <v>-9.5500000000000114</v>
      </c>
      <c r="E33" s="80">
        <f>IF(C33="","",C33/B33)</f>
        <v>0.97048369649204136</v>
      </c>
      <c r="F33" s="81">
        <v>62</v>
      </c>
      <c r="G33" s="365">
        <v>0</v>
      </c>
      <c r="H33" s="366">
        <v>1</v>
      </c>
      <c r="I33" s="75"/>
      <c r="J33" s="75"/>
      <c r="K33" s="75"/>
      <c r="L33" s="75"/>
      <c r="M33" s="75"/>
    </row>
    <row r="34" spans="1:13" ht="14.4" customHeight="1" x14ac:dyDescent="0.3">
      <c r="A34" s="172" t="s">
        <v>98</v>
      </c>
      <c r="B34" s="198">
        <v>540.35</v>
      </c>
      <c r="C34" s="198">
        <v>526</v>
      </c>
      <c r="D34" s="82">
        <f t="shared" ref="D34:D45" si="0">IF(C34="","",C34-B34)</f>
        <v>-14.350000000000023</v>
      </c>
      <c r="E34" s="83">
        <f t="shared" ref="E34:E45" si="1">IF(C34="","",C34/B34)</f>
        <v>0.97344313870639398</v>
      </c>
      <c r="F34" s="84">
        <v>95.09</v>
      </c>
      <c r="G34" s="365">
        <v>1</v>
      </c>
      <c r="H34" s="366">
        <v>1</v>
      </c>
      <c r="I34" s="75"/>
      <c r="J34" s="75"/>
      <c r="K34" s="75"/>
      <c r="L34" s="75"/>
      <c r="M34" s="75"/>
    </row>
    <row r="35" spans="1:13" ht="14.4" customHeight="1" x14ac:dyDescent="0.3">
      <c r="A35" s="172" t="s">
        <v>99</v>
      </c>
      <c r="B35" s="198">
        <v>892.35</v>
      </c>
      <c r="C35" s="198">
        <v>905</v>
      </c>
      <c r="D35" s="82">
        <f t="shared" si="0"/>
        <v>12.649999999999977</v>
      </c>
      <c r="E35" s="83">
        <f t="shared" si="1"/>
        <v>1.0141760519975345</v>
      </c>
      <c r="F35" s="84">
        <v>175.56</v>
      </c>
      <c r="G35" s="367"/>
      <c r="H35" s="367"/>
      <c r="I35" s="75"/>
      <c r="J35" s="75"/>
      <c r="K35" s="75"/>
      <c r="L35" s="75"/>
      <c r="M35" s="75"/>
    </row>
    <row r="36" spans="1:13" ht="14.4" customHeight="1" x14ac:dyDescent="0.3">
      <c r="A36" s="172" t="s">
        <v>100</v>
      </c>
      <c r="B36" s="198">
        <v>1421.39</v>
      </c>
      <c r="C36" s="198">
        <v>1352</v>
      </c>
      <c r="D36" s="82">
        <f t="shared" si="0"/>
        <v>-69.3900000000001</v>
      </c>
      <c r="E36" s="83">
        <f t="shared" si="1"/>
        <v>0.95118158985218693</v>
      </c>
      <c r="F36" s="84">
        <v>226.97</v>
      </c>
      <c r="G36" s="367"/>
      <c r="H36" s="367"/>
      <c r="I36" s="75"/>
      <c r="J36" s="75"/>
      <c r="K36" s="75"/>
      <c r="L36" s="75"/>
      <c r="M36" s="75"/>
    </row>
    <row r="37" spans="1:13" ht="14.4" customHeight="1" x14ac:dyDescent="0.3">
      <c r="A37" s="172" t="s">
        <v>101</v>
      </c>
      <c r="B37" s="198">
        <v>1739.14</v>
      </c>
      <c r="C37" s="198">
        <v>1699</v>
      </c>
      <c r="D37" s="82">
        <f t="shared" si="0"/>
        <v>-40.1400000000001</v>
      </c>
      <c r="E37" s="83">
        <f t="shared" si="1"/>
        <v>0.97691962694205181</v>
      </c>
      <c r="F37" s="84">
        <v>316.16000000000003</v>
      </c>
      <c r="G37" s="367"/>
      <c r="H37" s="367"/>
      <c r="I37" s="75"/>
      <c r="J37" s="75"/>
      <c r="K37" s="75"/>
      <c r="L37" s="75"/>
      <c r="M37" s="75"/>
    </row>
    <row r="38" spans="1:13" ht="14.4" customHeight="1" x14ac:dyDescent="0.3">
      <c r="A38" s="172" t="s">
        <v>102</v>
      </c>
      <c r="B38" s="198">
        <v>2207.5700000000002</v>
      </c>
      <c r="C38" s="198">
        <v>2195</v>
      </c>
      <c r="D38" s="82">
        <f t="shared" si="0"/>
        <v>-12.570000000000164</v>
      </c>
      <c r="E38" s="83">
        <f t="shared" si="1"/>
        <v>0.99430595632301577</v>
      </c>
      <c r="F38" s="84">
        <v>438.71</v>
      </c>
      <c r="G38" s="367"/>
      <c r="H38" s="367"/>
      <c r="I38" s="75"/>
      <c r="J38" s="75"/>
      <c r="K38" s="75"/>
      <c r="L38" s="75"/>
      <c r="M38" s="75"/>
    </row>
    <row r="39" spans="1:13" ht="14.4" customHeight="1" x14ac:dyDescent="0.3">
      <c r="A39" s="172" t="s">
        <v>103</v>
      </c>
      <c r="B39" s="198"/>
      <c r="C39" s="198"/>
      <c r="D39" s="82" t="str">
        <f t="shared" si="0"/>
        <v/>
      </c>
      <c r="E39" s="83" t="str">
        <f t="shared" si="1"/>
        <v/>
      </c>
      <c r="F39" s="84"/>
      <c r="G39" s="367"/>
      <c r="H39" s="367"/>
      <c r="I39" s="75"/>
      <c r="J39" s="75"/>
      <c r="K39" s="75"/>
      <c r="L39" s="75"/>
      <c r="M39" s="75"/>
    </row>
    <row r="40" spans="1:13" ht="14.4" customHeight="1" x14ac:dyDescent="0.3">
      <c r="A40" s="172" t="s">
        <v>104</v>
      </c>
      <c r="B40" s="198"/>
      <c r="C40" s="198"/>
      <c r="D40" s="82" t="str">
        <f t="shared" si="0"/>
        <v/>
      </c>
      <c r="E40" s="83" t="str">
        <f t="shared" si="1"/>
        <v/>
      </c>
      <c r="F40" s="84"/>
      <c r="G40" s="367"/>
      <c r="H40" s="367"/>
      <c r="I40" s="75"/>
      <c r="J40" s="75"/>
      <c r="K40" s="75"/>
      <c r="L40" s="75"/>
      <c r="M40" s="75"/>
    </row>
    <row r="41" spans="1:13" ht="14.4" customHeight="1" x14ac:dyDescent="0.3">
      <c r="A41" s="172" t="s">
        <v>105</v>
      </c>
      <c r="B41" s="198"/>
      <c r="C41" s="198"/>
      <c r="D41" s="82" t="str">
        <f t="shared" si="0"/>
        <v/>
      </c>
      <c r="E41" s="83" t="str">
        <f t="shared" si="1"/>
        <v/>
      </c>
      <c r="F41" s="84"/>
      <c r="G41" s="367"/>
      <c r="H41" s="367"/>
      <c r="I41" s="75"/>
      <c r="J41" s="75"/>
      <c r="K41" s="75"/>
      <c r="L41" s="75"/>
      <c r="M41" s="75"/>
    </row>
    <row r="42" spans="1:13" ht="14.4" customHeight="1" x14ac:dyDescent="0.3">
      <c r="A42" s="172" t="s">
        <v>106</v>
      </c>
      <c r="B42" s="198"/>
      <c r="C42" s="198"/>
      <c r="D42" s="82" t="str">
        <f t="shared" si="0"/>
        <v/>
      </c>
      <c r="E42" s="83" t="str">
        <f t="shared" si="1"/>
        <v/>
      </c>
      <c r="F42" s="84"/>
      <c r="G42" s="367"/>
      <c r="H42" s="367"/>
      <c r="I42" s="75"/>
      <c r="J42" s="75"/>
      <c r="K42" s="75"/>
      <c r="L42" s="75"/>
      <c r="M42" s="75"/>
    </row>
    <row r="43" spans="1:13" ht="14.4" customHeight="1" x14ac:dyDescent="0.3">
      <c r="A43" s="172" t="s">
        <v>107</v>
      </c>
      <c r="B43" s="198"/>
      <c r="C43" s="198"/>
      <c r="D43" s="82" t="str">
        <f t="shared" si="0"/>
        <v/>
      </c>
      <c r="E43" s="83" t="str">
        <f t="shared" si="1"/>
        <v/>
      </c>
      <c r="F43" s="84"/>
      <c r="G43" s="367"/>
      <c r="H43" s="367"/>
      <c r="I43" s="75"/>
      <c r="J43" s="75"/>
      <c r="K43" s="75"/>
      <c r="L43" s="75"/>
      <c r="M43" s="75"/>
    </row>
    <row r="44" spans="1:13" ht="14.4" customHeight="1" x14ac:dyDescent="0.3">
      <c r="A44" s="172" t="s">
        <v>108</v>
      </c>
      <c r="B44" s="198"/>
      <c r="C44" s="198"/>
      <c r="D44" s="82" t="str">
        <f t="shared" si="0"/>
        <v/>
      </c>
      <c r="E44" s="83" t="str">
        <f t="shared" si="1"/>
        <v/>
      </c>
      <c r="F44" s="84"/>
      <c r="G44" s="367"/>
      <c r="H44" s="367"/>
      <c r="I44" s="75"/>
      <c r="J44" s="75"/>
      <c r="K44" s="75"/>
      <c r="L44" s="75"/>
      <c r="M44" s="75"/>
    </row>
    <row r="45" spans="1:13" ht="14.4" customHeight="1" thickBot="1" x14ac:dyDescent="0.35">
      <c r="A45" s="173" t="s">
        <v>111</v>
      </c>
      <c r="B45" s="199"/>
      <c r="C45" s="199"/>
      <c r="D45" s="85" t="str">
        <f t="shared" si="0"/>
        <v/>
      </c>
      <c r="E45" s="86" t="str">
        <f t="shared" si="1"/>
        <v/>
      </c>
      <c r="F45" s="87"/>
      <c r="G45" s="367"/>
      <c r="H45" s="367"/>
      <c r="I45" s="75"/>
      <c r="J45" s="75"/>
      <c r="K45" s="75"/>
      <c r="L45" s="75"/>
      <c r="M45" s="75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1" customWidth="1"/>
    <col min="2" max="2" width="6.5546875" style="211" customWidth="1"/>
    <col min="3" max="3" width="5.88671875" style="211" customWidth="1"/>
    <col min="4" max="4" width="7.6640625" style="211" customWidth="1"/>
    <col min="5" max="5" width="6.5546875" style="94" customWidth="1"/>
    <col min="6" max="6" width="5.88671875" style="94" customWidth="1"/>
    <col min="7" max="7" width="7.6640625" style="94" customWidth="1"/>
    <col min="8" max="8" width="6.6640625" style="94" bestFit="1" customWidth="1"/>
    <col min="9" max="9" width="6" style="94" bestFit="1" customWidth="1"/>
    <col min="10" max="10" width="7.77734375" style="94" bestFit="1" customWidth="1"/>
    <col min="11" max="11" width="9.109375" style="94" bestFit="1" customWidth="1"/>
    <col min="12" max="12" width="3.88671875" style="94" bestFit="1" customWidth="1"/>
    <col min="13" max="13" width="4.33203125" style="94" bestFit="1" customWidth="1"/>
    <col min="14" max="14" width="5.44140625" style="94" bestFit="1" customWidth="1"/>
    <col min="15" max="15" width="4" style="94" bestFit="1" customWidth="1"/>
    <col min="16" max="16" width="55.44140625" style="88" customWidth="1"/>
    <col min="17" max="17" width="7.88671875" style="92" bestFit="1" customWidth="1"/>
    <col min="18" max="18" width="6" style="92" bestFit="1" customWidth="1"/>
    <col min="19" max="19" width="9.5546875" style="211" customWidth="1"/>
    <col min="20" max="20" width="9.6640625" style="211" customWidth="1"/>
    <col min="21" max="21" width="7.6640625" style="211" bestFit="1" customWidth="1"/>
    <col min="22" max="22" width="6.109375" style="95" bestFit="1" customWidth="1"/>
    <col min="23" max="23" width="17.21875" style="93" bestFit="1" customWidth="1"/>
    <col min="24" max="16384" width="8.88671875" style="88"/>
  </cols>
  <sheetData>
    <row r="1" spans="1:23" s="313" customFormat="1" ht="18.600000000000001" customHeight="1" thickBot="1" x14ac:dyDescent="0.4">
      <c r="A1" s="529" t="s">
        <v>2942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</row>
    <row r="2" spans="1:23" ht="14.4" customHeight="1" thickBot="1" x14ac:dyDescent="0.35">
      <c r="A2" s="375" t="s">
        <v>320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8"/>
      <c r="Q2" s="368"/>
      <c r="R2" s="368"/>
      <c r="S2" s="369"/>
      <c r="T2" s="369"/>
      <c r="U2" s="369"/>
      <c r="V2" s="368"/>
      <c r="W2" s="370"/>
    </row>
    <row r="3" spans="1:23" s="89" customFormat="1" ht="14.4" customHeight="1" x14ac:dyDescent="0.3">
      <c r="A3" s="583" t="s">
        <v>69</v>
      </c>
      <c r="B3" s="584">
        <v>2013</v>
      </c>
      <c r="C3" s="585"/>
      <c r="D3" s="586"/>
      <c r="E3" s="584">
        <v>2014</v>
      </c>
      <c r="F3" s="585"/>
      <c r="G3" s="586"/>
      <c r="H3" s="584">
        <v>2015</v>
      </c>
      <c r="I3" s="585"/>
      <c r="J3" s="586"/>
      <c r="K3" s="587" t="s">
        <v>70</v>
      </c>
      <c r="L3" s="579" t="s">
        <v>71</v>
      </c>
      <c r="M3" s="579" t="s">
        <v>72</v>
      </c>
      <c r="N3" s="579" t="s">
        <v>73</v>
      </c>
      <c r="O3" s="263" t="s">
        <v>74</v>
      </c>
      <c r="P3" s="580" t="s">
        <v>75</v>
      </c>
      <c r="Q3" s="581" t="s">
        <v>76</v>
      </c>
      <c r="R3" s="582"/>
      <c r="S3" s="577" t="s">
        <v>77</v>
      </c>
      <c r="T3" s="578"/>
      <c r="U3" s="578"/>
      <c r="V3" s="578"/>
      <c r="W3" s="212" t="s">
        <v>77</v>
      </c>
    </row>
    <row r="4" spans="1:23" s="90" customFormat="1" ht="14.4" customHeight="1" thickBot="1" x14ac:dyDescent="0.35">
      <c r="A4" s="790"/>
      <c r="B4" s="791" t="s">
        <v>78</v>
      </c>
      <c r="C4" s="792" t="s">
        <v>66</v>
      </c>
      <c r="D4" s="793" t="s">
        <v>79</v>
      </c>
      <c r="E4" s="791" t="s">
        <v>78</v>
      </c>
      <c r="F4" s="792" t="s">
        <v>66</v>
      </c>
      <c r="G4" s="793" t="s">
        <v>79</v>
      </c>
      <c r="H4" s="791" t="s">
        <v>78</v>
      </c>
      <c r="I4" s="792" t="s">
        <v>66</v>
      </c>
      <c r="J4" s="793" t="s">
        <v>79</v>
      </c>
      <c r="K4" s="794"/>
      <c r="L4" s="795"/>
      <c r="M4" s="795"/>
      <c r="N4" s="795"/>
      <c r="O4" s="796"/>
      <c r="P4" s="797"/>
      <c r="Q4" s="798" t="s">
        <v>67</v>
      </c>
      <c r="R4" s="799" t="s">
        <v>66</v>
      </c>
      <c r="S4" s="800" t="s">
        <v>80</v>
      </c>
      <c r="T4" s="801" t="s">
        <v>81</v>
      </c>
      <c r="U4" s="801" t="s">
        <v>82</v>
      </c>
      <c r="V4" s="802" t="s">
        <v>2</v>
      </c>
      <c r="W4" s="803" t="s">
        <v>83</v>
      </c>
    </row>
    <row r="5" spans="1:23" ht="14.4" customHeight="1" x14ac:dyDescent="0.3">
      <c r="A5" s="834" t="s">
        <v>2800</v>
      </c>
      <c r="B5" s="804"/>
      <c r="C5" s="805"/>
      <c r="D5" s="806"/>
      <c r="E5" s="807">
        <v>1</v>
      </c>
      <c r="F5" s="808">
        <v>7.28</v>
      </c>
      <c r="G5" s="809">
        <v>22</v>
      </c>
      <c r="H5" s="810"/>
      <c r="I5" s="811"/>
      <c r="J5" s="812"/>
      <c r="K5" s="813">
        <v>7.09</v>
      </c>
      <c r="L5" s="814">
        <v>5</v>
      </c>
      <c r="M5" s="814">
        <v>46</v>
      </c>
      <c r="N5" s="815">
        <v>15.26</v>
      </c>
      <c r="O5" s="814" t="s">
        <v>2801</v>
      </c>
      <c r="P5" s="816" t="s">
        <v>2802</v>
      </c>
      <c r="Q5" s="817">
        <f>H5-B5</f>
        <v>0</v>
      </c>
      <c r="R5" s="817">
        <f>I5-C5</f>
        <v>0</v>
      </c>
      <c r="S5" s="804" t="str">
        <f>IF(H5=0,"",H5*N5)</f>
        <v/>
      </c>
      <c r="T5" s="804" t="str">
        <f>IF(H5=0,"",H5*J5)</f>
        <v/>
      </c>
      <c r="U5" s="804" t="str">
        <f>IF(H5=0,"",T5-S5)</f>
        <v/>
      </c>
      <c r="V5" s="818" t="str">
        <f>IF(H5=0,"",T5/S5)</f>
        <v/>
      </c>
      <c r="W5" s="819"/>
    </row>
    <row r="6" spans="1:23" ht="14.4" customHeight="1" x14ac:dyDescent="0.3">
      <c r="A6" s="835" t="s">
        <v>2803</v>
      </c>
      <c r="B6" s="820"/>
      <c r="C6" s="821"/>
      <c r="D6" s="789"/>
      <c r="E6" s="822"/>
      <c r="F6" s="823"/>
      <c r="G6" s="774"/>
      <c r="H6" s="824">
        <v>1</v>
      </c>
      <c r="I6" s="825">
        <v>7.67</v>
      </c>
      <c r="J6" s="775">
        <v>22</v>
      </c>
      <c r="K6" s="826">
        <v>7.09</v>
      </c>
      <c r="L6" s="827">
        <v>5</v>
      </c>
      <c r="M6" s="827">
        <v>46</v>
      </c>
      <c r="N6" s="828">
        <v>15.26</v>
      </c>
      <c r="O6" s="827" t="s">
        <v>2801</v>
      </c>
      <c r="P6" s="829" t="s">
        <v>2804</v>
      </c>
      <c r="Q6" s="830">
        <f t="shared" ref="Q6:R69" si="0">H6-B6</f>
        <v>1</v>
      </c>
      <c r="R6" s="830">
        <f t="shared" si="0"/>
        <v>7.67</v>
      </c>
      <c r="S6" s="820">
        <f t="shared" ref="S6:S69" si="1">IF(H6=0,"",H6*N6)</f>
        <v>15.26</v>
      </c>
      <c r="T6" s="820">
        <f t="shared" ref="T6:T69" si="2">IF(H6=0,"",H6*J6)</f>
        <v>22</v>
      </c>
      <c r="U6" s="820">
        <f t="shared" ref="U6:U69" si="3">IF(H6=0,"",T6-S6)</f>
        <v>6.74</v>
      </c>
      <c r="V6" s="831">
        <f t="shared" ref="V6:V69" si="4">IF(H6=0,"",T6/S6)</f>
        <v>1.4416775884665793</v>
      </c>
      <c r="W6" s="776">
        <v>6.74</v>
      </c>
    </row>
    <row r="7" spans="1:23" ht="14.4" customHeight="1" x14ac:dyDescent="0.3">
      <c r="A7" s="836" t="s">
        <v>2805</v>
      </c>
      <c r="B7" s="783"/>
      <c r="C7" s="784"/>
      <c r="D7" s="785"/>
      <c r="E7" s="766">
        <v>1</v>
      </c>
      <c r="F7" s="767">
        <v>22.04</v>
      </c>
      <c r="G7" s="768">
        <v>73</v>
      </c>
      <c r="H7" s="770"/>
      <c r="I7" s="764"/>
      <c r="J7" s="765"/>
      <c r="K7" s="769">
        <v>20.05</v>
      </c>
      <c r="L7" s="770">
        <v>10</v>
      </c>
      <c r="M7" s="770">
        <v>90</v>
      </c>
      <c r="N7" s="771">
        <v>29.86</v>
      </c>
      <c r="O7" s="770" t="s">
        <v>2801</v>
      </c>
      <c r="P7" s="787" t="s">
        <v>2806</v>
      </c>
      <c r="Q7" s="772">
        <f t="shared" si="0"/>
        <v>0</v>
      </c>
      <c r="R7" s="772">
        <f t="shared" si="0"/>
        <v>0</v>
      </c>
      <c r="S7" s="783" t="str">
        <f t="shared" si="1"/>
        <v/>
      </c>
      <c r="T7" s="783" t="str">
        <f t="shared" si="2"/>
        <v/>
      </c>
      <c r="U7" s="783" t="str">
        <f t="shared" si="3"/>
        <v/>
      </c>
      <c r="V7" s="788" t="str">
        <f t="shared" si="4"/>
        <v/>
      </c>
      <c r="W7" s="773"/>
    </row>
    <row r="8" spans="1:23" ht="14.4" customHeight="1" x14ac:dyDescent="0.3">
      <c r="A8" s="836" t="s">
        <v>2807</v>
      </c>
      <c r="B8" s="783"/>
      <c r="C8" s="784"/>
      <c r="D8" s="785"/>
      <c r="E8" s="766">
        <v>2</v>
      </c>
      <c r="F8" s="767">
        <v>24.75</v>
      </c>
      <c r="G8" s="768">
        <v>28</v>
      </c>
      <c r="H8" s="770"/>
      <c r="I8" s="764"/>
      <c r="J8" s="765"/>
      <c r="K8" s="769">
        <v>12.38</v>
      </c>
      <c r="L8" s="770">
        <v>7</v>
      </c>
      <c r="M8" s="770">
        <v>61</v>
      </c>
      <c r="N8" s="771">
        <v>20.350000000000001</v>
      </c>
      <c r="O8" s="770" t="s">
        <v>2801</v>
      </c>
      <c r="P8" s="787" t="s">
        <v>2808</v>
      </c>
      <c r="Q8" s="772">
        <f t="shared" si="0"/>
        <v>0</v>
      </c>
      <c r="R8" s="772">
        <f t="shared" si="0"/>
        <v>0</v>
      </c>
      <c r="S8" s="783" t="str">
        <f t="shared" si="1"/>
        <v/>
      </c>
      <c r="T8" s="783" t="str">
        <f t="shared" si="2"/>
        <v/>
      </c>
      <c r="U8" s="783" t="str">
        <f t="shared" si="3"/>
        <v/>
      </c>
      <c r="V8" s="788" t="str">
        <f t="shared" si="4"/>
        <v/>
      </c>
      <c r="W8" s="773"/>
    </row>
    <row r="9" spans="1:23" ht="14.4" customHeight="1" x14ac:dyDescent="0.3">
      <c r="A9" s="836" t="s">
        <v>2809</v>
      </c>
      <c r="B9" s="777">
        <v>1</v>
      </c>
      <c r="C9" s="778">
        <v>1.24</v>
      </c>
      <c r="D9" s="779">
        <v>5</v>
      </c>
      <c r="E9" s="786"/>
      <c r="F9" s="764"/>
      <c r="G9" s="765"/>
      <c r="H9" s="770"/>
      <c r="I9" s="764"/>
      <c r="J9" s="765"/>
      <c r="K9" s="769">
        <v>1.24</v>
      </c>
      <c r="L9" s="770">
        <v>2</v>
      </c>
      <c r="M9" s="770">
        <v>18</v>
      </c>
      <c r="N9" s="771">
        <v>5.94</v>
      </c>
      <c r="O9" s="770" t="s">
        <v>2801</v>
      </c>
      <c r="P9" s="787" t="s">
        <v>2810</v>
      </c>
      <c r="Q9" s="772">
        <f t="shared" si="0"/>
        <v>-1</v>
      </c>
      <c r="R9" s="772">
        <f t="shared" si="0"/>
        <v>-1.24</v>
      </c>
      <c r="S9" s="783" t="str">
        <f t="shared" si="1"/>
        <v/>
      </c>
      <c r="T9" s="783" t="str">
        <f t="shared" si="2"/>
        <v/>
      </c>
      <c r="U9" s="783" t="str">
        <f t="shared" si="3"/>
        <v/>
      </c>
      <c r="V9" s="788" t="str">
        <f t="shared" si="4"/>
        <v/>
      </c>
      <c r="W9" s="773"/>
    </row>
    <row r="10" spans="1:23" ht="14.4" customHeight="1" x14ac:dyDescent="0.3">
      <c r="A10" s="836" t="s">
        <v>2811</v>
      </c>
      <c r="B10" s="783"/>
      <c r="C10" s="784"/>
      <c r="D10" s="785"/>
      <c r="E10" s="766">
        <v>1</v>
      </c>
      <c r="F10" s="767">
        <v>0.5</v>
      </c>
      <c r="G10" s="768">
        <v>11</v>
      </c>
      <c r="H10" s="770"/>
      <c r="I10" s="764"/>
      <c r="J10" s="765"/>
      <c r="K10" s="769">
        <v>0.5</v>
      </c>
      <c r="L10" s="770">
        <v>2</v>
      </c>
      <c r="M10" s="770">
        <v>18</v>
      </c>
      <c r="N10" s="771">
        <v>6.02</v>
      </c>
      <c r="O10" s="770" t="s">
        <v>2801</v>
      </c>
      <c r="P10" s="787" t="s">
        <v>2812</v>
      </c>
      <c r="Q10" s="772">
        <f t="shared" si="0"/>
        <v>0</v>
      </c>
      <c r="R10" s="772">
        <f t="shared" si="0"/>
        <v>0</v>
      </c>
      <c r="S10" s="783" t="str">
        <f t="shared" si="1"/>
        <v/>
      </c>
      <c r="T10" s="783" t="str">
        <f t="shared" si="2"/>
        <v/>
      </c>
      <c r="U10" s="783" t="str">
        <f t="shared" si="3"/>
        <v/>
      </c>
      <c r="V10" s="788" t="str">
        <f t="shared" si="4"/>
        <v/>
      </c>
      <c r="W10" s="773"/>
    </row>
    <row r="11" spans="1:23" ht="14.4" customHeight="1" x14ac:dyDescent="0.3">
      <c r="A11" s="836" t="s">
        <v>2813</v>
      </c>
      <c r="B11" s="783"/>
      <c r="C11" s="784"/>
      <c r="D11" s="785"/>
      <c r="E11" s="786"/>
      <c r="F11" s="764"/>
      <c r="G11" s="765"/>
      <c r="H11" s="766">
        <v>1</v>
      </c>
      <c r="I11" s="767">
        <v>0.67</v>
      </c>
      <c r="J11" s="768">
        <v>5</v>
      </c>
      <c r="K11" s="769">
        <v>0.67</v>
      </c>
      <c r="L11" s="770">
        <v>2</v>
      </c>
      <c r="M11" s="770">
        <v>18</v>
      </c>
      <c r="N11" s="771">
        <v>6.08</v>
      </c>
      <c r="O11" s="770" t="s">
        <v>2801</v>
      </c>
      <c r="P11" s="787" t="s">
        <v>2814</v>
      </c>
      <c r="Q11" s="772">
        <f t="shared" si="0"/>
        <v>1</v>
      </c>
      <c r="R11" s="772">
        <f t="shared" si="0"/>
        <v>0.67</v>
      </c>
      <c r="S11" s="783">
        <f t="shared" si="1"/>
        <v>6.08</v>
      </c>
      <c r="T11" s="783">
        <f t="shared" si="2"/>
        <v>5</v>
      </c>
      <c r="U11" s="783">
        <f t="shared" si="3"/>
        <v>-1.08</v>
      </c>
      <c r="V11" s="788">
        <f t="shared" si="4"/>
        <v>0.82236842105263153</v>
      </c>
      <c r="W11" s="773"/>
    </row>
    <row r="12" spans="1:23" ht="14.4" customHeight="1" x14ac:dyDescent="0.3">
      <c r="A12" s="836" t="s">
        <v>2815</v>
      </c>
      <c r="B12" s="783">
        <v>2</v>
      </c>
      <c r="C12" s="784">
        <v>0.77</v>
      </c>
      <c r="D12" s="785">
        <v>4</v>
      </c>
      <c r="E12" s="786"/>
      <c r="F12" s="764"/>
      <c r="G12" s="765"/>
      <c r="H12" s="766">
        <v>2</v>
      </c>
      <c r="I12" s="767">
        <v>0.77</v>
      </c>
      <c r="J12" s="768">
        <v>3</v>
      </c>
      <c r="K12" s="769">
        <v>0.38</v>
      </c>
      <c r="L12" s="770">
        <v>1</v>
      </c>
      <c r="M12" s="770">
        <v>10</v>
      </c>
      <c r="N12" s="771">
        <v>3.3</v>
      </c>
      <c r="O12" s="770" t="s">
        <v>2801</v>
      </c>
      <c r="P12" s="787" t="s">
        <v>2816</v>
      </c>
      <c r="Q12" s="772">
        <f t="shared" si="0"/>
        <v>0</v>
      </c>
      <c r="R12" s="772">
        <f t="shared" si="0"/>
        <v>0</v>
      </c>
      <c r="S12" s="783">
        <f t="shared" si="1"/>
        <v>6.6</v>
      </c>
      <c r="T12" s="783">
        <f t="shared" si="2"/>
        <v>6</v>
      </c>
      <c r="U12" s="783">
        <f t="shared" si="3"/>
        <v>-0.59999999999999964</v>
      </c>
      <c r="V12" s="788">
        <f t="shared" si="4"/>
        <v>0.90909090909090917</v>
      </c>
      <c r="W12" s="773"/>
    </row>
    <row r="13" spans="1:23" ht="14.4" customHeight="1" x14ac:dyDescent="0.3">
      <c r="A13" s="835" t="s">
        <v>2817</v>
      </c>
      <c r="B13" s="820"/>
      <c r="C13" s="821"/>
      <c r="D13" s="789"/>
      <c r="E13" s="822"/>
      <c r="F13" s="823"/>
      <c r="G13" s="774"/>
      <c r="H13" s="824">
        <v>1</v>
      </c>
      <c r="I13" s="825">
        <v>0.51</v>
      </c>
      <c r="J13" s="780">
        <v>3</v>
      </c>
      <c r="K13" s="826">
        <v>0.51</v>
      </c>
      <c r="L13" s="827">
        <v>2</v>
      </c>
      <c r="M13" s="827">
        <v>17</v>
      </c>
      <c r="N13" s="828">
        <v>5.52</v>
      </c>
      <c r="O13" s="827" t="s">
        <v>2801</v>
      </c>
      <c r="P13" s="829" t="s">
        <v>2818</v>
      </c>
      <c r="Q13" s="830">
        <f t="shared" si="0"/>
        <v>1</v>
      </c>
      <c r="R13" s="830">
        <f t="shared" si="0"/>
        <v>0.51</v>
      </c>
      <c r="S13" s="820">
        <f t="shared" si="1"/>
        <v>5.52</v>
      </c>
      <c r="T13" s="820">
        <f t="shared" si="2"/>
        <v>3</v>
      </c>
      <c r="U13" s="820">
        <f t="shared" si="3"/>
        <v>-2.5199999999999996</v>
      </c>
      <c r="V13" s="831">
        <f t="shared" si="4"/>
        <v>0.5434782608695653</v>
      </c>
      <c r="W13" s="776"/>
    </row>
    <row r="14" spans="1:23" ht="14.4" customHeight="1" x14ac:dyDescent="0.3">
      <c r="A14" s="836" t="s">
        <v>2819</v>
      </c>
      <c r="B14" s="783">
        <v>3</v>
      </c>
      <c r="C14" s="784">
        <v>3.41</v>
      </c>
      <c r="D14" s="785">
        <v>3.3</v>
      </c>
      <c r="E14" s="766">
        <v>7</v>
      </c>
      <c r="F14" s="767">
        <v>8.2899999999999991</v>
      </c>
      <c r="G14" s="768">
        <v>9.4</v>
      </c>
      <c r="H14" s="770">
        <v>4</v>
      </c>
      <c r="I14" s="764">
        <v>4.54</v>
      </c>
      <c r="J14" s="765">
        <v>6.3</v>
      </c>
      <c r="K14" s="769">
        <v>1.1399999999999999</v>
      </c>
      <c r="L14" s="770">
        <v>2</v>
      </c>
      <c r="M14" s="770">
        <v>20</v>
      </c>
      <c r="N14" s="771">
        <v>6.69</v>
      </c>
      <c r="O14" s="770" t="s">
        <v>2801</v>
      </c>
      <c r="P14" s="787" t="s">
        <v>2820</v>
      </c>
      <c r="Q14" s="772">
        <f t="shared" si="0"/>
        <v>1</v>
      </c>
      <c r="R14" s="772">
        <f t="shared" si="0"/>
        <v>1.1299999999999999</v>
      </c>
      <c r="S14" s="783">
        <f t="shared" si="1"/>
        <v>26.76</v>
      </c>
      <c r="T14" s="783">
        <f t="shared" si="2"/>
        <v>25.2</v>
      </c>
      <c r="U14" s="783">
        <f t="shared" si="3"/>
        <v>-1.5600000000000023</v>
      </c>
      <c r="V14" s="788">
        <f t="shared" si="4"/>
        <v>0.9417040358744394</v>
      </c>
      <c r="W14" s="773">
        <v>1.62</v>
      </c>
    </row>
    <row r="15" spans="1:23" ht="14.4" customHeight="1" x14ac:dyDescent="0.3">
      <c r="A15" s="835" t="s">
        <v>2821</v>
      </c>
      <c r="B15" s="820">
        <v>2</v>
      </c>
      <c r="C15" s="821">
        <v>3.33</v>
      </c>
      <c r="D15" s="789">
        <v>6</v>
      </c>
      <c r="E15" s="824"/>
      <c r="F15" s="825"/>
      <c r="G15" s="780"/>
      <c r="H15" s="827">
        <v>2</v>
      </c>
      <c r="I15" s="823">
        <v>3.33</v>
      </c>
      <c r="J15" s="774">
        <v>5</v>
      </c>
      <c r="K15" s="826">
        <v>1.66</v>
      </c>
      <c r="L15" s="827">
        <v>3</v>
      </c>
      <c r="M15" s="827">
        <v>26</v>
      </c>
      <c r="N15" s="828">
        <v>8.59</v>
      </c>
      <c r="O15" s="827" t="s">
        <v>2801</v>
      </c>
      <c r="P15" s="829" t="s">
        <v>2822</v>
      </c>
      <c r="Q15" s="830">
        <f t="shared" si="0"/>
        <v>0</v>
      </c>
      <c r="R15" s="830">
        <f t="shared" si="0"/>
        <v>0</v>
      </c>
      <c r="S15" s="820">
        <f t="shared" si="1"/>
        <v>17.18</v>
      </c>
      <c r="T15" s="820">
        <f t="shared" si="2"/>
        <v>10</v>
      </c>
      <c r="U15" s="820">
        <f t="shared" si="3"/>
        <v>-7.18</v>
      </c>
      <c r="V15" s="831">
        <f t="shared" si="4"/>
        <v>0.58207217694994184</v>
      </c>
      <c r="W15" s="776"/>
    </row>
    <row r="16" spans="1:23" ht="14.4" customHeight="1" x14ac:dyDescent="0.3">
      <c r="A16" s="836" t="s">
        <v>2823</v>
      </c>
      <c r="B16" s="783"/>
      <c r="C16" s="784"/>
      <c r="D16" s="785"/>
      <c r="E16" s="786"/>
      <c r="F16" s="764"/>
      <c r="G16" s="765"/>
      <c r="H16" s="766">
        <v>1</v>
      </c>
      <c r="I16" s="767">
        <v>0.68</v>
      </c>
      <c r="J16" s="781">
        <v>14</v>
      </c>
      <c r="K16" s="769">
        <v>0.56000000000000005</v>
      </c>
      <c r="L16" s="770">
        <v>1</v>
      </c>
      <c r="M16" s="770">
        <v>13</v>
      </c>
      <c r="N16" s="771">
        <v>4.17</v>
      </c>
      <c r="O16" s="770" t="s">
        <v>2801</v>
      </c>
      <c r="P16" s="787" t="s">
        <v>2824</v>
      </c>
      <c r="Q16" s="772">
        <f t="shared" si="0"/>
        <v>1</v>
      </c>
      <c r="R16" s="772">
        <f t="shared" si="0"/>
        <v>0.68</v>
      </c>
      <c r="S16" s="783">
        <f t="shared" si="1"/>
        <v>4.17</v>
      </c>
      <c r="T16" s="783">
        <f t="shared" si="2"/>
        <v>14</v>
      </c>
      <c r="U16" s="783">
        <f t="shared" si="3"/>
        <v>9.83</v>
      </c>
      <c r="V16" s="788">
        <f t="shared" si="4"/>
        <v>3.3573141486810552</v>
      </c>
      <c r="W16" s="773">
        <v>9.83</v>
      </c>
    </row>
    <row r="17" spans="1:23" ht="14.4" customHeight="1" x14ac:dyDescent="0.3">
      <c r="A17" s="836" t="s">
        <v>2825</v>
      </c>
      <c r="B17" s="783">
        <v>1</v>
      </c>
      <c r="C17" s="784">
        <v>0.34</v>
      </c>
      <c r="D17" s="785">
        <v>3</v>
      </c>
      <c r="E17" s="786"/>
      <c r="F17" s="764"/>
      <c r="G17" s="765"/>
      <c r="H17" s="766">
        <v>2</v>
      </c>
      <c r="I17" s="767">
        <v>0.69</v>
      </c>
      <c r="J17" s="768">
        <v>3</v>
      </c>
      <c r="K17" s="769">
        <v>0.34</v>
      </c>
      <c r="L17" s="770">
        <v>1</v>
      </c>
      <c r="M17" s="770">
        <v>11</v>
      </c>
      <c r="N17" s="771">
        <v>3.56</v>
      </c>
      <c r="O17" s="770" t="s">
        <v>2801</v>
      </c>
      <c r="P17" s="787" t="s">
        <v>2826</v>
      </c>
      <c r="Q17" s="772">
        <f t="shared" si="0"/>
        <v>1</v>
      </c>
      <c r="R17" s="772">
        <f t="shared" si="0"/>
        <v>0.34999999999999992</v>
      </c>
      <c r="S17" s="783">
        <f t="shared" si="1"/>
        <v>7.12</v>
      </c>
      <c r="T17" s="783">
        <f t="shared" si="2"/>
        <v>6</v>
      </c>
      <c r="U17" s="783">
        <f t="shared" si="3"/>
        <v>-1.1200000000000001</v>
      </c>
      <c r="V17" s="788">
        <f t="shared" si="4"/>
        <v>0.84269662921348309</v>
      </c>
      <c r="W17" s="773">
        <v>0.44</v>
      </c>
    </row>
    <row r="18" spans="1:23" ht="14.4" customHeight="1" x14ac:dyDescent="0.3">
      <c r="A18" s="835" t="s">
        <v>2827</v>
      </c>
      <c r="B18" s="820">
        <v>1</v>
      </c>
      <c r="C18" s="821">
        <v>0.41</v>
      </c>
      <c r="D18" s="789">
        <v>5</v>
      </c>
      <c r="E18" s="822">
        <v>1</v>
      </c>
      <c r="F18" s="823">
        <v>0.41</v>
      </c>
      <c r="G18" s="774">
        <v>6</v>
      </c>
      <c r="H18" s="824"/>
      <c r="I18" s="825"/>
      <c r="J18" s="780"/>
      <c r="K18" s="826">
        <v>0.41</v>
      </c>
      <c r="L18" s="827">
        <v>1</v>
      </c>
      <c r="M18" s="827">
        <v>13</v>
      </c>
      <c r="N18" s="828">
        <v>4.4400000000000004</v>
      </c>
      <c r="O18" s="827" t="s">
        <v>2801</v>
      </c>
      <c r="P18" s="829" t="s">
        <v>2828</v>
      </c>
      <c r="Q18" s="830">
        <f t="shared" si="0"/>
        <v>-1</v>
      </c>
      <c r="R18" s="830">
        <f t="shared" si="0"/>
        <v>-0.41</v>
      </c>
      <c r="S18" s="820" t="str">
        <f t="shared" si="1"/>
        <v/>
      </c>
      <c r="T18" s="820" t="str">
        <f t="shared" si="2"/>
        <v/>
      </c>
      <c r="U18" s="820" t="str">
        <f t="shared" si="3"/>
        <v/>
      </c>
      <c r="V18" s="831" t="str">
        <f t="shared" si="4"/>
        <v/>
      </c>
      <c r="W18" s="776"/>
    </row>
    <row r="19" spans="1:23" ht="14.4" customHeight="1" x14ac:dyDescent="0.3">
      <c r="A19" s="836" t="s">
        <v>2829</v>
      </c>
      <c r="B19" s="777">
        <v>19</v>
      </c>
      <c r="C19" s="778">
        <v>41.79</v>
      </c>
      <c r="D19" s="779">
        <v>9.6</v>
      </c>
      <c r="E19" s="786">
        <v>8</v>
      </c>
      <c r="F19" s="764">
        <v>22.94</v>
      </c>
      <c r="G19" s="765">
        <v>21.8</v>
      </c>
      <c r="H19" s="770">
        <v>9</v>
      </c>
      <c r="I19" s="764">
        <v>21.72</v>
      </c>
      <c r="J19" s="781">
        <v>16.600000000000001</v>
      </c>
      <c r="K19" s="769">
        <v>2.19</v>
      </c>
      <c r="L19" s="770">
        <v>3</v>
      </c>
      <c r="M19" s="770">
        <v>27</v>
      </c>
      <c r="N19" s="771">
        <v>8.85</v>
      </c>
      <c r="O19" s="770" t="s">
        <v>2801</v>
      </c>
      <c r="P19" s="787" t="s">
        <v>2830</v>
      </c>
      <c r="Q19" s="772">
        <f t="shared" si="0"/>
        <v>-10</v>
      </c>
      <c r="R19" s="772">
        <f t="shared" si="0"/>
        <v>-20.07</v>
      </c>
      <c r="S19" s="783">
        <f t="shared" si="1"/>
        <v>79.649999999999991</v>
      </c>
      <c r="T19" s="783">
        <f t="shared" si="2"/>
        <v>149.4</v>
      </c>
      <c r="U19" s="783">
        <f t="shared" si="3"/>
        <v>69.750000000000014</v>
      </c>
      <c r="V19" s="788">
        <f t="shared" si="4"/>
        <v>1.8757062146892658</v>
      </c>
      <c r="W19" s="773">
        <v>69.349999999999994</v>
      </c>
    </row>
    <row r="20" spans="1:23" ht="14.4" customHeight="1" x14ac:dyDescent="0.3">
      <c r="A20" s="835" t="s">
        <v>2831</v>
      </c>
      <c r="B20" s="832">
        <v>2</v>
      </c>
      <c r="C20" s="833">
        <v>8.58</v>
      </c>
      <c r="D20" s="782">
        <v>13.5</v>
      </c>
      <c r="E20" s="822">
        <v>1</v>
      </c>
      <c r="F20" s="823">
        <v>4.29</v>
      </c>
      <c r="G20" s="774">
        <v>23</v>
      </c>
      <c r="H20" s="827">
        <v>4</v>
      </c>
      <c r="I20" s="823">
        <v>17.52</v>
      </c>
      <c r="J20" s="775">
        <v>16.8</v>
      </c>
      <c r="K20" s="826">
        <v>4.29</v>
      </c>
      <c r="L20" s="827">
        <v>5</v>
      </c>
      <c r="M20" s="827">
        <v>44</v>
      </c>
      <c r="N20" s="828">
        <v>14.73</v>
      </c>
      <c r="O20" s="827" t="s">
        <v>2801</v>
      </c>
      <c r="P20" s="829" t="s">
        <v>2832</v>
      </c>
      <c r="Q20" s="830">
        <f t="shared" si="0"/>
        <v>2</v>
      </c>
      <c r="R20" s="830">
        <f t="shared" si="0"/>
        <v>8.94</v>
      </c>
      <c r="S20" s="820">
        <f t="shared" si="1"/>
        <v>58.92</v>
      </c>
      <c r="T20" s="820">
        <f t="shared" si="2"/>
        <v>67.2</v>
      </c>
      <c r="U20" s="820">
        <f t="shared" si="3"/>
        <v>8.2800000000000011</v>
      </c>
      <c r="V20" s="831">
        <f t="shared" si="4"/>
        <v>1.1405295315682282</v>
      </c>
      <c r="W20" s="776">
        <v>18.27</v>
      </c>
    </row>
    <row r="21" spans="1:23" ht="14.4" customHeight="1" x14ac:dyDescent="0.3">
      <c r="A21" s="836" t="s">
        <v>2833</v>
      </c>
      <c r="B21" s="783">
        <v>30</v>
      </c>
      <c r="C21" s="784">
        <v>88.58</v>
      </c>
      <c r="D21" s="785">
        <v>6.3</v>
      </c>
      <c r="E21" s="786">
        <v>36</v>
      </c>
      <c r="F21" s="764">
        <v>106.76</v>
      </c>
      <c r="G21" s="765">
        <v>5.8</v>
      </c>
      <c r="H21" s="766">
        <v>38</v>
      </c>
      <c r="I21" s="767">
        <v>112.74</v>
      </c>
      <c r="J21" s="768">
        <v>6.1</v>
      </c>
      <c r="K21" s="769">
        <v>2.95</v>
      </c>
      <c r="L21" s="770">
        <v>2</v>
      </c>
      <c r="M21" s="770">
        <v>19</v>
      </c>
      <c r="N21" s="771">
        <v>6.23</v>
      </c>
      <c r="O21" s="770" t="s">
        <v>2801</v>
      </c>
      <c r="P21" s="787" t="s">
        <v>2834</v>
      </c>
      <c r="Q21" s="772">
        <f t="shared" si="0"/>
        <v>8</v>
      </c>
      <c r="R21" s="772">
        <f t="shared" si="0"/>
        <v>24.159999999999997</v>
      </c>
      <c r="S21" s="783">
        <f t="shared" si="1"/>
        <v>236.74</v>
      </c>
      <c r="T21" s="783">
        <f t="shared" si="2"/>
        <v>231.79999999999998</v>
      </c>
      <c r="U21" s="783">
        <f t="shared" si="3"/>
        <v>-4.9400000000000261</v>
      </c>
      <c r="V21" s="788">
        <f t="shared" si="4"/>
        <v>0.97913322632423749</v>
      </c>
      <c r="W21" s="773">
        <v>42.78</v>
      </c>
    </row>
    <row r="22" spans="1:23" ht="14.4" customHeight="1" x14ac:dyDescent="0.3">
      <c r="A22" s="835" t="s">
        <v>2835</v>
      </c>
      <c r="B22" s="820">
        <v>9</v>
      </c>
      <c r="C22" s="821">
        <v>27.91</v>
      </c>
      <c r="D22" s="789">
        <v>7.4</v>
      </c>
      <c r="E22" s="822">
        <v>3</v>
      </c>
      <c r="F22" s="823">
        <v>9.3000000000000007</v>
      </c>
      <c r="G22" s="774">
        <v>8.6999999999999993</v>
      </c>
      <c r="H22" s="824">
        <v>3</v>
      </c>
      <c r="I22" s="825">
        <v>9.3000000000000007</v>
      </c>
      <c r="J22" s="780">
        <v>5.3</v>
      </c>
      <c r="K22" s="826">
        <v>3.1</v>
      </c>
      <c r="L22" s="827">
        <v>3</v>
      </c>
      <c r="M22" s="827">
        <v>25</v>
      </c>
      <c r="N22" s="828">
        <v>8.33</v>
      </c>
      <c r="O22" s="827" t="s">
        <v>2801</v>
      </c>
      <c r="P22" s="829" t="s">
        <v>2836</v>
      </c>
      <c r="Q22" s="830">
        <f t="shared" si="0"/>
        <v>-6</v>
      </c>
      <c r="R22" s="830">
        <f t="shared" si="0"/>
        <v>-18.61</v>
      </c>
      <c r="S22" s="820">
        <f t="shared" si="1"/>
        <v>24.990000000000002</v>
      </c>
      <c r="T22" s="820">
        <f t="shared" si="2"/>
        <v>15.899999999999999</v>
      </c>
      <c r="U22" s="820">
        <f t="shared" si="3"/>
        <v>-9.0900000000000034</v>
      </c>
      <c r="V22" s="831">
        <f t="shared" si="4"/>
        <v>0.63625450180072018</v>
      </c>
      <c r="W22" s="776"/>
    </row>
    <row r="23" spans="1:23" ht="14.4" customHeight="1" x14ac:dyDescent="0.3">
      <c r="A23" s="835" t="s">
        <v>2837</v>
      </c>
      <c r="B23" s="820"/>
      <c r="C23" s="821"/>
      <c r="D23" s="789"/>
      <c r="E23" s="822"/>
      <c r="F23" s="823"/>
      <c r="G23" s="774"/>
      <c r="H23" s="824">
        <v>1</v>
      </c>
      <c r="I23" s="825">
        <v>5.58</v>
      </c>
      <c r="J23" s="780">
        <v>6</v>
      </c>
      <c r="K23" s="826">
        <v>5.58</v>
      </c>
      <c r="L23" s="827">
        <v>3</v>
      </c>
      <c r="M23" s="827">
        <v>27</v>
      </c>
      <c r="N23" s="828">
        <v>9.0399999999999991</v>
      </c>
      <c r="O23" s="827" t="s">
        <v>2801</v>
      </c>
      <c r="P23" s="829" t="s">
        <v>2838</v>
      </c>
      <c r="Q23" s="830">
        <f t="shared" si="0"/>
        <v>1</v>
      </c>
      <c r="R23" s="830">
        <f t="shared" si="0"/>
        <v>5.58</v>
      </c>
      <c r="S23" s="820">
        <f t="shared" si="1"/>
        <v>9.0399999999999991</v>
      </c>
      <c r="T23" s="820">
        <f t="shared" si="2"/>
        <v>6</v>
      </c>
      <c r="U23" s="820">
        <f t="shared" si="3"/>
        <v>-3.0399999999999991</v>
      </c>
      <c r="V23" s="831">
        <f t="shared" si="4"/>
        <v>0.66371681415929207</v>
      </c>
      <c r="W23" s="776"/>
    </row>
    <row r="24" spans="1:23" ht="14.4" customHeight="1" x14ac:dyDescent="0.3">
      <c r="A24" s="836" t="s">
        <v>2839</v>
      </c>
      <c r="B24" s="783">
        <v>92</v>
      </c>
      <c r="C24" s="784">
        <v>125.41</v>
      </c>
      <c r="D24" s="785">
        <v>5.7</v>
      </c>
      <c r="E24" s="786">
        <v>116</v>
      </c>
      <c r="F24" s="764">
        <v>158.16</v>
      </c>
      <c r="G24" s="765">
        <v>4.8</v>
      </c>
      <c r="H24" s="766">
        <v>108</v>
      </c>
      <c r="I24" s="767">
        <v>148.63999999999999</v>
      </c>
      <c r="J24" s="781">
        <v>5.4</v>
      </c>
      <c r="K24" s="769">
        <v>1.36</v>
      </c>
      <c r="L24" s="770">
        <v>2</v>
      </c>
      <c r="M24" s="770">
        <v>15</v>
      </c>
      <c r="N24" s="771">
        <v>5.04</v>
      </c>
      <c r="O24" s="770" t="s">
        <v>2801</v>
      </c>
      <c r="P24" s="787" t="s">
        <v>2840</v>
      </c>
      <c r="Q24" s="772">
        <f t="shared" si="0"/>
        <v>16</v>
      </c>
      <c r="R24" s="772">
        <f t="shared" si="0"/>
        <v>23.22999999999999</v>
      </c>
      <c r="S24" s="783">
        <f t="shared" si="1"/>
        <v>544.32000000000005</v>
      </c>
      <c r="T24" s="783">
        <f t="shared" si="2"/>
        <v>583.20000000000005</v>
      </c>
      <c r="U24" s="783">
        <f t="shared" si="3"/>
        <v>38.879999999999995</v>
      </c>
      <c r="V24" s="788">
        <f t="shared" si="4"/>
        <v>1.0714285714285714</v>
      </c>
      <c r="W24" s="773">
        <v>124.6</v>
      </c>
    </row>
    <row r="25" spans="1:23" ht="14.4" customHeight="1" x14ac:dyDescent="0.3">
      <c r="A25" s="835" t="s">
        <v>2841</v>
      </c>
      <c r="B25" s="820">
        <v>4</v>
      </c>
      <c r="C25" s="821">
        <v>8.48</v>
      </c>
      <c r="D25" s="789">
        <v>6.3</v>
      </c>
      <c r="E25" s="822">
        <v>13</v>
      </c>
      <c r="F25" s="823">
        <v>27.93</v>
      </c>
      <c r="G25" s="774">
        <v>5.2</v>
      </c>
      <c r="H25" s="824">
        <v>23</v>
      </c>
      <c r="I25" s="825">
        <v>48.74</v>
      </c>
      <c r="J25" s="780">
        <v>5.0999999999999996</v>
      </c>
      <c r="K25" s="826">
        <v>2.12</v>
      </c>
      <c r="L25" s="827">
        <v>3</v>
      </c>
      <c r="M25" s="827">
        <v>23</v>
      </c>
      <c r="N25" s="828">
        <v>7.55</v>
      </c>
      <c r="O25" s="827" t="s">
        <v>2801</v>
      </c>
      <c r="P25" s="829" t="s">
        <v>2842</v>
      </c>
      <c r="Q25" s="830">
        <f t="shared" si="0"/>
        <v>19</v>
      </c>
      <c r="R25" s="830">
        <f t="shared" si="0"/>
        <v>40.260000000000005</v>
      </c>
      <c r="S25" s="820">
        <f t="shared" si="1"/>
        <v>173.65</v>
      </c>
      <c r="T25" s="820">
        <f t="shared" si="2"/>
        <v>117.3</v>
      </c>
      <c r="U25" s="820">
        <f t="shared" si="3"/>
        <v>-56.350000000000009</v>
      </c>
      <c r="V25" s="831">
        <f t="shared" si="4"/>
        <v>0.67549668874172186</v>
      </c>
      <c r="W25" s="776">
        <v>3.25</v>
      </c>
    </row>
    <row r="26" spans="1:23" ht="14.4" customHeight="1" x14ac:dyDescent="0.3">
      <c r="A26" s="835" t="s">
        <v>2843</v>
      </c>
      <c r="B26" s="820">
        <v>2</v>
      </c>
      <c r="C26" s="821">
        <v>4.72</v>
      </c>
      <c r="D26" s="789">
        <v>4.5</v>
      </c>
      <c r="E26" s="822">
        <v>1</v>
      </c>
      <c r="F26" s="823">
        <v>2.36</v>
      </c>
      <c r="G26" s="774">
        <v>9</v>
      </c>
      <c r="H26" s="824">
        <v>5</v>
      </c>
      <c r="I26" s="825">
        <v>11.8</v>
      </c>
      <c r="J26" s="780">
        <v>4.8</v>
      </c>
      <c r="K26" s="826">
        <v>2.36</v>
      </c>
      <c r="L26" s="827">
        <v>2</v>
      </c>
      <c r="M26" s="827">
        <v>22</v>
      </c>
      <c r="N26" s="828">
        <v>7.18</v>
      </c>
      <c r="O26" s="827" t="s">
        <v>2801</v>
      </c>
      <c r="P26" s="829" t="s">
        <v>2844</v>
      </c>
      <c r="Q26" s="830">
        <f t="shared" si="0"/>
        <v>3</v>
      </c>
      <c r="R26" s="830">
        <f t="shared" si="0"/>
        <v>7.080000000000001</v>
      </c>
      <c r="S26" s="820">
        <f t="shared" si="1"/>
        <v>35.9</v>
      </c>
      <c r="T26" s="820">
        <f t="shared" si="2"/>
        <v>24</v>
      </c>
      <c r="U26" s="820">
        <f t="shared" si="3"/>
        <v>-11.899999999999999</v>
      </c>
      <c r="V26" s="831">
        <f t="shared" si="4"/>
        <v>0.66852367688022285</v>
      </c>
      <c r="W26" s="776"/>
    </row>
    <row r="27" spans="1:23" ht="14.4" customHeight="1" x14ac:dyDescent="0.3">
      <c r="A27" s="836" t="s">
        <v>2845</v>
      </c>
      <c r="B27" s="783">
        <v>9</v>
      </c>
      <c r="C27" s="784">
        <v>11.89</v>
      </c>
      <c r="D27" s="785">
        <v>6.1</v>
      </c>
      <c r="E27" s="766">
        <v>13</v>
      </c>
      <c r="F27" s="767">
        <v>16.89</v>
      </c>
      <c r="G27" s="768">
        <v>5.5</v>
      </c>
      <c r="H27" s="770">
        <v>10</v>
      </c>
      <c r="I27" s="764">
        <v>13</v>
      </c>
      <c r="J27" s="781">
        <v>6</v>
      </c>
      <c r="K27" s="769">
        <v>1.3</v>
      </c>
      <c r="L27" s="770">
        <v>2</v>
      </c>
      <c r="M27" s="770">
        <v>17</v>
      </c>
      <c r="N27" s="771">
        <v>5.66</v>
      </c>
      <c r="O27" s="770" t="s">
        <v>2801</v>
      </c>
      <c r="P27" s="787" t="s">
        <v>2846</v>
      </c>
      <c r="Q27" s="772">
        <f t="shared" si="0"/>
        <v>1</v>
      </c>
      <c r="R27" s="772">
        <f t="shared" si="0"/>
        <v>1.1099999999999994</v>
      </c>
      <c r="S27" s="783">
        <f t="shared" si="1"/>
        <v>56.6</v>
      </c>
      <c r="T27" s="783">
        <f t="shared" si="2"/>
        <v>60</v>
      </c>
      <c r="U27" s="783">
        <f t="shared" si="3"/>
        <v>3.3999999999999986</v>
      </c>
      <c r="V27" s="788">
        <f t="shared" si="4"/>
        <v>1.0600706713780919</v>
      </c>
      <c r="W27" s="773">
        <v>10.7</v>
      </c>
    </row>
    <row r="28" spans="1:23" ht="14.4" customHeight="1" x14ac:dyDescent="0.3">
      <c r="A28" s="835" t="s">
        <v>2847</v>
      </c>
      <c r="B28" s="820"/>
      <c r="C28" s="821"/>
      <c r="D28" s="789"/>
      <c r="E28" s="824">
        <v>2</v>
      </c>
      <c r="F28" s="825">
        <v>3.19</v>
      </c>
      <c r="G28" s="780">
        <v>3.5</v>
      </c>
      <c r="H28" s="827">
        <v>4</v>
      </c>
      <c r="I28" s="823">
        <v>6.39</v>
      </c>
      <c r="J28" s="775">
        <v>6.8</v>
      </c>
      <c r="K28" s="826">
        <v>1.6</v>
      </c>
      <c r="L28" s="827">
        <v>2</v>
      </c>
      <c r="M28" s="827">
        <v>19</v>
      </c>
      <c r="N28" s="828">
        <v>6.33</v>
      </c>
      <c r="O28" s="827" t="s">
        <v>2801</v>
      </c>
      <c r="P28" s="829" t="s">
        <v>2848</v>
      </c>
      <c r="Q28" s="830">
        <f t="shared" si="0"/>
        <v>4</v>
      </c>
      <c r="R28" s="830">
        <f t="shared" si="0"/>
        <v>6.39</v>
      </c>
      <c r="S28" s="820">
        <f t="shared" si="1"/>
        <v>25.32</v>
      </c>
      <c r="T28" s="820">
        <f t="shared" si="2"/>
        <v>27.2</v>
      </c>
      <c r="U28" s="820">
        <f t="shared" si="3"/>
        <v>1.879999999999999</v>
      </c>
      <c r="V28" s="831">
        <f t="shared" si="4"/>
        <v>1.0742496050552923</v>
      </c>
      <c r="W28" s="776">
        <v>4.34</v>
      </c>
    </row>
    <row r="29" spans="1:23" ht="14.4" customHeight="1" x14ac:dyDescent="0.3">
      <c r="A29" s="835" t="s">
        <v>2849</v>
      </c>
      <c r="B29" s="820">
        <v>1</v>
      </c>
      <c r="C29" s="821">
        <v>1.65</v>
      </c>
      <c r="D29" s="789">
        <v>7</v>
      </c>
      <c r="E29" s="824"/>
      <c r="F29" s="825"/>
      <c r="G29" s="780"/>
      <c r="H29" s="827"/>
      <c r="I29" s="823"/>
      <c r="J29" s="774"/>
      <c r="K29" s="826">
        <v>1.65</v>
      </c>
      <c r="L29" s="827">
        <v>2</v>
      </c>
      <c r="M29" s="827">
        <v>19</v>
      </c>
      <c r="N29" s="828">
        <v>6.32</v>
      </c>
      <c r="O29" s="827" t="s">
        <v>2801</v>
      </c>
      <c r="P29" s="829" t="s">
        <v>2850</v>
      </c>
      <c r="Q29" s="830">
        <f t="shared" si="0"/>
        <v>-1</v>
      </c>
      <c r="R29" s="830">
        <f t="shared" si="0"/>
        <v>-1.65</v>
      </c>
      <c r="S29" s="820" t="str">
        <f t="shared" si="1"/>
        <v/>
      </c>
      <c r="T29" s="820" t="str">
        <f t="shared" si="2"/>
        <v/>
      </c>
      <c r="U29" s="820" t="str">
        <f t="shared" si="3"/>
        <v/>
      </c>
      <c r="V29" s="831" t="str">
        <f t="shared" si="4"/>
        <v/>
      </c>
      <c r="W29" s="776"/>
    </row>
    <row r="30" spans="1:23" ht="14.4" customHeight="1" x14ac:dyDescent="0.3">
      <c r="A30" s="836" t="s">
        <v>2851</v>
      </c>
      <c r="B30" s="777">
        <v>8</v>
      </c>
      <c r="C30" s="778">
        <v>8.69</v>
      </c>
      <c r="D30" s="779">
        <v>4.3</v>
      </c>
      <c r="E30" s="786">
        <v>3</v>
      </c>
      <c r="F30" s="764">
        <v>3.26</v>
      </c>
      <c r="G30" s="765">
        <v>4.7</v>
      </c>
      <c r="H30" s="770">
        <v>3</v>
      </c>
      <c r="I30" s="764">
        <v>3.27</v>
      </c>
      <c r="J30" s="765">
        <v>5.3</v>
      </c>
      <c r="K30" s="769">
        <v>1.0900000000000001</v>
      </c>
      <c r="L30" s="770">
        <v>2</v>
      </c>
      <c r="M30" s="770">
        <v>17</v>
      </c>
      <c r="N30" s="771">
        <v>5.79</v>
      </c>
      <c r="O30" s="770" t="s">
        <v>2801</v>
      </c>
      <c r="P30" s="787" t="s">
        <v>2852</v>
      </c>
      <c r="Q30" s="772">
        <f t="shared" si="0"/>
        <v>-5</v>
      </c>
      <c r="R30" s="772">
        <f t="shared" si="0"/>
        <v>-5.42</v>
      </c>
      <c r="S30" s="783">
        <f t="shared" si="1"/>
        <v>17.37</v>
      </c>
      <c r="T30" s="783">
        <f t="shared" si="2"/>
        <v>15.899999999999999</v>
      </c>
      <c r="U30" s="783">
        <f t="shared" si="3"/>
        <v>-1.4700000000000024</v>
      </c>
      <c r="V30" s="788">
        <f t="shared" si="4"/>
        <v>0.91537132987910175</v>
      </c>
      <c r="W30" s="773">
        <v>0.21</v>
      </c>
    </row>
    <row r="31" spans="1:23" ht="14.4" customHeight="1" x14ac:dyDescent="0.3">
      <c r="A31" s="835" t="s">
        <v>2853</v>
      </c>
      <c r="B31" s="832">
        <v>1</v>
      </c>
      <c r="C31" s="833">
        <v>1.32</v>
      </c>
      <c r="D31" s="782">
        <v>4</v>
      </c>
      <c r="E31" s="822"/>
      <c r="F31" s="823"/>
      <c r="G31" s="774"/>
      <c r="H31" s="827"/>
      <c r="I31" s="823"/>
      <c r="J31" s="774"/>
      <c r="K31" s="826">
        <v>1.32</v>
      </c>
      <c r="L31" s="827">
        <v>2</v>
      </c>
      <c r="M31" s="827">
        <v>21</v>
      </c>
      <c r="N31" s="828">
        <v>7</v>
      </c>
      <c r="O31" s="827" t="s">
        <v>2801</v>
      </c>
      <c r="P31" s="829" t="s">
        <v>2854</v>
      </c>
      <c r="Q31" s="830">
        <f t="shared" si="0"/>
        <v>-1</v>
      </c>
      <c r="R31" s="830">
        <f t="shared" si="0"/>
        <v>-1.32</v>
      </c>
      <c r="S31" s="820" t="str">
        <f t="shared" si="1"/>
        <v/>
      </c>
      <c r="T31" s="820" t="str">
        <f t="shared" si="2"/>
        <v/>
      </c>
      <c r="U31" s="820" t="str">
        <f t="shared" si="3"/>
        <v/>
      </c>
      <c r="V31" s="831" t="str">
        <f t="shared" si="4"/>
        <v/>
      </c>
      <c r="W31" s="776"/>
    </row>
    <row r="32" spans="1:23" ht="14.4" customHeight="1" x14ac:dyDescent="0.3">
      <c r="A32" s="836" t="s">
        <v>2855</v>
      </c>
      <c r="B32" s="783">
        <v>9</v>
      </c>
      <c r="C32" s="784">
        <v>7.79</v>
      </c>
      <c r="D32" s="785">
        <v>9.4</v>
      </c>
      <c r="E32" s="766">
        <v>15</v>
      </c>
      <c r="F32" s="767">
        <v>8.6999999999999993</v>
      </c>
      <c r="G32" s="768">
        <v>4.7</v>
      </c>
      <c r="H32" s="770">
        <v>6</v>
      </c>
      <c r="I32" s="764">
        <v>3.41</v>
      </c>
      <c r="J32" s="765">
        <v>3</v>
      </c>
      <c r="K32" s="769">
        <v>0.56999999999999995</v>
      </c>
      <c r="L32" s="770">
        <v>1</v>
      </c>
      <c r="M32" s="770">
        <v>12</v>
      </c>
      <c r="N32" s="771">
        <v>3.88</v>
      </c>
      <c r="O32" s="770" t="s">
        <v>2801</v>
      </c>
      <c r="P32" s="787" t="s">
        <v>2856</v>
      </c>
      <c r="Q32" s="772">
        <f t="shared" si="0"/>
        <v>-3</v>
      </c>
      <c r="R32" s="772">
        <f t="shared" si="0"/>
        <v>-4.38</v>
      </c>
      <c r="S32" s="783">
        <f t="shared" si="1"/>
        <v>23.28</v>
      </c>
      <c r="T32" s="783">
        <f t="shared" si="2"/>
        <v>18</v>
      </c>
      <c r="U32" s="783">
        <f t="shared" si="3"/>
        <v>-5.2800000000000011</v>
      </c>
      <c r="V32" s="788">
        <f t="shared" si="4"/>
        <v>0.77319587628865971</v>
      </c>
      <c r="W32" s="773">
        <v>0.12</v>
      </c>
    </row>
    <row r="33" spans="1:23" ht="14.4" customHeight="1" x14ac:dyDescent="0.3">
      <c r="A33" s="835" t="s">
        <v>2857</v>
      </c>
      <c r="B33" s="820">
        <v>3</v>
      </c>
      <c r="C33" s="821">
        <v>2.4700000000000002</v>
      </c>
      <c r="D33" s="789">
        <v>4</v>
      </c>
      <c r="E33" s="824">
        <v>2</v>
      </c>
      <c r="F33" s="825">
        <v>2.02</v>
      </c>
      <c r="G33" s="780">
        <v>13.5</v>
      </c>
      <c r="H33" s="827">
        <v>5</v>
      </c>
      <c r="I33" s="823">
        <v>4.12</v>
      </c>
      <c r="J33" s="775">
        <v>9</v>
      </c>
      <c r="K33" s="826">
        <v>0.82</v>
      </c>
      <c r="L33" s="827">
        <v>2</v>
      </c>
      <c r="M33" s="827">
        <v>18</v>
      </c>
      <c r="N33" s="828">
        <v>5.94</v>
      </c>
      <c r="O33" s="827" t="s">
        <v>2801</v>
      </c>
      <c r="P33" s="829" t="s">
        <v>2858</v>
      </c>
      <c r="Q33" s="830">
        <f t="shared" si="0"/>
        <v>2</v>
      </c>
      <c r="R33" s="830">
        <f t="shared" si="0"/>
        <v>1.65</v>
      </c>
      <c r="S33" s="820">
        <f t="shared" si="1"/>
        <v>29.700000000000003</v>
      </c>
      <c r="T33" s="820">
        <f t="shared" si="2"/>
        <v>45</v>
      </c>
      <c r="U33" s="820">
        <f t="shared" si="3"/>
        <v>15.299999999999997</v>
      </c>
      <c r="V33" s="831">
        <f t="shared" si="4"/>
        <v>1.5151515151515149</v>
      </c>
      <c r="W33" s="776">
        <v>16.239999999999998</v>
      </c>
    </row>
    <row r="34" spans="1:23" ht="14.4" customHeight="1" x14ac:dyDescent="0.3">
      <c r="A34" s="836" t="s">
        <v>2859</v>
      </c>
      <c r="B34" s="777">
        <v>12</v>
      </c>
      <c r="C34" s="778">
        <v>5.86</v>
      </c>
      <c r="D34" s="779">
        <v>5</v>
      </c>
      <c r="E34" s="786">
        <v>5</v>
      </c>
      <c r="F34" s="764">
        <v>2.3199999999999998</v>
      </c>
      <c r="G34" s="765">
        <v>6.2</v>
      </c>
      <c r="H34" s="770">
        <v>6</v>
      </c>
      <c r="I34" s="764">
        <v>3.39</v>
      </c>
      <c r="J34" s="781">
        <v>6.3</v>
      </c>
      <c r="K34" s="769">
        <v>0.45</v>
      </c>
      <c r="L34" s="770">
        <v>2</v>
      </c>
      <c r="M34" s="770">
        <v>15</v>
      </c>
      <c r="N34" s="771">
        <v>4.84</v>
      </c>
      <c r="O34" s="770" t="s">
        <v>2801</v>
      </c>
      <c r="P34" s="787" t="s">
        <v>2860</v>
      </c>
      <c r="Q34" s="772">
        <f t="shared" si="0"/>
        <v>-6</v>
      </c>
      <c r="R34" s="772">
        <f t="shared" si="0"/>
        <v>-2.4700000000000002</v>
      </c>
      <c r="S34" s="783">
        <f t="shared" si="1"/>
        <v>29.04</v>
      </c>
      <c r="T34" s="783">
        <f t="shared" si="2"/>
        <v>37.799999999999997</v>
      </c>
      <c r="U34" s="783">
        <f t="shared" si="3"/>
        <v>8.759999999999998</v>
      </c>
      <c r="V34" s="788">
        <f t="shared" si="4"/>
        <v>1.3016528925619835</v>
      </c>
      <c r="W34" s="773">
        <v>14.64</v>
      </c>
    </row>
    <row r="35" spans="1:23" ht="14.4" customHeight="1" x14ac:dyDescent="0.3">
      <c r="A35" s="835" t="s">
        <v>2861</v>
      </c>
      <c r="B35" s="832">
        <v>1</v>
      </c>
      <c r="C35" s="833">
        <v>0.73</v>
      </c>
      <c r="D35" s="782">
        <v>3</v>
      </c>
      <c r="E35" s="822">
        <v>3</v>
      </c>
      <c r="F35" s="823">
        <v>1.81</v>
      </c>
      <c r="G35" s="774">
        <v>5.3</v>
      </c>
      <c r="H35" s="827">
        <v>1</v>
      </c>
      <c r="I35" s="823">
        <v>0.51</v>
      </c>
      <c r="J35" s="774">
        <v>5</v>
      </c>
      <c r="K35" s="826">
        <v>0.51</v>
      </c>
      <c r="L35" s="827">
        <v>2</v>
      </c>
      <c r="M35" s="827">
        <v>17</v>
      </c>
      <c r="N35" s="828">
        <v>5.72</v>
      </c>
      <c r="O35" s="827" t="s">
        <v>2801</v>
      </c>
      <c r="P35" s="829" t="s">
        <v>2862</v>
      </c>
      <c r="Q35" s="830">
        <f t="shared" si="0"/>
        <v>0</v>
      </c>
      <c r="R35" s="830">
        <f t="shared" si="0"/>
        <v>-0.21999999999999997</v>
      </c>
      <c r="S35" s="820">
        <f t="shared" si="1"/>
        <v>5.72</v>
      </c>
      <c r="T35" s="820">
        <f t="shared" si="2"/>
        <v>5</v>
      </c>
      <c r="U35" s="820">
        <f t="shared" si="3"/>
        <v>-0.71999999999999975</v>
      </c>
      <c r="V35" s="831">
        <f t="shared" si="4"/>
        <v>0.87412587412587417</v>
      </c>
      <c r="W35" s="776"/>
    </row>
    <row r="36" spans="1:23" ht="14.4" customHeight="1" x14ac:dyDescent="0.3">
      <c r="A36" s="836" t="s">
        <v>2863</v>
      </c>
      <c r="B36" s="783">
        <v>1</v>
      </c>
      <c r="C36" s="784">
        <v>0.33</v>
      </c>
      <c r="D36" s="785">
        <v>7</v>
      </c>
      <c r="E36" s="786"/>
      <c r="F36" s="764"/>
      <c r="G36" s="765"/>
      <c r="H36" s="766">
        <v>2</v>
      </c>
      <c r="I36" s="767">
        <v>1.92</v>
      </c>
      <c r="J36" s="781">
        <v>6.5</v>
      </c>
      <c r="K36" s="769">
        <v>0.32</v>
      </c>
      <c r="L36" s="770">
        <v>1</v>
      </c>
      <c r="M36" s="770">
        <v>11</v>
      </c>
      <c r="N36" s="771">
        <v>3.76</v>
      </c>
      <c r="O36" s="770" t="s">
        <v>2801</v>
      </c>
      <c r="P36" s="787" t="s">
        <v>2864</v>
      </c>
      <c r="Q36" s="772">
        <f t="shared" si="0"/>
        <v>1</v>
      </c>
      <c r="R36" s="772">
        <f t="shared" si="0"/>
        <v>1.5899999999999999</v>
      </c>
      <c r="S36" s="783">
        <f t="shared" si="1"/>
        <v>7.52</v>
      </c>
      <c r="T36" s="783">
        <f t="shared" si="2"/>
        <v>13</v>
      </c>
      <c r="U36" s="783">
        <f t="shared" si="3"/>
        <v>5.48</v>
      </c>
      <c r="V36" s="788">
        <f t="shared" si="4"/>
        <v>1.7287234042553192</v>
      </c>
      <c r="W36" s="773">
        <v>5.48</v>
      </c>
    </row>
    <row r="37" spans="1:23" ht="14.4" customHeight="1" x14ac:dyDescent="0.3">
      <c r="A37" s="836" t="s">
        <v>2865</v>
      </c>
      <c r="B37" s="783">
        <v>97</v>
      </c>
      <c r="C37" s="784">
        <v>96.77</v>
      </c>
      <c r="D37" s="785">
        <v>4</v>
      </c>
      <c r="E37" s="766">
        <v>110</v>
      </c>
      <c r="F37" s="767">
        <v>110.17</v>
      </c>
      <c r="G37" s="768">
        <v>4</v>
      </c>
      <c r="H37" s="770">
        <v>85</v>
      </c>
      <c r="I37" s="764">
        <v>85</v>
      </c>
      <c r="J37" s="781">
        <v>3.9</v>
      </c>
      <c r="K37" s="769">
        <v>1</v>
      </c>
      <c r="L37" s="770">
        <v>1</v>
      </c>
      <c r="M37" s="770">
        <v>11</v>
      </c>
      <c r="N37" s="771">
        <v>3.82</v>
      </c>
      <c r="O37" s="770" t="s">
        <v>2801</v>
      </c>
      <c r="P37" s="787" t="s">
        <v>2866</v>
      </c>
      <c r="Q37" s="772">
        <f t="shared" si="0"/>
        <v>-12</v>
      </c>
      <c r="R37" s="772">
        <f t="shared" si="0"/>
        <v>-11.769999999999996</v>
      </c>
      <c r="S37" s="783">
        <f t="shared" si="1"/>
        <v>324.7</v>
      </c>
      <c r="T37" s="783">
        <f t="shared" si="2"/>
        <v>331.5</v>
      </c>
      <c r="U37" s="783">
        <f t="shared" si="3"/>
        <v>6.8000000000000114</v>
      </c>
      <c r="V37" s="788">
        <f t="shared" si="4"/>
        <v>1.0209424083769634</v>
      </c>
      <c r="W37" s="773">
        <v>50.1</v>
      </c>
    </row>
    <row r="38" spans="1:23" ht="14.4" customHeight="1" x14ac:dyDescent="0.3">
      <c r="A38" s="835" t="s">
        <v>2867</v>
      </c>
      <c r="B38" s="820">
        <v>8</v>
      </c>
      <c r="C38" s="821">
        <v>8.0299999999999994</v>
      </c>
      <c r="D38" s="789">
        <v>3.3</v>
      </c>
      <c r="E38" s="824">
        <v>27</v>
      </c>
      <c r="F38" s="825">
        <v>27.61</v>
      </c>
      <c r="G38" s="780">
        <v>4</v>
      </c>
      <c r="H38" s="827">
        <v>28</v>
      </c>
      <c r="I38" s="823">
        <v>28.1</v>
      </c>
      <c r="J38" s="775">
        <v>4.3</v>
      </c>
      <c r="K38" s="826">
        <v>1</v>
      </c>
      <c r="L38" s="827">
        <v>1</v>
      </c>
      <c r="M38" s="827">
        <v>13</v>
      </c>
      <c r="N38" s="828">
        <v>4.21</v>
      </c>
      <c r="O38" s="827" t="s">
        <v>2801</v>
      </c>
      <c r="P38" s="829" t="s">
        <v>2868</v>
      </c>
      <c r="Q38" s="830">
        <f t="shared" si="0"/>
        <v>20</v>
      </c>
      <c r="R38" s="830">
        <f t="shared" si="0"/>
        <v>20.07</v>
      </c>
      <c r="S38" s="820">
        <f t="shared" si="1"/>
        <v>117.88</v>
      </c>
      <c r="T38" s="820">
        <f t="shared" si="2"/>
        <v>120.39999999999999</v>
      </c>
      <c r="U38" s="820">
        <f t="shared" si="3"/>
        <v>2.519999999999996</v>
      </c>
      <c r="V38" s="831">
        <f t="shared" si="4"/>
        <v>1.0213776722090262</v>
      </c>
      <c r="W38" s="776">
        <v>15.69</v>
      </c>
    </row>
    <row r="39" spans="1:23" ht="14.4" customHeight="1" x14ac:dyDescent="0.3">
      <c r="A39" s="835" t="s">
        <v>2869</v>
      </c>
      <c r="B39" s="820">
        <v>8</v>
      </c>
      <c r="C39" s="821">
        <v>23.24</v>
      </c>
      <c r="D39" s="789">
        <v>5.6</v>
      </c>
      <c r="E39" s="824">
        <v>11</v>
      </c>
      <c r="F39" s="825">
        <v>21.32</v>
      </c>
      <c r="G39" s="780">
        <v>5.7</v>
      </c>
      <c r="H39" s="827">
        <v>7</v>
      </c>
      <c r="I39" s="823">
        <v>13.07</v>
      </c>
      <c r="J39" s="774">
        <v>4</v>
      </c>
      <c r="K39" s="826">
        <v>1.49</v>
      </c>
      <c r="L39" s="827">
        <v>2</v>
      </c>
      <c r="M39" s="827">
        <v>18</v>
      </c>
      <c r="N39" s="828">
        <v>6.12</v>
      </c>
      <c r="O39" s="827" t="s">
        <v>2801</v>
      </c>
      <c r="P39" s="829" t="s">
        <v>2870</v>
      </c>
      <c r="Q39" s="830">
        <f t="shared" si="0"/>
        <v>-1</v>
      </c>
      <c r="R39" s="830">
        <f t="shared" si="0"/>
        <v>-10.169999999999998</v>
      </c>
      <c r="S39" s="820">
        <f t="shared" si="1"/>
        <v>42.84</v>
      </c>
      <c r="T39" s="820">
        <f t="shared" si="2"/>
        <v>28</v>
      </c>
      <c r="U39" s="820">
        <f t="shared" si="3"/>
        <v>-14.840000000000003</v>
      </c>
      <c r="V39" s="831">
        <f t="shared" si="4"/>
        <v>0.65359477124182996</v>
      </c>
      <c r="W39" s="776">
        <v>1.88</v>
      </c>
    </row>
    <row r="40" spans="1:23" ht="14.4" customHeight="1" x14ac:dyDescent="0.3">
      <c r="A40" s="836" t="s">
        <v>2871</v>
      </c>
      <c r="B40" s="783"/>
      <c r="C40" s="784"/>
      <c r="D40" s="785"/>
      <c r="E40" s="766">
        <v>3</v>
      </c>
      <c r="F40" s="767">
        <v>1.0900000000000001</v>
      </c>
      <c r="G40" s="768">
        <v>3.7</v>
      </c>
      <c r="H40" s="770">
        <v>1</v>
      </c>
      <c r="I40" s="764">
        <v>0.37</v>
      </c>
      <c r="J40" s="781">
        <v>7</v>
      </c>
      <c r="K40" s="769">
        <v>0.35</v>
      </c>
      <c r="L40" s="770">
        <v>1</v>
      </c>
      <c r="M40" s="770">
        <v>13</v>
      </c>
      <c r="N40" s="771">
        <v>4.46</v>
      </c>
      <c r="O40" s="770" t="s">
        <v>2801</v>
      </c>
      <c r="P40" s="787" t="s">
        <v>2872</v>
      </c>
      <c r="Q40" s="772">
        <f t="shared" si="0"/>
        <v>1</v>
      </c>
      <c r="R40" s="772">
        <f t="shared" si="0"/>
        <v>0.37</v>
      </c>
      <c r="S40" s="783">
        <f t="shared" si="1"/>
        <v>4.46</v>
      </c>
      <c r="T40" s="783">
        <f t="shared" si="2"/>
        <v>7</v>
      </c>
      <c r="U40" s="783">
        <f t="shared" si="3"/>
        <v>2.54</v>
      </c>
      <c r="V40" s="788">
        <f t="shared" si="4"/>
        <v>1.5695067264573992</v>
      </c>
      <c r="W40" s="773">
        <v>2.54</v>
      </c>
    </row>
    <row r="41" spans="1:23" ht="14.4" customHeight="1" x14ac:dyDescent="0.3">
      <c r="A41" s="835" t="s">
        <v>2873</v>
      </c>
      <c r="B41" s="820">
        <v>1</v>
      </c>
      <c r="C41" s="821">
        <v>0.42</v>
      </c>
      <c r="D41" s="789">
        <v>4</v>
      </c>
      <c r="E41" s="824">
        <v>1</v>
      </c>
      <c r="F41" s="825">
        <v>0.42</v>
      </c>
      <c r="G41" s="780">
        <v>5</v>
      </c>
      <c r="H41" s="827"/>
      <c r="I41" s="823"/>
      <c r="J41" s="774"/>
      <c r="K41" s="826">
        <v>0.42</v>
      </c>
      <c r="L41" s="827">
        <v>2</v>
      </c>
      <c r="M41" s="827">
        <v>18</v>
      </c>
      <c r="N41" s="828">
        <v>6.01</v>
      </c>
      <c r="O41" s="827" t="s">
        <v>2801</v>
      </c>
      <c r="P41" s="829" t="s">
        <v>2874</v>
      </c>
      <c r="Q41" s="830">
        <f t="shared" si="0"/>
        <v>-1</v>
      </c>
      <c r="R41" s="830">
        <f t="shared" si="0"/>
        <v>-0.42</v>
      </c>
      <c r="S41" s="820" t="str">
        <f t="shared" si="1"/>
        <v/>
      </c>
      <c r="T41" s="820" t="str">
        <f t="shared" si="2"/>
        <v/>
      </c>
      <c r="U41" s="820" t="str">
        <f t="shared" si="3"/>
        <v/>
      </c>
      <c r="V41" s="831" t="str">
        <f t="shared" si="4"/>
        <v/>
      </c>
      <c r="W41" s="776"/>
    </row>
    <row r="42" spans="1:23" ht="14.4" customHeight="1" x14ac:dyDescent="0.3">
      <c r="A42" s="836" t="s">
        <v>2875</v>
      </c>
      <c r="B42" s="783">
        <v>1</v>
      </c>
      <c r="C42" s="784">
        <v>2.12</v>
      </c>
      <c r="D42" s="785">
        <v>3</v>
      </c>
      <c r="E42" s="786"/>
      <c r="F42" s="764"/>
      <c r="G42" s="765"/>
      <c r="H42" s="766">
        <v>1</v>
      </c>
      <c r="I42" s="767">
        <v>2.12</v>
      </c>
      <c r="J42" s="768">
        <v>4</v>
      </c>
      <c r="K42" s="769">
        <v>2.12</v>
      </c>
      <c r="L42" s="770">
        <v>3</v>
      </c>
      <c r="M42" s="770">
        <v>25</v>
      </c>
      <c r="N42" s="771">
        <v>8.48</v>
      </c>
      <c r="O42" s="770" t="s">
        <v>2801</v>
      </c>
      <c r="P42" s="787" t="s">
        <v>2876</v>
      </c>
      <c r="Q42" s="772">
        <f t="shared" si="0"/>
        <v>0</v>
      </c>
      <c r="R42" s="772">
        <f t="shared" si="0"/>
        <v>0</v>
      </c>
      <c r="S42" s="783">
        <f t="shared" si="1"/>
        <v>8.48</v>
      </c>
      <c r="T42" s="783">
        <f t="shared" si="2"/>
        <v>4</v>
      </c>
      <c r="U42" s="783">
        <f t="shared" si="3"/>
        <v>-4.4800000000000004</v>
      </c>
      <c r="V42" s="788">
        <f t="shared" si="4"/>
        <v>0.47169811320754712</v>
      </c>
      <c r="W42" s="773"/>
    </row>
    <row r="43" spans="1:23" ht="14.4" customHeight="1" x14ac:dyDescent="0.3">
      <c r="A43" s="836" t="s">
        <v>2877</v>
      </c>
      <c r="B43" s="783"/>
      <c r="C43" s="784"/>
      <c r="D43" s="785"/>
      <c r="E43" s="766">
        <v>1</v>
      </c>
      <c r="F43" s="767">
        <v>0.35</v>
      </c>
      <c r="G43" s="768">
        <v>3</v>
      </c>
      <c r="H43" s="770"/>
      <c r="I43" s="764"/>
      <c r="J43" s="765"/>
      <c r="K43" s="769">
        <v>0.35</v>
      </c>
      <c r="L43" s="770">
        <v>1</v>
      </c>
      <c r="M43" s="770">
        <v>11</v>
      </c>
      <c r="N43" s="771">
        <v>3.76</v>
      </c>
      <c r="O43" s="770" t="s">
        <v>2801</v>
      </c>
      <c r="P43" s="787" t="s">
        <v>2878</v>
      </c>
      <c r="Q43" s="772">
        <f t="shared" si="0"/>
        <v>0</v>
      </c>
      <c r="R43" s="772">
        <f t="shared" si="0"/>
        <v>0</v>
      </c>
      <c r="S43" s="783" t="str">
        <f t="shared" si="1"/>
        <v/>
      </c>
      <c r="T43" s="783" t="str">
        <f t="shared" si="2"/>
        <v/>
      </c>
      <c r="U43" s="783" t="str">
        <f t="shared" si="3"/>
        <v/>
      </c>
      <c r="V43" s="788" t="str">
        <f t="shared" si="4"/>
        <v/>
      </c>
      <c r="W43" s="773"/>
    </row>
    <row r="44" spans="1:23" ht="14.4" customHeight="1" x14ac:dyDescent="0.3">
      <c r="A44" s="836" t="s">
        <v>2879</v>
      </c>
      <c r="B44" s="783"/>
      <c r="C44" s="784"/>
      <c r="D44" s="785"/>
      <c r="E44" s="766">
        <v>1</v>
      </c>
      <c r="F44" s="767">
        <v>0.32</v>
      </c>
      <c r="G44" s="768">
        <v>6</v>
      </c>
      <c r="H44" s="770"/>
      <c r="I44" s="764"/>
      <c r="J44" s="765"/>
      <c r="K44" s="769">
        <v>0.32</v>
      </c>
      <c r="L44" s="770">
        <v>1</v>
      </c>
      <c r="M44" s="770">
        <v>12</v>
      </c>
      <c r="N44" s="771">
        <v>3.88</v>
      </c>
      <c r="O44" s="770" t="s">
        <v>2801</v>
      </c>
      <c r="P44" s="787" t="s">
        <v>2880</v>
      </c>
      <c r="Q44" s="772">
        <f t="shared" si="0"/>
        <v>0</v>
      </c>
      <c r="R44" s="772">
        <f t="shared" si="0"/>
        <v>0</v>
      </c>
      <c r="S44" s="783" t="str">
        <f t="shared" si="1"/>
        <v/>
      </c>
      <c r="T44" s="783" t="str">
        <f t="shared" si="2"/>
        <v/>
      </c>
      <c r="U44" s="783" t="str">
        <f t="shared" si="3"/>
        <v/>
      </c>
      <c r="V44" s="788" t="str">
        <f t="shared" si="4"/>
        <v/>
      </c>
      <c r="W44" s="773"/>
    </row>
    <row r="45" spans="1:23" ht="14.4" customHeight="1" x14ac:dyDescent="0.3">
      <c r="A45" s="835" t="s">
        <v>2881</v>
      </c>
      <c r="B45" s="820"/>
      <c r="C45" s="821"/>
      <c r="D45" s="789"/>
      <c r="E45" s="824">
        <v>1</v>
      </c>
      <c r="F45" s="825">
        <v>0.45</v>
      </c>
      <c r="G45" s="780">
        <v>4</v>
      </c>
      <c r="H45" s="827"/>
      <c r="I45" s="823"/>
      <c r="J45" s="774"/>
      <c r="K45" s="826">
        <v>0.45</v>
      </c>
      <c r="L45" s="827">
        <v>2</v>
      </c>
      <c r="M45" s="827">
        <v>18</v>
      </c>
      <c r="N45" s="828">
        <v>5.87</v>
      </c>
      <c r="O45" s="827" t="s">
        <v>2801</v>
      </c>
      <c r="P45" s="829" t="s">
        <v>2882</v>
      </c>
      <c r="Q45" s="830">
        <f t="shared" si="0"/>
        <v>0</v>
      </c>
      <c r="R45" s="830">
        <f t="shared" si="0"/>
        <v>0</v>
      </c>
      <c r="S45" s="820" t="str">
        <f t="shared" si="1"/>
        <v/>
      </c>
      <c r="T45" s="820" t="str">
        <f t="shared" si="2"/>
        <v/>
      </c>
      <c r="U45" s="820" t="str">
        <f t="shared" si="3"/>
        <v/>
      </c>
      <c r="V45" s="831" t="str">
        <f t="shared" si="4"/>
        <v/>
      </c>
      <c r="W45" s="776"/>
    </row>
    <row r="46" spans="1:23" ht="14.4" customHeight="1" x14ac:dyDescent="0.3">
      <c r="A46" s="836" t="s">
        <v>2883</v>
      </c>
      <c r="B46" s="783"/>
      <c r="C46" s="784"/>
      <c r="D46" s="785"/>
      <c r="E46" s="786"/>
      <c r="F46" s="764"/>
      <c r="G46" s="765"/>
      <c r="H46" s="766">
        <v>1</v>
      </c>
      <c r="I46" s="767">
        <v>0.31</v>
      </c>
      <c r="J46" s="768">
        <v>2</v>
      </c>
      <c r="K46" s="769">
        <v>0.31</v>
      </c>
      <c r="L46" s="770">
        <v>1</v>
      </c>
      <c r="M46" s="770">
        <v>11</v>
      </c>
      <c r="N46" s="771">
        <v>3.66</v>
      </c>
      <c r="O46" s="770" t="s">
        <v>2801</v>
      </c>
      <c r="P46" s="787" t="s">
        <v>2884</v>
      </c>
      <c r="Q46" s="772">
        <f t="shared" si="0"/>
        <v>1</v>
      </c>
      <c r="R46" s="772">
        <f t="shared" si="0"/>
        <v>0.31</v>
      </c>
      <c r="S46" s="783">
        <f t="shared" si="1"/>
        <v>3.66</v>
      </c>
      <c r="T46" s="783">
        <f t="shared" si="2"/>
        <v>2</v>
      </c>
      <c r="U46" s="783">
        <f t="shared" si="3"/>
        <v>-1.6600000000000001</v>
      </c>
      <c r="V46" s="788">
        <f t="shared" si="4"/>
        <v>0.54644808743169393</v>
      </c>
      <c r="W46" s="773"/>
    </row>
    <row r="47" spans="1:23" ht="14.4" customHeight="1" x14ac:dyDescent="0.3">
      <c r="A47" s="836" t="s">
        <v>2885</v>
      </c>
      <c r="B47" s="777">
        <v>1</v>
      </c>
      <c r="C47" s="778">
        <v>3.12</v>
      </c>
      <c r="D47" s="779">
        <v>8</v>
      </c>
      <c r="E47" s="786"/>
      <c r="F47" s="764"/>
      <c r="G47" s="765"/>
      <c r="H47" s="770"/>
      <c r="I47" s="764"/>
      <c r="J47" s="765"/>
      <c r="K47" s="769">
        <v>3.12</v>
      </c>
      <c r="L47" s="770">
        <v>3</v>
      </c>
      <c r="M47" s="770">
        <v>27</v>
      </c>
      <c r="N47" s="771">
        <v>8.92</v>
      </c>
      <c r="O47" s="770" t="s">
        <v>2801</v>
      </c>
      <c r="P47" s="787" t="s">
        <v>2886</v>
      </c>
      <c r="Q47" s="772">
        <f t="shared" si="0"/>
        <v>-1</v>
      </c>
      <c r="R47" s="772">
        <f t="shared" si="0"/>
        <v>-3.12</v>
      </c>
      <c r="S47" s="783" t="str">
        <f t="shared" si="1"/>
        <v/>
      </c>
      <c r="T47" s="783" t="str">
        <f t="shared" si="2"/>
        <v/>
      </c>
      <c r="U47" s="783" t="str">
        <f t="shared" si="3"/>
        <v/>
      </c>
      <c r="V47" s="788" t="str">
        <f t="shared" si="4"/>
        <v/>
      </c>
      <c r="W47" s="773"/>
    </row>
    <row r="48" spans="1:23" ht="14.4" customHeight="1" x14ac:dyDescent="0.3">
      <c r="A48" s="836" t="s">
        <v>2887</v>
      </c>
      <c r="B48" s="783">
        <v>1</v>
      </c>
      <c r="C48" s="784">
        <v>0.79</v>
      </c>
      <c r="D48" s="785">
        <v>13</v>
      </c>
      <c r="E48" s="786"/>
      <c r="F48" s="764"/>
      <c r="G48" s="765"/>
      <c r="H48" s="766"/>
      <c r="I48" s="767"/>
      <c r="J48" s="768"/>
      <c r="K48" s="769">
        <v>0.79</v>
      </c>
      <c r="L48" s="770">
        <v>2</v>
      </c>
      <c r="M48" s="770">
        <v>15</v>
      </c>
      <c r="N48" s="771">
        <v>5.14</v>
      </c>
      <c r="O48" s="770" t="s">
        <v>2801</v>
      </c>
      <c r="P48" s="787" t="s">
        <v>2888</v>
      </c>
      <c r="Q48" s="772">
        <f t="shared" si="0"/>
        <v>-1</v>
      </c>
      <c r="R48" s="772">
        <f t="shared" si="0"/>
        <v>-0.79</v>
      </c>
      <c r="S48" s="783" t="str">
        <f t="shared" si="1"/>
        <v/>
      </c>
      <c r="T48" s="783" t="str">
        <f t="shared" si="2"/>
        <v/>
      </c>
      <c r="U48" s="783" t="str">
        <f t="shared" si="3"/>
        <v/>
      </c>
      <c r="V48" s="788" t="str">
        <f t="shared" si="4"/>
        <v/>
      </c>
      <c r="W48" s="773"/>
    </row>
    <row r="49" spans="1:23" ht="14.4" customHeight="1" x14ac:dyDescent="0.3">
      <c r="A49" s="835" t="s">
        <v>2889</v>
      </c>
      <c r="B49" s="820"/>
      <c r="C49" s="821"/>
      <c r="D49" s="789"/>
      <c r="E49" s="822"/>
      <c r="F49" s="823"/>
      <c r="G49" s="774"/>
      <c r="H49" s="824">
        <v>2</v>
      </c>
      <c r="I49" s="825">
        <v>3</v>
      </c>
      <c r="J49" s="780">
        <v>4.5</v>
      </c>
      <c r="K49" s="826">
        <v>1.84</v>
      </c>
      <c r="L49" s="827">
        <v>5</v>
      </c>
      <c r="M49" s="827">
        <v>42</v>
      </c>
      <c r="N49" s="828">
        <v>14.16</v>
      </c>
      <c r="O49" s="827" t="s">
        <v>2801</v>
      </c>
      <c r="P49" s="829" t="s">
        <v>2888</v>
      </c>
      <c r="Q49" s="830">
        <f t="shared" si="0"/>
        <v>2</v>
      </c>
      <c r="R49" s="830">
        <f t="shared" si="0"/>
        <v>3</v>
      </c>
      <c r="S49" s="820">
        <f t="shared" si="1"/>
        <v>28.32</v>
      </c>
      <c r="T49" s="820">
        <f t="shared" si="2"/>
        <v>9</v>
      </c>
      <c r="U49" s="820">
        <f t="shared" si="3"/>
        <v>-19.32</v>
      </c>
      <c r="V49" s="831">
        <f t="shared" si="4"/>
        <v>0.31779661016949151</v>
      </c>
      <c r="W49" s="776"/>
    </row>
    <row r="50" spans="1:23" ht="14.4" customHeight="1" x14ac:dyDescent="0.3">
      <c r="A50" s="836" t="s">
        <v>2890</v>
      </c>
      <c r="B50" s="783">
        <v>1</v>
      </c>
      <c r="C50" s="784">
        <v>0.74</v>
      </c>
      <c r="D50" s="785">
        <v>5</v>
      </c>
      <c r="E50" s="786">
        <v>2</v>
      </c>
      <c r="F50" s="764">
        <v>1.49</v>
      </c>
      <c r="G50" s="765">
        <v>7</v>
      </c>
      <c r="H50" s="766">
        <v>2</v>
      </c>
      <c r="I50" s="767">
        <v>1.49</v>
      </c>
      <c r="J50" s="768">
        <v>3.5</v>
      </c>
      <c r="K50" s="769">
        <v>0.74</v>
      </c>
      <c r="L50" s="770">
        <v>1</v>
      </c>
      <c r="M50" s="770">
        <v>13</v>
      </c>
      <c r="N50" s="771">
        <v>4.4800000000000004</v>
      </c>
      <c r="O50" s="770" t="s">
        <v>2801</v>
      </c>
      <c r="P50" s="787" t="s">
        <v>2891</v>
      </c>
      <c r="Q50" s="772">
        <f t="shared" si="0"/>
        <v>1</v>
      </c>
      <c r="R50" s="772">
        <f t="shared" si="0"/>
        <v>0.75</v>
      </c>
      <c r="S50" s="783">
        <f t="shared" si="1"/>
        <v>8.9600000000000009</v>
      </c>
      <c r="T50" s="783">
        <f t="shared" si="2"/>
        <v>7</v>
      </c>
      <c r="U50" s="783">
        <f t="shared" si="3"/>
        <v>-1.9600000000000009</v>
      </c>
      <c r="V50" s="788">
        <f t="shared" si="4"/>
        <v>0.78124999999999989</v>
      </c>
      <c r="W50" s="773"/>
    </row>
    <row r="51" spans="1:23" ht="14.4" customHeight="1" x14ac:dyDescent="0.3">
      <c r="A51" s="836" t="s">
        <v>2892</v>
      </c>
      <c r="B51" s="783">
        <v>1</v>
      </c>
      <c r="C51" s="784">
        <v>0.61</v>
      </c>
      <c r="D51" s="785">
        <v>7</v>
      </c>
      <c r="E51" s="766">
        <v>1</v>
      </c>
      <c r="F51" s="767">
        <v>0.61</v>
      </c>
      <c r="G51" s="768">
        <v>4</v>
      </c>
      <c r="H51" s="770"/>
      <c r="I51" s="764"/>
      <c r="J51" s="765"/>
      <c r="K51" s="769">
        <v>0.61</v>
      </c>
      <c r="L51" s="770">
        <v>1</v>
      </c>
      <c r="M51" s="770">
        <v>12</v>
      </c>
      <c r="N51" s="771">
        <v>3.9</v>
      </c>
      <c r="O51" s="770" t="s">
        <v>2801</v>
      </c>
      <c r="P51" s="787" t="s">
        <v>2893</v>
      </c>
      <c r="Q51" s="772">
        <f t="shared" si="0"/>
        <v>-1</v>
      </c>
      <c r="R51" s="772">
        <f t="shared" si="0"/>
        <v>-0.61</v>
      </c>
      <c r="S51" s="783" t="str">
        <f t="shared" si="1"/>
        <v/>
      </c>
      <c r="T51" s="783" t="str">
        <f t="shared" si="2"/>
        <v/>
      </c>
      <c r="U51" s="783" t="str">
        <f t="shared" si="3"/>
        <v/>
      </c>
      <c r="V51" s="788" t="str">
        <f t="shared" si="4"/>
        <v/>
      </c>
      <c r="W51" s="773"/>
    </row>
    <row r="52" spans="1:23" ht="14.4" customHeight="1" x14ac:dyDescent="0.3">
      <c r="A52" s="836" t="s">
        <v>2894</v>
      </c>
      <c r="B52" s="783"/>
      <c r="C52" s="784"/>
      <c r="D52" s="785"/>
      <c r="E52" s="786"/>
      <c r="F52" s="764"/>
      <c r="G52" s="765"/>
      <c r="H52" s="766">
        <v>2</v>
      </c>
      <c r="I52" s="767">
        <v>1.19</v>
      </c>
      <c r="J52" s="781">
        <v>10</v>
      </c>
      <c r="K52" s="769">
        <v>0.56999999999999995</v>
      </c>
      <c r="L52" s="770">
        <v>2</v>
      </c>
      <c r="M52" s="770">
        <v>21</v>
      </c>
      <c r="N52" s="771">
        <v>6.98</v>
      </c>
      <c r="O52" s="770" t="s">
        <v>2801</v>
      </c>
      <c r="P52" s="787" t="s">
        <v>2895</v>
      </c>
      <c r="Q52" s="772">
        <f t="shared" si="0"/>
        <v>2</v>
      </c>
      <c r="R52" s="772">
        <f t="shared" si="0"/>
        <v>1.19</v>
      </c>
      <c r="S52" s="783">
        <f t="shared" si="1"/>
        <v>13.96</v>
      </c>
      <c r="T52" s="783">
        <f t="shared" si="2"/>
        <v>20</v>
      </c>
      <c r="U52" s="783">
        <f t="shared" si="3"/>
        <v>6.0399999999999991</v>
      </c>
      <c r="V52" s="788">
        <f t="shared" si="4"/>
        <v>1.4326647564469912</v>
      </c>
      <c r="W52" s="773">
        <v>12.02</v>
      </c>
    </row>
    <row r="53" spans="1:23" ht="14.4" customHeight="1" x14ac:dyDescent="0.3">
      <c r="A53" s="836" t="s">
        <v>2896</v>
      </c>
      <c r="B53" s="777">
        <v>1</v>
      </c>
      <c r="C53" s="778">
        <v>0.68</v>
      </c>
      <c r="D53" s="779">
        <v>4</v>
      </c>
      <c r="E53" s="786"/>
      <c r="F53" s="764"/>
      <c r="G53" s="765"/>
      <c r="H53" s="770"/>
      <c r="I53" s="764"/>
      <c r="J53" s="765"/>
      <c r="K53" s="769">
        <v>0.68</v>
      </c>
      <c r="L53" s="770">
        <v>3</v>
      </c>
      <c r="M53" s="770">
        <v>25</v>
      </c>
      <c r="N53" s="771">
        <v>8.49</v>
      </c>
      <c r="O53" s="770" t="s">
        <v>2801</v>
      </c>
      <c r="P53" s="787" t="s">
        <v>2897</v>
      </c>
      <c r="Q53" s="772">
        <f t="shared" si="0"/>
        <v>-1</v>
      </c>
      <c r="R53" s="772">
        <f t="shared" si="0"/>
        <v>-0.68</v>
      </c>
      <c r="S53" s="783" t="str">
        <f t="shared" si="1"/>
        <v/>
      </c>
      <c r="T53" s="783" t="str">
        <f t="shared" si="2"/>
        <v/>
      </c>
      <c r="U53" s="783" t="str">
        <f t="shared" si="3"/>
        <v/>
      </c>
      <c r="V53" s="788" t="str">
        <f t="shared" si="4"/>
        <v/>
      </c>
      <c r="W53" s="773"/>
    </row>
    <row r="54" spans="1:23" ht="14.4" customHeight="1" x14ac:dyDescent="0.3">
      <c r="A54" s="836" t="s">
        <v>2898</v>
      </c>
      <c r="B54" s="783"/>
      <c r="C54" s="784"/>
      <c r="D54" s="785"/>
      <c r="E54" s="786">
        <v>1</v>
      </c>
      <c r="F54" s="764">
        <v>0.35</v>
      </c>
      <c r="G54" s="765">
        <v>5</v>
      </c>
      <c r="H54" s="766">
        <v>1</v>
      </c>
      <c r="I54" s="767">
        <v>0.36</v>
      </c>
      <c r="J54" s="768">
        <v>3</v>
      </c>
      <c r="K54" s="769">
        <v>0.35</v>
      </c>
      <c r="L54" s="770">
        <v>1</v>
      </c>
      <c r="M54" s="770">
        <v>13</v>
      </c>
      <c r="N54" s="771">
        <v>4.34</v>
      </c>
      <c r="O54" s="770" t="s">
        <v>2801</v>
      </c>
      <c r="P54" s="787" t="s">
        <v>2899</v>
      </c>
      <c r="Q54" s="772">
        <f t="shared" si="0"/>
        <v>1</v>
      </c>
      <c r="R54" s="772">
        <f t="shared" si="0"/>
        <v>0.36</v>
      </c>
      <c r="S54" s="783">
        <f t="shared" si="1"/>
        <v>4.34</v>
      </c>
      <c r="T54" s="783">
        <f t="shared" si="2"/>
        <v>3</v>
      </c>
      <c r="U54" s="783">
        <f t="shared" si="3"/>
        <v>-1.3399999999999999</v>
      </c>
      <c r="V54" s="788">
        <f t="shared" si="4"/>
        <v>0.69124423963133641</v>
      </c>
      <c r="W54" s="773"/>
    </row>
    <row r="55" spans="1:23" ht="14.4" customHeight="1" x14ac:dyDescent="0.3">
      <c r="A55" s="836" t="s">
        <v>2900</v>
      </c>
      <c r="B55" s="783">
        <v>9</v>
      </c>
      <c r="C55" s="784">
        <v>6.64</v>
      </c>
      <c r="D55" s="785">
        <v>4.5999999999999996</v>
      </c>
      <c r="E55" s="766">
        <v>14</v>
      </c>
      <c r="F55" s="767">
        <v>10.47</v>
      </c>
      <c r="G55" s="768">
        <v>5.3</v>
      </c>
      <c r="H55" s="770">
        <v>11</v>
      </c>
      <c r="I55" s="764">
        <v>8.1199999999999992</v>
      </c>
      <c r="J55" s="765">
        <v>4.5</v>
      </c>
      <c r="K55" s="769">
        <v>0.74</v>
      </c>
      <c r="L55" s="770">
        <v>2</v>
      </c>
      <c r="M55" s="770">
        <v>15</v>
      </c>
      <c r="N55" s="771">
        <v>5</v>
      </c>
      <c r="O55" s="770" t="s">
        <v>2801</v>
      </c>
      <c r="P55" s="787" t="s">
        <v>2901</v>
      </c>
      <c r="Q55" s="772">
        <f t="shared" si="0"/>
        <v>2</v>
      </c>
      <c r="R55" s="772">
        <f t="shared" si="0"/>
        <v>1.4799999999999995</v>
      </c>
      <c r="S55" s="783">
        <f t="shared" si="1"/>
        <v>55</v>
      </c>
      <c r="T55" s="783">
        <f t="shared" si="2"/>
        <v>49.5</v>
      </c>
      <c r="U55" s="783">
        <f t="shared" si="3"/>
        <v>-5.5</v>
      </c>
      <c r="V55" s="788">
        <f t="shared" si="4"/>
        <v>0.9</v>
      </c>
      <c r="W55" s="773">
        <v>4</v>
      </c>
    </row>
    <row r="56" spans="1:23" ht="14.4" customHeight="1" x14ac:dyDescent="0.3">
      <c r="A56" s="835" t="s">
        <v>2902</v>
      </c>
      <c r="B56" s="820">
        <v>1</v>
      </c>
      <c r="C56" s="821">
        <v>0.94</v>
      </c>
      <c r="D56" s="789">
        <v>3</v>
      </c>
      <c r="E56" s="824">
        <v>3</v>
      </c>
      <c r="F56" s="825">
        <v>3.11</v>
      </c>
      <c r="G56" s="780">
        <v>3.3</v>
      </c>
      <c r="H56" s="827">
        <v>5</v>
      </c>
      <c r="I56" s="823">
        <v>5.58</v>
      </c>
      <c r="J56" s="774">
        <v>4.5999999999999996</v>
      </c>
      <c r="K56" s="826">
        <v>1.24</v>
      </c>
      <c r="L56" s="827">
        <v>4</v>
      </c>
      <c r="M56" s="827">
        <v>32</v>
      </c>
      <c r="N56" s="828">
        <v>10.64</v>
      </c>
      <c r="O56" s="827" t="s">
        <v>2801</v>
      </c>
      <c r="P56" s="829" t="s">
        <v>2903</v>
      </c>
      <c r="Q56" s="830">
        <f t="shared" si="0"/>
        <v>4</v>
      </c>
      <c r="R56" s="830">
        <f t="shared" si="0"/>
        <v>4.6400000000000006</v>
      </c>
      <c r="S56" s="820">
        <f t="shared" si="1"/>
        <v>53.2</v>
      </c>
      <c r="T56" s="820">
        <f t="shared" si="2"/>
        <v>23</v>
      </c>
      <c r="U56" s="820">
        <f t="shared" si="3"/>
        <v>-30.200000000000003</v>
      </c>
      <c r="V56" s="831">
        <f t="shared" si="4"/>
        <v>0.43233082706766918</v>
      </c>
      <c r="W56" s="776"/>
    </row>
    <row r="57" spans="1:23" ht="14.4" customHeight="1" x14ac:dyDescent="0.3">
      <c r="A57" s="835" t="s">
        <v>2904</v>
      </c>
      <c r="B57" s="820"/>
      <c r="C57" s="821"/>
      <c r="D57" s="789"/>
      <c r="E57" s="824">
        <v>2</v>
      </c>
      <c r="F57" s="825">
        <v>2.2400000000000002</v>
      </c>
      <c r="G57" s="780">
        <v>2.5</v>
      </c>
      <c r="H57" s="827"/>
      <c r="I57" s="823"/>
      <c r="J57" s="774"/>
      <c r="K57" s="826">
        <v>2.48</v>
      </c>
      <c r="L57" s="827">
        <v>6</v>
      </c>
      <c r="M57" s="827">
        <v>58</v>
      </c>
      <c r="N57" s="828">
        <v>19.170000000000002</v>
      </c>
      <c r="O57" s="827" t="s">
        <v>2801</v>
      </c>
      <c r="P57" s="829" t="s">
        <v>2905</v>
      </c>
      <c r="Q57" s="830">
        <f t="shared" si="0"/>
        <v>0</v>
      </c>
      <c r="R57" s="830">
        <f t="shared" si="0"/>
        <v>0</v>
      </c>
      <c r="S57" s="820" t="str">
        <f t="shared" si="1"/>
        <v/>
      </c>
      <c r="T57" s="820" t="str">
        <f t="shared" si="2"/>
        <v/>
      </c>
      <c r="U57" s="820" t="str">
        <f t="shared" si="3"/>
        <v/>
      </c>
      <c r="V57" s="831" t="str">
        <f t="shared" si="4"/>
        <v/>
      </c>
      <c r="W57" s="776"/>
    </row>
    <row r="58" spans="1:23" ht="14.4" customHeight="1" x14ac:dyDescent="0.3">
      <c r="A58" s="836" t="s">
        <v>2906</v>
      </c>
      <c r="B58" s="777">
        <v>3</v>
      </c>
      <c r="C58" s="778">
        <v>1.35</v>
      </c>
      <c r="D58" s="779">
        <v>6.3</v>
      </c>
      <c r="E58" s="786">
        <v>1</v>
      </c>
      <c r="F58" s="764">
        <v>0.45</v>
      </c>
      <c r="G58" s="765">
        <v>3</v>
      </c>
      <c r="H58" s="770"/>
      <c r="I58" s="764"/>
      <c r="J58" s="765"/>
      <c r="K58" s="769">
        <v>0.45</v>
      </c>
      <c r="L58" s="770">
        <v>1</v>
      </c>
      <c r="M58" s="770">
        <v>12</v>
      </c>
      <c r="N58" s="771">
        <v>4.12</v>
      </c>
      <c r="O58" s="770" t="s">
        <v>2801</v>
      </c>
      <c r="P58" s="787" t="s">
        <v>2907</v>
      </c>
      <c r="Q58" s="772">
        <f t="shared" si="0"/>
        <v>-3</v>
      </c>
      <c r="R58" s="772">
        <f t="shared" si="0"/>
        <v>-1.35</v>
      </c>
      <c r="S58" s="783" t="str">
        <f t="shared" si="1"/>
        <v/>
      </c>
      <c r="T58" s="783" t="str">
        <f t="shared" si="2"/>
        <v/>
      </c>
      <c r="U58" s="783" t="str">
        <f t="shared" si="3"/>
        <v/>
      </c>
      <c r="V58" s="788" t="str">
        <f t="shared" si="4"/>
        <v/>
      </c>
      <c r="W58" s="773"/>
    </row>
    <row r="59" spans="1:23" ht="14.4" customHeight="1" x14ac:dyDescent="0.3">
      <c r="A59" s="836" t="s">
        <v>2908</v>
      </c>
      <c r="B59" s="783"/>
      <c r="C59" s="784"/>
      <c r="D59" s="785"/>
      <c r="E59" s="786"/>
      <c r="F59" s="764"/>
      <c r="G59" s="765"/>
      <c r="H59" s="766">
        <v>2</v>
      </c>
      <c r="I59" s="767">
        <v>0.97</v>
      </c>
      <c r="J59" s="768">
        <v>5</v>
      </c>
      <c r="K59" s="769">
        <v>0.49</v>
      </c>
      <c r="L59" s="770">
        <v>2</v>
      </c>
      <c r="M59" s="770">
        <v>21</v>
      </c>
      <c r="N59" s="771">
        <v>6.84</v>
      </c>
      <c r="O59" s="770" t="s">
        <v>2801</v>
      </c>
      <c r="P59" s="787" t="s">
        <v>2909</v>
      </c>
      <c r="Q59" s="772">
        <f t="shared" si="0"/>
        <v>2</v>
      </c>
      <c r="R59" s="772">
        <f t="shared" si="0"/>
        <v>0.97</v>
      </c>
      <c r="S59" s="783">
        <f t="shared" si="1"/>
        <v>13.68</v>
      </c>
      <c r="T59" s="783">
        <f t="shared" si="2"/>
        <v>10</v>
      </c>
      <c r="U59" s="783">
        <f t="shared" si="3"/>
        <v>-3.6799999999999997</v>
      </c>
      <c r="V59" s="788">
        <f t="shared" si="4"/>
        <v>0.73099415204678364</v>
      </c>
      <c r="W59" s="773">
        <v>0.16</v>
      </c>
    </row>
    <row r="60" spans="1:23" ht="14.4" customHeight="1" x14ac:dyDescent="0.3">
      <c r="A60" s="836" t="s">
        <v>2910</v>
      </c>
      <c r="B60" s="783"/>
      <c r="C60" s="784"/>
      <c r="D60" s="785"/>
      <c r="E60" s="766">
        <v>3</v>
      </c>
      <c r="F60" s="767">
        <v>0.74</v>
      </c>
      <c r="G60" s="768">
        <v>4.7</v>
      </c>
      <c r="H60" s="770">
        <v>1</v>
      </c>
      <c r="I60" s="764">
        <v>0.41</v>
      </c>
      <c r="J60" s="781">
        <v>12</v>
      </c>
      <c r="K60" s="769">
        <v>0.25</v>
      </c>
      <c r="L60" s="770">
        <v>1</v>
      </c>
      <c r="M60" s="770">
        <v>9</v>
      </c>
      <c r="N60" s="771">
        <v>3.01</v>
      </c>
      <c r="O60" s="770" t="s">
        <v>2801</v>
      </c>
      <c r="P60" s="787" t="s">
        <v>2911</v>
      </c>
      <c r="Q60" s="772">
        <f t="shared" si="0"/>
        <v>1</v>
      </c>
      <c r="R60" s="772">
        <f t="shared" si="0"/>
        <v>0.41</v>
      </c>
      <c r="S60" s="783">
        <f t="shared" si="1"/>
        <v>3.01</v>
      </c>
      <c r="T60" s="783">
        <f t="shared" si="2"/>
        <v>12</v>
      </c>
      <c r="U60" s="783">
        <f t="shared" si="3"/>
        <v>8.99</v>
      </c>
      <c r="V60" s="788">
        <f t="shared" si="4"/>
        <v>3.9867109634551499</v>
      </c>
      <c r="W60" s="773">
        <v>8.99</v>
      </c>
    </row>
    <row r="61" spans="1:23" ht="14.4" customHeight="1" x14ac:dyDescent="0.3">
      <c r="A61" s="836" t="s">
        <v>2912</v>
      </c>
      <c r="B61" s="783">
        <v>1</v>
      </c>
      <c r="C61" s="784">
        <v>0.34</v>
      </c>
      <c r="D61" s="785">
        <v>3</v>
      </c>
      <c r="E61" s="766">
        <v>2</v>
      </c>
      <c r="F61" s="767">
        <v>0.52</v>
      </c>
      <c r="G61" s="768">
        <v>2</v>
      </c>
      <c r="H61" s="770">
        <v>1</v>
      </c>
      <c r="I61" s="764">
        <v>0.34</v>
      </c>
      <c r="J61" s="765">
        <v>3</v>
      </c>
      <c r="K61" s="769">
        <v>0.34</v>
      </c>
      <c r="L61" s="770">
        <v>2</v>
      </c>
      <c r="M61" s="770">
        <v>16</v>
      </c>
      <c r="N61" s="771">
        <v>5.4</v>
      </c>
      <c r="O61" s="770" t="s">
        <v>2801</v>
      </c>
      <c r="P61" s="787" t="s">
        <v>2913</v>
      </c>
      <c r="Q61" s="772">
        <f t="shared" si="0"/>
        <v>0</v>
      </c>
      <c r="R61" s="772">
        <f t="shared" si="0"/>
        <v>0</v>
      </c>
      <c r="S61" s="783">
        <f t="shared" si="1"/>
        <v>5.4</v>
      </c>
      <c r="T61" s="783">
        <f t="shared" si="2"/>
        <v>3</v>
      </c>
      <c r="U61" s="783">
        <f t="shared" si="3"/>
        <v>-2.4000000000000004</v>
      </c>
      <c r="V61" s="788">
        <f t="shared" si="4"/>
        <v>0.55555555555555547</v>
      </c>
      <c r="W61" s="773"/>
    </row>
    <row r="62" spans="1:23" ht="14.4" customHeight="1" x14ac:dyDescent="0.3">
      <c r="A62" s="836" t="s">
        <v>2914</v>
      </c>
      <c r="B62" s="777">
        <v>1</v>
      </c>
      <c r="C62" s="778">
        <v>0.38</v>
      </c>
      <c r="D62" s="779">
        <v>3</v>
      </c>
      <c r="E62" s="786"/>
      <c r="F62" s="764"/>
      <c r="G62" s="765"/>
      <c r="H62" s="770"/>
      <c r="I62" s="764"/>
      <c r="J62" s="765"/>
      <c r="K62" s="769">
        <v>0.38</v>
      </c>
      <c r="L62" s="770">
        <v>2</v>
      </c>
      <c r="M62" s="770">
        <v>16</v>
      </c>
      <c r="N62" s="771">
        <v>5.37</v>
      </c>
      <c r="O62" s="770" t="s">
        <v>2801</v>
      </c>
      <c r="P62" s="787" t="s">
        <v>2915</v>
      </c>
      <c r="Q62" s="772">
        <f t="shared" si="0"/>
        <v>-1</v>
      </c>
      <c r="R62" s="772">
        <f t="shared" si="0"/>
        <v>-0.38</v>
      </c>
      <c r="S62" s="783" t="str">
        <f t="shared" si="1"/>
        <v/>
      </c>
      <c r="T62" s="783" t="str">
        <f t="shared" si="2"/>
        <v/>
      </c>
      <c r="U62" s="783" t="str">
        <f t="shared" si="3"/>
        <v/>
      </c>
      <c r="V62" s="788" t="str">
        <f t="shared" si="4"/>
        <v/>
      </c>
      <c r="W62" s="773"/>
    </row>
    <row r="63" spans="1:23" ht="14.4" customHeight="1" x14ac:dyDescent="0.3">
      <c r="A63" s="836" t="s">
        <v>2916</v>
      </c>
      <c r="B63" s="783"/>
      <c r="C63" s="784"/>
      <c r="D63" s="785"/>
      <c r="E63" s="766">
        <v>2</v>
      </c>
      <c r="F63" s="767">
        <v>2.06</v>
      </c>
      <c r="G63" s="768">
        <v>5</v>
      </c>
      <c r="H63" s="770">
        <v>1</v>
      </c>
      <c r="I63" s="764">
        <v>1.03</v>
      </c>
      <c r="J63" s="765">
        <v>6</v>
      </c>
      <c r="K63" s="769">
        <v>1.03</v>
      </c>
      <c r="L63" s="770">
        <v>2</v>
      </c>
      <c r="M63" s="770">
        <v>19</v>
      </c>
      <c r="N63" s="771">
        <v>6.44</v>
      </c>
      <c r="O63" s="770" t="s">
        <v>2801</v>
      </c>
      <c r="P63" s="787" t="s">
        <v>2917</v>
      </c>
      <c r="Q63" s="772">
        <f t="shared" si="0"/>
        <v>1</v>
      </c>
      <c r="R63" s="772">
        <f t="shared" si="0"/>
        <v>1.03</v>
      </c>
      <c r="S63" s="783">
        <f t="shared" si="1"/>
        <v>6.44</v>
      </c>
      <c r="T63" s="783">
        <f t="shared" si="2"/>
        <v>6</v>
      </c>
      <c r="U63" s="783">
        <f t="shared" si="3"/>
        <v>-0.44000000000000039</v>
      </c>
      <c r="V63" s="788">
        <f t="shared" si="4"/>
        <v>0.93167701863354035</v>
      </c>
      <c r="W63" s="773"/>
    </row>
    <row r="64" spans="1:23" ht="14.4" customHeight="1" x14ac:dyDescent="0.3">
      <c r="A64" s="836" t="s">
        <v>2918</v>
      </c>
      <c r="B64" s="783">
        <v>5</v>
      </c>
      <c r="C64" s="784">
        <v>1.75</v>
      </c>
      <c r="D64" s="785">
        <v>3.4</v>
      </c>
      <c r="E64" s="766">
        <v>15</v>
      </c>
      <c r="F64" s="767">
        <v>5.81</v>
      </c>
      <c r="G64" s="768">
        <v>4.0999999999999996</v>
      </c>
      <c r="H64" s="770">
        <v>2</v>
      </c>
      <c r="I64" s="764">
        <v>0.77</v>
      </c>
      <c r="J64" s="781">
        <v>6.5</v>
      </c>
      <c r="K64" s="769">
        <v>0.39</v>
      </c>
      <c r="L64" s="770">
        <v>2</v>
      </c>
      <c r="M64" s="770">
        <v>14</v>
      </c>
      <c r="N64" s="771">
        <v>4.6100000000000003</v>
      </c>
      <c r="O64" s="770" t="s">
        <v>2801</v>
      </c>
      <c r="P64" s="787" t="s">
        <v>2919</v>
      </c>
      <c r="Q64" s="772">
        <f t="shared" si="0"/>
        <v>-3</v>
      </c>
      <c r="R64" s="772">
        <f t="shared" si="0"/>
        <v>-0.98</v>
      </c>
      <c r="S64" s="783">
        <f t="shared" si="1"/>
        <v>9.2200000000000006</v>
      </c>
      <c r="T64" s="783">
        <f t="shared" si="2"/>
        <v>13</v>
      </c>
      <c r="U64" s="783">
        <f t="shared" si="3"/>
        <v>3.7799999999999994</v>
      </c>
      <c r="V64" s="788">
        <f t="shared" si="4"/>
        <v>1.4099783080260302</v>
      </c>
      <c r="W64" s="773">
        <v>5.39</v>
      </c>
    </row>
    <row r="65" spans="1:23" ht="14.4" customHeight="1" x14ac:dyDescent="0.3">
      <c r="A65" s="835" t="s">
        <v>2920</v>
      </c>
      <c r="B65" s="820">
        <v>3</v>
      </c>
      <c r="C65" s="821">
        <v>1.93</v>
      </c>
      <c r="D65" s="789">
        <v>4.7</v>
      </c>
      <c r="E65" s="824">
        <v>1</v>
      </c>
      <c r="F65" s="825">
        <v>0.64</v>
      </c>
      <c r="G65" s="780">
        <v>5</v>
      </c>
      <c r="H65" s="827">
        <v>1</v>
      </c>
      <c r="I65" s="823">
        <v>0.64</v>
      </c>
      <c r="J65" s="774">
        <v>3</v>
      </c>
      <c r="K65" s="826">
        <v>0.64</v>
      </c>
      <c r="L65" s="827">
        <v>2</v>
      </c>
      <c r="M65" s="827">
        <v>22</v>
      </c>
      <c r="N65" s="828">
        <v>7.22</v>
      </c>
      <c r="O65" s="827" t="s">
        <v>2801</v>
      </c>
      <c r="P65" s="829" t="s">
        <v>2921</v>
      </c>
      <c r="Q65" s="830">
        <f t="shared" si="0"/>
        <v>-2</v>
      </c>
      <c r="R65" s="830">
        <f t="shared" si="0"/>
        <v>-1.29</v>
      </c>
      <c r="S65" s="820">
        <f t="shared" si="1"/>
        <v>7.22</v>
      </c>
      <c r="T65" s="820">
        <f t="shared" si="2"/>
        <v>3</v>
      </c>
      <c r="U65" s="820">
        <f t="shared" si="3"/>
        <v>-4.22</v>
      </c>
      <c r="V65" s="831">
        <f t="shared" si="4"/>
        <v>0.41551246537396125</v>
      </c>
      <c r="W65" s="776"/>
    </row>
    <row r="66" spans="1:23" ht="14.4" customHeight="1" x14ac:dyDescent="0.3">
      <c r="A66" s="835" t="s">
        <v>2922</v>
      </c>
      <c r="B66" s="820">
        <v>1</v>
      </c>
      <c r="C66" s="821">
        <v>1.21</v>
      </c>
      <c r="D66" s="789">
        <v>3</v>
      </c>
      <c r="E66" s="824"/>
      <c r="F66" s="825"/>
      <c r="G66" s="780"/>
      <c r="H66" s="827"/>
      <c r="I66" s="823"/>
      <c r="J66" s="774"/>
      <c r="K66" s="826">
        <v>1.21</v>
      </c>
      <c r="L66" s="827">
        <v>3</v>
      </c>
      <c r="M66" s="827">
        <v>30</v>
      </c>
      <c r="N66" s="828">
        <v>10.08</v>
      </c>
      <c r="O66" s="827" t="s">
        <v>2801</v>
      </c>
      <c r="P66" s="829" t="s">
        <v>2923</v>
      </c>
      <c r="Q66" s="830">
        <f t="shared" si="0"/>
        <v>-1</v>
      </c>
      <c r="R66" s="830">
        <f t="shared" si="0"/>
        <v>-1.21</v>
      </c>
      <c r="S66" s="820" t="str">
        <f t="shared" si="1"/>
        <v/>
      </c>
      <c r="T66" s="820" t="str">
        <f t="shared" si="2"/>
        <v/>
      </c>
      <c r="U66" s="820" t="str">
        <f t="shared" si="3"/>
        <v/>
      </c>
      <c r="V66" s="831" t="str">
        <f t="shared" si="4"/>
        <v/>
      </c>
      <c r="W66" s="776"/>
    </row>
    <row r="67" spans="1:23" ht="14.4" customHeight="1" x14ac:dyDescent="0.3">
      <c r="A67" s="836" t="s">
        <v>2924</v>
      </c>
      <c r="B67" s="783"/>
      <c r="C67" s="784"/>
      <c r="D67" s="785"/>
      <c r="E67" s="766">
        <v>1</v>
      </c>
      <c r="F67" s="767">
        <v>0.96</v>
      </c>
      <c r="G67" s="768">
        <v>3</v>
      </c>
      <c r="H67" s="770"/>
      <c r="I67" s="764"/>
      <c r="J67" s="765"/>
      <c r="K67" s="769">
        <v>0.64</v>
      </c>
      <c r="L67" s="770">
        <v>1</v>
      </c>
      <c r="M67" s="770">
        <v>12</v>
      </c>
      <c r="N67" s="771">
        <v>4.03</v>
      </c>
      <c r="O67" s="770" t="s">
        <v>2801</v>
      </c>
      <c r="P67" s="787" t="s">
        <v>2925</v>
      </c>
      <c r="Q67" s="772">
        <f t="shared" si="0"/>
        <v>0</v>
      </c>
      <c r="R67" s="772">
        <f t="shared" si="0"/>
        <v>0</v>
      </c>
      <c r="S67" s="783" t="str">
        <f t="shared" si="1"/>
        <v/>
      </c>
      <c r="T67" s="783" t="str">
        <f t="shared" si="2"/>
        <v/>
      </c>
      <c r="U67" s="783" t="str">
        <f t="shared" si="3"/>
        <v/>
      </c>
      <c r="V67" s="788" t="str">
        <f t="shared" si="4"/>
        <v/>
      </c>
      <c r="W67" s="773"/>
    </row>
    <row r="68" spans="1:23" ht="14.4" customHeight="1" x14ac:dyDescent="0.3">
      <c r="A68" s="836" t="s">
        <v>2926</v>
      </c>
      <c r="B68" s="783"/>
      <c r="C68" s="784"/>
      <c r="D68" s="785"/>
      <c r="E68" s="766">
        <v>12</v>
      </c>
      <c r="F68" s="767">
        <v>3.08</v>
      </c>
      <c r="G68" s="768">
        <v>3</v>
      </c>
      <c r="H68" s="770">
        <v>3</v>
      </c>
      <c r="I68" s="764">
        <v>0.77</v>
      </c>
      <c r="J68" s="781">
        <v>4.3</v>
      </c>
      <c r="K68" s="769">
        <v>0.26</v>
      </c>
      <c r="L68" s="770">
        <v>1</v>
      </c>
      <c r="M68" s="770">
        <v>9</v>
      </c>
      <c r="N68" s="771">
        <v>2.83</v>
      </c>
      <c r="O68" s="770" t="s">
        <v>2801</v>
      </c>
      <c r="P68" s="787" t="s">
        <v>2927</v>
      </c>
      <c r="Q68" s="772">
        <f t="shared" si="0"/>
        <v>3</v>
      </c>
      <c r="R68" s="772">
        <f t="shared" si="0"/>
        <v>0.77</v>
      </c>
      <c r="S68" s="783">
        <f t="shared" si="1"/>
        <v>8.49</v>
      </c>
      <c r="T68" s="783">
        <f t="shared" si="2"/>
        <v>12.899999999999999</v>
      </c>
      <c r="U68" s="783">
        <f t="shared" si="3"/>
        <v>4.4099999999999984</v>
      </c>
      <c r="V68" s="788">
        <f t="shared" si="4"/>
        <v>1.5194346289752647</v>
      </c>
      <c r="W68" s="773">
        <v>5.34</v>
      </c>
    </row>
    <row r="69" spans="1:23" ht="14.4" customHeight="1" x14ac:dyDescent="0.3">
      <c r="A69" s="835" t="s">
        <v>2928</v>
      </c>
      <c r="B69" s="820"/>
      <c r="C69" s="821"/>
      <c r="D69" s="789"/>
      <c r="E69" s="824">
        <v>1</v>
      </c>
      <c r="F69" s="825">
        <v>0.36</v>
      </c>
      <c r="G69" s="780">
        <v>6</v>
      </c>
      <c r="H69" s="827">
        <v>1</v>
      </c>
      <c r="I69" s="823">
        <v>0.36</v>
      </c>
      <c r="J69" s="774">
        <v>2</v>
      </c>
      <c r="K69" s="826">
        <v>0.36</v>
      </c>
      <c r="L69" s="827">
        <v>1</v>
      </c>
      <c r="M69" s="827">
        <v>12</v>
      </c>
      <c r="N69" s="828">
        <v>3.89</v>
      </c>
      <c r="O69" s="827" t="s">
        <v>2801</v>
      </c>
      <c r="P69" s="829" t="s">
        <v>2929</v>
      </c>
      <c r="Q69" s="830">
        <f t="shared" si="0"/>
        <v>1</v>
      </c>
      <c r="R69" s="830">
        <f t="shared" si="0"/>
        <v>0.36</v>
      </c>
      <c r="S69" s="820">
        <f t="shared" si="1"/>
        <v>3.89</v>
      </c>
      <c r="T69" s="820">
        <f t="shared" si="2"/>
        <v>2</v>
      </c>
      <c r="U69" s="820">
        <f t="shared" si="3"/>
        <v>-1.8900000000000001</v>
      </c>
      <c r="V69" s="831">
        <f t="shared" si="4"/>
        <v>0.51413881748071977</v>
      </c>
      <c r="W69" s="776"/>
    </row>
    <row r="70" spans="1:23" ht="14.4" customHeight="1" x14ac:dyDescent="0.3">
      <c r="A70" s="835" t="s">
        <v>2930</v>
      </c>
      <c r="B70" s="820"/>
      <c r="C70" s="821"/>
      <c r="D70" s="789"/>
      <c r="E70" s="824">
        <v>1</v>
      </c>
      <c r="F70" s="825">
        <v>0.85</v>
      </c>
      <c r="G70" s="780">
        <v>5</v>
      </c>
      <c r="H70" s="827">
        <v>1</v>
      </c>
      <c r="I70" s="823">
        <v>0.59</v>
      </c>
      <c r="J70" s="774">
        <v>2</v>
      </c>
      <c r="K70" s="826">
        <v>0.85</v>
      </c>
      <c r="L70" s="827">
        <v>3</v>
      </c>
      <c r="M70" s="827">
        <v>23</v>
      </c>
      <c r="N70" s="828">
        <v>7.67</v>
      </c>
      <c r="O70" s="827" t="s">
        <v>2801</v>
      </c>
      <c r="P70" s="829" t="s">
        <v>2931</v>
      </c>
      <c r="Q70" s="830">
        <f t="shared" ref="Q70:R75" si="5">H70-B70</f>
        <v>1</v>
      </c>
      <c r="R70" s="830">
        <f t="shared" si="5"/>
        <v>0.59</v>
      </c>
      <c r="S70" s="820">
        <f t="shared" ref="S70:S75" si="6">IF(H70=0,"",H70*N70)</f>
        <v>7.67</v>
      </c>
      <c r="T70" s="820">
        <f t="shared" ref="T70:T75" si="7">IF(H70=0,"",H70*J70)</f>
        <v>2</v>
      </c>
      <c r="U70" s="820">
        <f t="shared" ref="U70:U75" si="8">IF(H70=0,"",T70-S70)</f>
        <v>-5.67</v>
      </c>
      <c r="V70" s="831">
        <f t="shared" ref="V70:V75" si="9">IF(H70=0,"",T70/S70)</f>
        <v>0.2607561929595828</v>
      </c>
      <c r="W70" s="776"/>
    </row>
    <row r="71" spans="1:23" ht="14.4" customHeight="1" x14ac:dyDescent="0.3">
      <c r="A71" s="836" t="s">
        <v>2932</v>
      </c>
      <c r="B71" s="777">
        <v>1</v>
      </c>
      <c r="C71" s="778">
        <v>4.07</v>
      </c>
      <c r="D71" s="779">
        <v>11</v>
      </c>
      <c r="E71" s="786"/>
      <c r="F71" s="764"/>
      <c r="G71" s="765"/>
      <c r="H71" s="770"/>
      <c r="I71" s="764"/>
      <c r="J71" s="765"/>
      <c r="K71" s="769">
        <v>4.07</v>
      </c>
      <c r="L71" s="770">
        <v>5</v>
      </c>
      <c r="M71" s="770">
        <v>44</v>
      </c>
      <c r="N71" s="771">
        <v>14.57</v>
      </c>
      <c r="O71" s="770" t="s">
        <v>2801</v>
      </c>
      <c r="P71" s="787" t="s">
        <v>2933</v>
      </c>
      <c r="Q71" s="772">
        <f t="shared" si="5"/>
        <v>-1</v>
      </c>
      <c r="R71" s="772">
        <f t="shared" si="5"/>
        <v>-4.07</v>
      </c>
      <c r="S71" s="783" t="str">
        <f t="shared" si="6"/>
        <v/>
      </c>
      <c r="T71" s="783" t="str">
        <f t="shared" si="7"/>
        <v/>
      </c>
      <c r="U71" s="783" t="str">
        <f t="shared" si="8"/>
        <v/>
      </c>
      <c r="V71" s="788" t="str">
        <f t="shared" si="9"/>
        <v/>
      </c>
      <c r="W71" s="773"/>
    </row>
    <row r="72" spans="1:23" ht="14.4" customHeight="1" x14ac:dyDescent="0.3">
      <c r="A72" s="836" t="s">
        <v>2934</v>
      </c>
      <c r="B72" s="783">
        <v>2</v>
      </c>
      <c r="C72" s="784">
        <v>2.0099999999999998</v>
      </c>
      <c r="D72" s="785">
        <v>8.5</v>
      </c>
      <c r="E72" s="766">
        <v>3</v>
      </c>
      <c r="F72" s="767">
        <v>3.01</v>
      </c>
      <c r="G72" s="768">
        <v>4.3</v>
      </c>
      <c r="H72" s="770">
        <v>2</v>
      </c>
      <c r="I72" s="764">
        <v>2.0099999999999998</v>
      </c>
      <c r="J72" s="765">
        <v>4</v>
      </c>
      <c r="K72" s="769">
        <v>1</v>
      </c>
      <c r="L72" s="770">
        <v>2</v>
      </c>
      <c r="M72" s="770">
        <v>17</v>
      </c>
      <c r="N72" s="771">
        <v>5.53</v>
      </c>
      <c r="O72" s="770" t="s">
        <v>2801</v>
      </c>
      <c r="P72" s="787" t="s">
        <v>2935</v>
      </c>
      <c r="Q72" s="772">
        <f t="shared" si="5"/>
        <v>0</v>
      </c>
      <c r="R72" s="772">
        <f t="shared" si="5"/>
        <v>0</v>
      </c>
      <c r="S72" s="783">
        <f t="shared" si="6"/>
        <v>11.06</v>
      </c>
      <c r="T72" s="783">
        <f t="shared" si="7"/>
        <v>8</v>
      </c>
      <c r="U72" s="783">
        <f t="shared" si="8"/>
        <v>-3.0600000000000005</v>
      </c>
      <c r="V72" s="788">
        <f t="shared" si="9"/>
        <v>0.72332730560578662</v>
      </c>
      <c r="W72" s="773"/>
    </row>
    <row r="73" spans="1:23" ht="14.4" customHeight="1" x14ac:dyDescent="0.3">
      <c r="A73" s="836" t="s">
        <v>2936</v>
      </c>
      <c r="B73" s="783">
        <v>2</v>
      </c>
      <c r="C73" s="784">
        <v>1.36</v>
      </c>
      <c r="D73" s="785">
        <v>4.5</v>
      </c>
      <c r="E73" s="766">
        <v>5</v>
      </c>
      <c r="F73" s="767">
        <v>3.4</v>
      </c>
      <c r="G73" s="768">
        <v>3.6</v>
      </c>
      <c r="H73" s="770">
        <v>2</v>
      </c>
      <c r="I73" s="764">
        <v>1.36</v>
      </c>
      <c r="J73" s="781">
        <v>6.5</v>
      </c>
      <c r="K73" s="769">
        <v>0.68</v>
      </c>
      <c r="L73" s="770">
        <v>2</v>
      </c>
      <c r="M73" s="770">
        <v>15</v>
      </c>
      <c r="N73" s="771">
        <v>5.01</v>
      </c>
      <c r="O73" s="770" t="s">
        <v>2801</v>
      </c>
      <c r="P73" s="787" t="s">
        <v>2937</v>
      </c>
      <c r="Q73" s="772">
        <f t="shared" si="5"/>
        <v>0</v>
      </c>
      <c r="R73" s="772">
        <f t="shared" si="5"/>
        <v>0</v>
      </c>
      <c r="S73" s="783">
        <f t="shared" si="6"/>
        <v>10.02</v>
      </c>
      <c r="T73" s="783">
        <f t="shared" si="7"/>
        <v>13</v>
      </c>
      <c r="U73" s="783">
        <f t="shared" si="8"/>
        <v>2.9800000000000004</v>
      </c>
      <c r="V73" s="788">
        <f t="shared" si="9"/>
        <v>1.2974051896207586</v>
      </c>
      <c r="W73" s="773">
        <v>3.99</v>
      </c>
    </row>
    <row r="74" spans="1:23" ht="14.4" customHeight="1" x14ac:dyDescent="0.3">
      <c r="A74" s="835" t="s">
        <v>2938</v>
      </c>
      <c r="B74" s="820"/>
      <c r="C74" s="821"/>
      <c r="D74" s="789"/>
      <c r="E74" s="824">
        <v>1</v>
      </c>
      <c r="F74" s="825">
        <v>1.1499999999999999</v>
      </c>
      <c r="G74" s="780">
        <v>4</v>
      </c>
      <c r="H74" s="827">
        <v>1</v>
      </c>
      <c r="I74" s="823">
        <v>1.1499999999999999</v>
      </c>
      <c r="J74" s="774">
        <v>3</v>
      </c>
      <c r="K74" s="826">
        <v>1.1499999999999999</v>
      </c>
      <c r="L74" s="827">
        <v>3</v>
      </c>
      <c r="M74" s="827">
        <v>28</v>
      </c>
      <c r="N74" s="828">
        <v>9.2200000000000006</v>
      </c>
      <c r="O74" s="827" t="s">
        <v>2801</v>
      </c>
      <c r="P74" s="829" t="s">
        <v>2939</v>
      </c>
      <c r="Q74" s="830">
        <f t="shared" si="5"/>
        <v>1</v>
      </c>
      <c r="R74" s="830">
        <f t="shared" si="5"/>
        <v>1.1499999999999999</v>
      </c>
      <c r="S74" s="820">
        <f t="shared" si="6"/>
        <v>9.2200000000000006</v>
      </c>
      <c r="T74" s="820">
        <f t="shared" si="7"/>
        <v>3</v>
      </c>
      <c r="U74" s="820">
        <f t="shared" si="8"/>
        <v>-6.2200000000000006</v>
      </c>
      <c r="V74" s="831">
        <f t="shared" si="9"/>
        <v>0.32537960954446854</v>
      </c>
      <c r="W74" s="776"/>
    </row>
    <row r="75" spans="1:23" ht="14.4" customHeight="1" thickBot="1" x14ac:dyDescent="0.35">
      <c r="A75" s="837" t="s">
        <v>2940</v>
      </c>
      <c r="B75" s="838"/>
      <c r="C75" s="839"/>
      <c r="D75" s="840"/>
      <c r="E75" s="841">
        <v>1</v>
      </c>
      <c r="F75" s="842">
        <v>1.55</v>
      </c>
      <c r="G75" s="843">
        <v>3</v>
      </c>
      <c r="H75" s="844"/>
      <c r="I75" s="845"/>
      <c r="J75" s="846"/>
      <c r="K75" s="847">
        <v>2.44</v>
      </c>
      <c r="L75" s="844">
        <v>5</v>
      </c>
      <c r="M75" s="844">
        <v>46</v>
      </c>
      <c r="N75" s="848">
        <v>15.42</v>
      </c>
      <c r="O75" s="844" t="s">
        <v>2801</v>
      </c>
      <c r="P75" s="849" t="s">
        <v>2941</v>
      </c>
      <c r="Q75" s="850">
        <f t="shared" si="5"/>
        <v>0</v>
      </c>
      <c r="R75" s="850">
        <f t="shared" si="5"/>
        <v>0</v>
      </c>
      <c r="S75" s="838" t="str">
        <f t="shared" si="6"/>
        <v/>
      </c>
      <c r="T75" s="838" t="str">
        <f t="shared" si="7"/>
        <v/>
      </c>
      <c r="U75" s="838" t="str">
        <f t="shared" si="8"/>
        <v/>
      </c>
      <c r="V75" s="851" t="str">
        <f t="shared" si="9"/>
        <v/>
      </c>
      <c r="W75" s="85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6:Q1048576">
    <cfRule type="cellIs" dxfId="12" priority="9" stopIfTrue="1" operator="lessThan">
      <formula>0</formula>
    </cfRule>
  </conditionalFormatting>
  <conditionalFormatting sqref="U76:U1048576">
    <cfRule type="cellIs" dxfId="11" priority="8" stopIfTrue="1" operator="greaterThan">
      <formula>0</formula>
    </cfRule>
  </conditionalFormatting>
  <conditionalFormatting sqref="V76:V1048576">
    <cfRule type="cellIs" dxfId="10" priority="7" stopIfTrue="1" operator="greaterThan">
      <formula>1</formula>
    </cfRule>
  </conditionalFormatting>
  <conditionalFormatting sqref="V76:V1048576">
    <cfRule type="cellIs" dxfId="9" priority="4" stopIfTrue="1" operator="greaterThan">
      <formula>1</formula>
    </cfRule>
  </conditionalFormatting>
  <conditionalFormatting sqref="U76:U1048576">
    <cfRule type="cellIs" dxfId="8" priority="5" stopIfTrue="1" operator="greaterThan">
      <formula>0</formula>
    </cfRule>
  </conditionalFormatting>
  <conditionalFormatting sqref="Q76:Q1048576">
    <cfRule type="cellIs" dxfId="7" priority="6" stopIfTrue="1" operator="lessThan">
      <formula>0</formula>
    </cfRule>
  </conditionalFormatting>
  <conditionalFormatting sqref="V5:V75">
    <cfRule type="cellIs" dxfId="6" priority="1" stopIfTrue="1" operator="greaterThan">
      <formula>1</formula>
    </cfRule>
  </conditionalFormatting>
  <conditionalFormatting sqref="U5:U75">
    <cfRule type="cellIs" dxfId="5" priority="2" stopIfTrue="1" operator="greaterThan">
      <formula>0</formula>
    </cfRule>
  </conditionalFormatting>
  <conditionalFormatting sqref="Q5:Q7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48" customWidth="1"/>
    <col min="2" max="2" width="7.77734375" style="213" customWidth="1"/>
    <col min="3" max="3" width="7.21875" style="248" hidden="1" customWidth="1"/>
    <col min="4" max="4" width="7.77734375" style="213" customWidth="1"/>
    <col min="5" max="5" width="7.21875" style="248" hidden="1" customWidth="1"/>
    <col min="6" max="6" width="7.77734375" style="213" customWidth="1"/>
    <col min="7" max="7" width="7.77734375" style="332" customWidth="1"/>
    <col min="8" max="8" width="7.77734375" style="213" customWidth="1"/>
    <col min="9" max="9" width="7.21875" style="248" hidden="1" customWidth="1"/>
    <col min="10" max="10" width="7.77734375" style="213" customWidth="1"/>
    <col min="11" max="11" width="7.21875" style="248" hidden="1" customWidth="1"/>
    <col min="12" max="12" width="7.77734375" style="213" customWidth="1"/>
    <col min="13" max="13" width="7.77734375" style="332" customWidth="1"/>
    <col min="14" max="16384" width="8.88671875" style="248"/>
  </cols>
  <sheetData>
    <row r="1" spans="1:13" ht="18.600000000000001" customHeight="1" thickBot="1" x14ac:dyDescent="0.4">
      <c r="A1" s="479" t="s">
        <v>152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3" ht="14.4" customHeight="1" thickBot="1" x14ac:dyDescent="0.35">
      <c r="A2" s="375" t="s">
        <v>320</v>
      </c>
      <c r="B2" s="348"/>
      <c r="C2" s="218"/>
      <c r="D2" s="348"/>
      <c r="E2" s="218"/>
      <c r="F2" s="348"/>
      <c r="G2" s="349"/>
      <c r="H2" s="348"/>
      <c r="I2" s="218"/>
      <c r="J2" s="348"/>
      <c r="K2" s="218"/>
      <c r="L2" s="348"/>
      <c r="M2" s="349"/>
    </row>
    <row r="3" spans="1:13" ht="14.4" customHeight="1" thickBot="1" x14ac:dyDescent="0.35">
      <c r="A3" s="342" t="s">
        <v>153</v>
      </c>
      <c r="B3" s="343">
        <f>SUBTOTAL(9,B6:B1048576)</f>
        <v>297888</v>
      </c>
      <c r="C3" s="344">
        <f t="shared" ref="C3:L3" si="0">SUBTOTAL(9,C6:C1048576)</f>
        <v>7</v>
      </c>
      <c r="D3" s="344">
        <f t="shared" si="0"/>
        <v>401716</v>
      </c>
      <c r="E3" s="344">
        <f t="shared" si="0"/>
        <v>8.0767986326740395</v>
      </c>
      <c r="F3" s="344">
        <f t="shared" si="0"/>
        <v>356796</v>
      </c>
      <c r="G3" s="347">
        <f>IF(B3&lt;&gt;0,F3/B3,"")</f>
        <v>1.197752175314212</v>
      </c>
      <c r="H3" s="343">
        <f t="shared" si="0"/>
        <v>16960.330000000002</v>
      </c>
      <c r="I3" s="344">
        <f t="shared" si="0"/>
        <v>2</v>
      </c>
      <c r="J3" s="344">
        <f t="shared" si="0"/>
        <v>40930.340000000004</v>
      </c>
      <c r="K3" s="344">
        <f t="shared" si="0"/>
        <v>9.3640545836944789</v>
      </c>
      <c r="L3" s="344">
        <f t="shared" si="0"/>
        <v>79141.650000000009</v>
      </c>
      <c r="M3" s="345">
        <f>IF(H3&lt;&gt;0,L3/H3,"")</f>
        <v>4.6662800782767793</v>
      </c>
    </row>
    <row r="4" spans="1:13" ht="14.4" customHeight="1" x14ac:dyDescent="0.3">
      <c r="A4" s="588" t="s">
        <v>112</v>
      </c>
      <c r="B4" s="535" t="s">
        <v>117</v>
      </c>
      <c r="C4" s="536"/>
      <c r="D4" s="536"/>
      <c r="E4" s="536"/>
      <c r="F4" s="536"/>
      <c r="G4" s="537"/>
      <c r="H4" s="535" t="s">
        <v>118</v>
      </c>
      <c r="I4" s="536"/>
      <c r="J4" s="536"/>
      <c r="K4" s="536"/>
      <c r="L4" s="536"/>
      <c r="M4" s="537"/>
    </row>
    <row r="5" spans="1:13" s="330" customFormat="1" ht="14.4" customHeight="1" thickBot="1" x14ac:dyDescent="0.35">
      <c r="A5" s="853"/>
      <c r="B5" s="854">
        <v>2013</v>
      </c>
      <c r="C5" s="855"/>
      <c r="D5" s="855">
        <v>2014</v>
      </c>
      <c r="E5" s="855"/>
      <c r="F5" s="855">
        <v>2015</v>
      </c>
      <c r="G5" s="741" t="s">
        <v>2</v>
      </c>
      <c r="H5" s="854">
        <v>2013</v>
      </c>
      <c r="I5" s="855"/>
      <c r="J5" s="855">
        <v>2014</v>
      </c>
      <c r="K5" s="855"/>
      <c r="L5" s="855">
        <v>2015</v>
      </c>
      <c r="M5" s="741" t="s">
        <v>2</v>
      </c>
    </row>
    <row r="6" spans="1:13" ht="14.4" customHeight="1" x14ac:dyDescent="0.3">
      <c r="A6" s="703" t="s">
        <v>2943</v>
      </c>
      <c r="B6" s="742"/>
      <c r="C6" s="689"/>
      <c r="D6" s="742"/>
      <c r="E6" s="689"/>
      <c r="F6" s="742">
        <v>4946</v>
      </c>
      <c r="G6" s="694"/>
      <c r="H6" s="742"/>
      <c r="I6" s="689"/>
      <c r="J6" s="742"/>
      <c r="K6" s="689"/>
      <c r="L6" s="742"/>
      <c r="M6" s="229"/>
    </row>
    <row r="7" spans="1:13" ht="14.4" customHeight="1" x14ac:dyDescent="0.3">
      <c r="A7" s="640" t="s">
        <v>2944</v>
      </c>
      <c r="B7" s="743">
        <v>14328</v>
      </c>
      <c r="C7" s="614">
        <v>1</v>
      </c>
      <c r="D7" s="743">
        <v>14336</v>
      </c>
      <c r="E7" s="614">
        <v>1.0005583472920156</v>
      </c>
      <c r="F7" s="743">
        <v>71700</v>
      </c>
      <c r="G7" s="630">
        <v>5.0041876046901175</v>
      </c>
      <c r="H7" s="743">
        <v>13925.67</v>
      </c>
      <c r="I7" s="614">
        <v>1</v>
      </c>
      <c r="J7" s="743">
        <v>16000.4</v>
      </c>
      <c r="K7" s="614">
        <v>1.1489860092907558</v>
      </c>
      <c r="L7" s="743">
        <v>74356.77</v>
      </c>
      <c r="M7" s="653">
        <v>5.3395470379522134</v>
      </c>
    </row>
    <row r="8" spans="1:13" ht="14.4" customHeight="1" x14ac:dyDescent="0.3">
      <c r="A8" s="640" t="s">
        <v>2945</v>
      </c>
      <c r="B8" s="743">
        <v>30858</v>
      </c>
      <c r="C8" s="614">
        <v>1</v>
      </c>
      <c r="D8" s="743">
        <v>20765</v>
      </c>
      <c r="E8" s="614">
        <v>0.67292112256141035</v>
      </c>
      <c r="F8" s="743">
        <v>11124</v>
      </c>
      <c r="G8" s="630">
        <v>0.36048998638926699</v>
      </c>
      <c r="H8" s="743"/>
      <c r="I8" s="614"/>
      <c r="J8" s="743"/>
      <c r="K8" s="614"/>
      <c r="L8" s="743"/>
      <c r="M8" s="653"/>
    </row>
    <row r="9" spans="1:13" ht="14.4" customHeight="1" x14ac:dyDescent="0.3">
      <c r="A9" s="640" t="s">
        <v>2946</v>
      </c>
      <c r="B9" s="743">
        <v>21896</v>
      </c>
      <c r="C9" s="614">
        <v>1</v>
      </c>
      <c r="D9" s="743">
        <v>24397</v>
      </c>
      <c r="E9" s="614">
        <v>1.1142217756667885</v>
      </c>
      <c r="F9" s="743">
        <v>18202</v>
      </c>
      <c r="G9" s="630">
        <v>0.83129338691998533</v>
      </c>
      <c r="H9" s="743"/>
      <c r="I9" s="614"/>
      <c r="J9" s="743"/>
      <c r="K9" s="614"/>
      <c r="L9" s="743"/>
      <c r="M9" s="653"/>
    </row>
    <row r="10" spans="1:13" ht="14.4" customHeight="1" x14ac:dyDescent="0.3">
      <c r="A10" s="640" t="s">
        <v>2947</v>
      </c>
      <c r="B10" s="743">
        <v>61206</v>
      </c>
      <c r="C10" s="614">
        <v>1</v>
      </c>
      <c r="D10" s="743">
        <v>83492</v>
      </c>
      <c r="E10" s="614">
        <v>1.3641146292847106</v>
      </c>
      <c r="F10" s="743">
        <v>73734</v>
      </c>
      <c r="G10" s="630">
        <v>1.204685815116165</v>
      </c>
      <c r="H10" s="743">
        <v>3034.66</v>
      </c>
      <c r="I10" s="614">
        <v>1</v>
      </c>
      <c r="J10" s="743">
        <v>24929.940000000002</v>
      </c>
      <c r="K10" s="614">
        <v>8.2150685744037233</v>
      </c>
      <c r="L10" s="743">
        <v>4784.88</v>
      </c>
      <c r="M10" s="653">
        <v>1.5767433583992936</v>
      </c>
    </row>
    <row r="11" spans="1:13" ht="14.4" customHeight="1" x14ac:dyDescent="0.3">
      <c r="A11" s="640" t="s">
        <v>2948</v>
      </c>
      <c r="B11" s="743">
        <v>24046</v>
      </c>
      <c r="C11" s="614">
        <v>1</v>
      </c>
      <c r="D11" s="743">
        <v>14880</v>
      </c>
      <c r="E11" s="614">
        <v>0.61881393994843215</v>
      </c>
      <c r="F11" s="743">
        <v>9787</v>
      </c>
      <c r="G11" s="630">
        <v>0.40701156117441573</v>
      </c>
      <c r="H11" s="743"/>
      <c r="I11" s="614"/>
      <c r="J11" s="743"/>
      <c r="K11" s="614"/>
      <c r="L11" s="743"/>
      <c r="M11" s="653"/>
    </row>
    <row r="12" spans="1:13" ht="14.4" customHeight="1" x14ac:dyDescent="0.3">
      <c r="A12" s="640" t="s">
        <v>2949</v>
      </c>
      <c r="B12" s="743">
        <v>129068</v>
      </c>
      <c r="C12" s="614">
        <v>1</v>
      </c>
      <c r="D12" s="743">
        <v>192549</v>
      </c>
      <c r="E12" s="614">
        <v>1.4918415099017572</v>
      </c>
      <c r="F12" s="743">
        <v>140253</v>
      </c>
      <c r="G12" s="630">
        <v>1.0866597452505655</v>
      </c>
      <c r="H12" s="743"/>
      <c r="I12" s="614"/>
      <c r="J12" s="743"/>
      <c r="K12" s="614"/>
      <c r="L12" s="743"/>
      <c r="M12" s="653"/>
    </row>
    <row r="13" spans="1:13" ht="14.4" customHeight="1" x14ac:dyDescent="0.3">
      <c r="A13" s="640" t="s">
        <v>2950</v>
      </c>
      <c r="B13" s="743">
        <v>16486</v>
      </c>
      <c r="C13" s="614">
        <v>1</v>
      </c>
      <c r="D13" s="743">
        <v>29911</v>
      </c>
      <c r="E13" s="614">
        <v>1.8143273080189251</v>
      </c>
      <c r="F13" s="743">
        <v>27050</v>
      </c>
      <c r="G13" s="630">
        <v>1.6407861215576853</v>
      </c>
      <c r="H13" s="743"/>
      <c r="I13" s="614"/>
      <c r="J13" s="743"/>
      <c r="K13" s="614"/>
      <c r="L13" s="743"/>
      <c r="M13" s="653"/>
    </row>
    <row r="14" spans="1:13" ht="14.4" customHeight="1" thickBot="1" x14ac:dyDescent="0.35">
      <c r="A14" s="745" t="s">
        <v>2951</v>
      </c>
      <c r="B14" s="744"/>
      <c r="C14" s="620"/>
      <c r="D14" s="744">
        <v>21386</v>
      </c>
      <c r="E14" s="620"/>
      <c r="F14" s="744"/>
      <c r="G14" s="631"/>
      <c r="H14" s="744"/>
      <c r="I14" s="620"/>
      <c r="J14" s="744"/>
      <c r="K14" s="620"/>
      <c r="L14" s="744"/>
      <c r="M14" s="65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7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48" bestFit="1" customWidth="1"/>
    <col min="2" max="2" width="8.6640625" style="248" bestFit="1" customWidth="1"/>
    <col min="3" max="3" width="2.109375" style="248" bestFit="1" customWidth="1"/>
    <col min="4" max="4" width="8" style="248" bestFit="1" customWidth="1"/>
    <col min="5" max="5" width="52.88671875" style="248" bestFit="1" customWidth="1"/>
    <col min="6" max="7" width="11.109375" style="329" customWidth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8"/>
  </cols>
  <sheetData>
    <row r="1" spans="1:17" ht="18.600000000000001" customHeight="1" thickBot="1" x14ac:dyDescent="0.4">
      <c r="A1" s="479" t="s">
        <v>3286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</row>
    <row r="2" spans="1:17" ht="14.4" customHeight="1" thickBot="1" x14ac:dyDescent="0.35">
      <c r="A2" s="375" t="s">
        <v>320</v>
      </c>
      <c r="B2" s="218"/>
      <c r="C2" s="218"/>
      <c r="D2" s="218"/>
      <c r="E2" s="218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07" t="s">
        <v>153</v>
      </c>
      <c r="F3" s="205">
        <f t="shared" ref="F3:O3" si="0">SUBTOTAL(9,F6:F1048576)</f>
        <v>2156.48</v>
      </c>
      <c r="G3" s="209">
        <f t="shared" si="0"/>
        <v>314848.33</v>
      </c>
      <c r="H3" s="210"/>
      <c r="I3" s="210"/>
      <c r="J3" s="205">
        <f t="shared" si="0"/>
        <v>2477.2599999999998</v>
      </c>
      <c r="K3" s="209">
        <f t="shared" si="0"/>
        <v>442646.34</v>
      </c>
      <c r="L3" s="210"/>
      <c r="M3" s="210"/>
      <c r="N3" s="205">
        <f t="shared" si="0"/>
        <v>3736.24</v>
      </c>
      <c r="O3" s="209">
        <f t="shared" si="0"/>
        <v>435937.65</v>
      </c>
      <c r="P3" s="176">
        <f>IF(G3=0,"",O3/G3)</f>
        <v>1.3845957194691172</v>
      </c>
      <c r="Q3" s="207">
        <f>IF(N3=0,"",O3/N3)</f>
        <v>116.67817110249878</v>
      </c>
    </row>
    <row r="4" spans="1:17" ht="14.4" customHeight="1" x14ac:dyDescent="0.3">
      <c r="A4" s="543" t="s">
        <v>68</v>
      </c>
      <c r="B4" s="542" t="s">
        <v>113</v>
      </c>
      <c r="C4" s="543" t="s">
        <v>114</v>
      </c>
      <c r="D4" s="551" t="s">
        <v>84</v>
      </c>
      <c r="E4" s="544" t="s">
        <v>11</v>
      </c>
      <c r="F4" s="549">
        <v>2013</v>
      </c>
      <c r="G4" s="550"/>
      <c r="H4" s="208"/>
      <c r="I4" s="208"/>
      <c r="J4" s="549">
        <v>2014</v>
      </c>
      <c r="K4" s="550"/>
      <c r="L4" s="208"/>
      <c r="M4" s="208"/>
      <c r="N4" s="549">
        <v>2015</v>
      </c>
      <c r="O4" s="550"/>
      <c r="P4" s="552" t="s">
        <v>2</v>
      </c>
      <c r="Q4" s="541" t="s">
        <v>116</v>
      </c>
    </row>
    <row r="5" spans="1:17" ht="14.4" customHeight="1" thickBot="1" x14ac:dyDescent="0.35">
      <c r="A5" s="751"/>
      <c r="B5" s="750"/>
      <c r="C5" s="751"/>
      <c r="D5" s="759"/>
      <c r="E5" s="753"/>
      <c r="F5" s="760" t="s">
        <v>85</v>
      </c>
      <c r="G5" s="761" t="s">
        <v>14</v>
      </c>
      <c r="H5" s="762"/>
      <c r="I5" s="762"/>
      <c r="J5" s="760" t="s">
        <v>85</v>
      </c>
      <c r="K5" s="761" t="s">
        <v>14</v>
      </c>
      <c r="L5" s="762"/>
      <c r="M5" s="762"/>
      <c r="N5" s="760" t="s">
        <v>85</v>
      </c>
      <c r="O5" s="761" t="s">
        <v>14</v>
      </c>
      <c r="P5" s="763"/>
      <c r="Q5" s="758"/>
    </row>
    <row r="6" spans="1:17" ht="14.4" customHeight="1" x14ac:dyDescent="0.3">
      <c r="A6" s="688" t="s">
        <v>2952</v>
      </c>
      <c r="B6" s="689" t="s">
        <v>2953</v>
      </c>
      <c r="C6" s="689" t="s">
        <v>2380</v>
      </c>
      <c r="D6" s="689" t="s">
        <v>2954</v>
      </c>
      <c r="E6" s="689" t="s">
        <v>2955</v>
      </c>
      <c r="F6" s="223"/>
      <c r="G6" s="223"/>
      <c r="H6" s="223"/>
      <c r="I6" s="223"/>
      <c r="J6" s="223"/>
      <c r="K6" s="223"/>
      <c r="L6" s="223"/>
      <c r="M6" s="223"/>
      <c r="N6" s="223">
        <v>2</v>
      </c>
      <c r="O6" s="223">
        <v>1352</v>
      </c>
      <c r="P6" s="694"/>
      <c r="Q6" s="702">
        <v>676</v>
      </c>
    </row>
    <row r="7" spans="1:17" ht="14.4" customHeight="1" x14ac:dyDescent="0.3">
      <c r="A7" s="613" t="s">
        <v>2952</v>
      </c>
      <c r="B7" s="614" t="s">
        <v>2953</v>
      </c>
      <c r="C7" s="614" t="s">
        <v>2380</v>
      </c>
      <c r="D7" s="614" t="s">
        <v>2956</v>
      </c>
      <c r="E7" s="614" t="s">
        <v>2957</v>
      </c>
      <c r="F7" s="617"/>
      <c r="G7" s="617"/>
      <c r="H7" s="617"/>
      <c r="I7" s="617"/>
      <c r="J7" s="617"/>
      <c r="K7" s="617"/>
      <c r="L7" s="617"/>
      <c r="M7" s="617"/>
      <c r="N7" s="617">
        <v>2</v>
      </c>
      <c r="O7" s="617">
        <v>484</v>
      </c>
      <c r="P7" s="630"/>
      <c r="Q7" s="618">
        <v>242</v>
      </c>
    </row>
    <row r="8" spans="1:17" ht="14.4" customHeight="1" x14ac:dyDescent="0.3">
      <c r="A8" s="613" t="s">
        <v>2952</v>
      </c>
      <c r="B8" s="614" t="s">
        <v>2953</v>
      </c>
      <c r="C8" s="614" t="s">
        <v>2380</v>
      </c>
      <c r="D8" s="614" t="s">
        <v>2958</v>
      </c>
      <c r="E8" s="614" t="s">
        <v>2959</v>
      </c>
      <c r="F8" s="617"/>
      <c r="G8" s="617"/>
      <c r="H8" s="617"/>
      <c r="I8" s="617"/>
      <c r="J8" s="617"/>
      <c r="K8" s="617"/>
      <c r="L8" s="617"/>
      <c r="M8" s="617"/>
      <c r="N8" s="617">
        <v>20</v>
      </c>
      <c r="O8" s="617">
        <v>1620</v>
      </c>
      <c r="P8" s="630"/>
      <c r="Q8" s="618">
        <v>81</v>
      </c>
    </row>
    <row r="9" spans="1:17" ht="14.4" customHeight="1" x14ac:dyDescent="0.3">
      <c r="A9" s="613" t="s">
        <v>2952</v>
      </c>
      <c r="B9" s="614" t="s">
        <v>2953</v>
      </c>
      <c r="C9" s="614" t="s">
        <v>2380</v>
      </c>
      <c r="D9" s="614" t="s">
        <v>2960</v>
      </c>
      <c r="E9" s="614" t="s">
        <v>2961</v>
      </c>
      <c r="F9" s="617"/>
      <c r="G9" s="617"/>
      <c r="H9" s="617"/>
      <c r="I9" s="617"/>
      <c r="J9" s="617"/>
      <c r="K9" s="617"/>
      <c r="L9" s="617"/>
      <c r="M9" s="617"/>
      <c r="N9" s="617">
        <v>2</v>
      </c>
      <c r="O9" s="617">
        <v>332</v>
      </c>
      <c r="P9" s="630"/>
      <c r="Q9" s="618">
        <v>166</v>
      </c>
    </row>
    <row r="10" spans="1:17" ht="14.4" customHeight="1" x14ac:dyDescent="0.3">
      <c r="A10" s="613" t="s">
        <v>2952</v>
      </c>
      <c r="B10" s="614" t="s">
        <v>2953</v>
      </c>
      <c r="C10" s="614" t="s">
        <v>2380</v>
      </c>
      <c r="D10" s="614" t="s">
        <v>2962</v>
      </c>
      <c r="E10" s="614" t="s">
        <v>2963</v>
      </c>
      <c r="F10" s="617"/>
      <c r="G10" s="617"/>
      <c r="H10" s="617"/>
      <c r="I10" s="617"/>
      <c r="J10" s="617"/>
      <c r="K10" s="617"/>
      <c r="L10" s="617"/>
      <c r="M10" s="617"/>
      <c r="N10" s="617">
        <v>1</v>
      </c>
      <c r="O10" s="617">
        <v>170</v>
      </c>
      <c r="P10" s="630"/>
      <c r="Q10" s="618">
        <v>170</v>
      </c>
    </row>
    <row r="11" spans="1:17" ht="14.4" customHeight="1" x14ac:dyDescent="0.3">
      <c r="A11" s="613" t="s">
        <v>2952</v>
      </c>
      <c r="B11" s="614" t="s">
        <v>2953</v>
      </c>
      <c r="C11" s="614" t="s">
        <v>2380</v>
      </c>
      <c r="D11" s="614" t="s">
        <v>2964</v>
      </c>
      <c r="E11" s="614" t="s">
        <v>2965</v>
      </c>
      <c r="F11" s="617"/>
      <c r="G11" s="617"/>
      <c r="H11" s="617"/>
      <c r="I11" s="617"/>
      <c r="J11" s="617"/>
      <c r="K11" s="617"/>
      <c r="L11" s="617"/>
      <c r="M11" s="617"/>
      <c r="N11" s="617">
        <v>4</v>
      </c>
      <c r="O11" s="617">
        <v>988</v>
      </c>
      <c r="P11" s="630"/>
      <c r="Q11" s="618">
        <v>247</v>
      </c>
    </row>
    <row r="12" spans="1:17" ht="14.4" customHeight="1" x14ac:dyDescent="0.3">
      <c r="A12" s="613" t="s">
        <v>2966</v>
      </c>
      <c r="B12" s="614" t="s">
        <v>2967</v>
      </c>
      <c r="C12" s="614" t="s">
        <v>2470</v>
      </c>
      <c r="D12" s="614" t="s">
        <v>2968</v>
      </c>
      <c r="E12" s="614" t="s">
        <v>2969</v>
      </c>
      <c r="F12" s="617"/>
      <c r="G12" s="617"/>
      <c r="H12" s="617"/>
      <c r="I12" s="617"/>
      <c r="J12" s="617"/>
      <c r="K12" s="617"/>
      <c r="L12" s="617"/>
      <c r="M12" s="617"/>
      <c r="N12" s="617">
        <v>0.01</v>
      </c>
      <c r="O12" s="617">
        <v>88.54</v>
      </c>
      <c r="P12" s="630"/>
      <c r="Q12" s="618">
        <v>8854</v>
      </c>
    </row>
    <row r="13" spans="1:17" ht="14.4" customHeight="1" x14ac:dyDescent="0.3">
      <c r="A13" s="613" t="s">
        <v>2966</v>
      </c>
      <c r="B13" s="614" t="s">
        <v>2967</v>
      </c>
      <c r="C13" s="614" t="s">
        <v>2470</v>
      </c>
      <c r="D13" s="614" t="s">
        <v>2970</v>
      </c>
      <c r="E13" s="614"/>
      <c r="F13" s="617">
        <v>0.2</v>
      </c>
      <c r="G13" s="617">
        <v>218.43</v>
      </c>
      <c r="H13" s="617">
        <v>1</v>
      </c>
      <c r="I13" s="617">
        <v>1092.1499999999999</v>
      </c>
      <c r="J13" s="617"/>
      <c r="K13" s="617"/>
      <c r="L13" s="617"/>
      <c r="M13" s="617"/>
      <c r="N13" s="617"/>
      <c r="O13" s="617"/>
      <c r="P13" s="630"/>
      <c r="Q13" s="618"/>
    </row>
    <row r="14" spans="1:17" ht="14.4" customHeight="1" x14ac:dyDescent="0.3">
      <c r="A14" s="613" t="s">
        <v>2966</v>
      </c>
      <c r="B14" s="614" t="s">
        <v>2967</v>
      </c>
      <c r="C14" s="614" t="s">
        <v>2470</v>
      </c>
      <c r="D14" s="614" t="s">
        <v>2971</v>
      </c>
      <c r="E14" s="614" t="s">
        <v>2969</v>
      </c>
      <c r="F14" s="617"/>
      <c r="G14" s="617"/>
      <c r="H14" s="617"/>
      <c r="I14" s="617"/>
      <c r="J14" s="617">
        <v>0.45</v>
      </c>
      <c r="K14" s="617">
        <v>982.94</v>
      </c>
      <c r="L14" s="617"/>
      <c r="M14" s="617">
        <v>2184.3111111111111</v>
      </c>
      <c r="N14" s="617">
        <v>2.1500000000000004</v>
      </c>
      <c r="O14" s="617">
        <v>3807.22</v>
      </c>
      <c r="P14" s="630"/>
      <c r="Q14" s="618">
        <v>1770.7999999999997</v>
      </c>
    </row>
    <row r="15" spans="1:17" ht="14.4" customHeight="1" x14ac:dyDescent="0.3">
      <c r="A15" s="613" t="s">
        <v>2966</v>
      </c>
      <c r="B15" s="614" t="s">
        <v>2967</v>
      </c>
      <c r="C15" s="614" t="s">
        <v>2470</v>
      </c>
      <c r="D15" s="614" t="s">
        <v>2972</v>
      </c>
      <c r="E15" s="614" t="s">
        <v>2973</v>
      </c>
      <c r="F15" s="617"/>
      <c r="G15" s="617"/>
      <c r="H15" s="617"/>
      <c r="I15" s="617"/>
      <c r="J15" s="617">
        <v>0.05</v>
      </c>
      <c r="K15" s="617">
        <v>47.24</v>
      </c>
      <c r="L15" s="617"/>
      <c r="M15" s="617">
        <v>944.8</v>
      </c>
      <c r="N15" s="617">
        <v>0.2</v>
      </c>
      <c r="O15" s="617">
        <v>180.76</v>
      </c>
      <c r="P15" s="630"/>
      <c r="Q15" s="618">
        <v>903.8</v>
      </c>
    </row>
    <row r="16" spans="1:17" ht="14.4" customHeight="1" x14ac:dyDescent="0.3">
      <c r="A16" s="613" t="s">
        <v>2966</v>
      </c>
      <c r="B16" s="614" t="s">
        <v>2967</v>
      </c>
      <c r="C16" s="614" t="s">
        <v>2559</v>
      </c>
      <c r="D16" s="614" t="s">
        <v>2974</v>
      </c>
      <c r="E16" s="614" t="s">
        <v>2975</v>
      </c>
      <c r="F16" s="617">
        <v>412</v>
      </c>
      <c r="G16" s="617">
        <v>13707.24</v>
      </c>
      <c r="H16" s="617">
        <v>1</v>
      </c>
      <c r="I16" s="617">
        <v>33.269999999999996</v>
      </c>
      <c r="J16" s="617">
        <v>423</v>
      </c>
      <c r="K16" s="617">
        <v>14085.9</v>
      </c>
      <c r="L16" s="617">
        <v>1.0276248172498621</v>
      </c>
      <c r="M16" s="617">
        <v>33.299999999999997</v>
      </c>
      <c r="N16" s="617">
        <v>1963</v>
      </c>
      <c r="O16" s="617">
        <v>65858.649999999994</v>
      </c>
      <c r="P16" s="630">
        <v>4.8046616240760356</v>
      </c>
      <c r="Q16" s="618">
        <v>33.549999999999997</v>
      </c>
    </row>
    <row r="17" spans="1:17" ht="14.4" customHeight="1" x14ac:dyDescent="0.3">
      <c r="A17" s="613" t="s">
        <v>2966</v>
      </c>
      <c r="B17" s="614" t="s">
        <v>2967</v>
      </c>
      <c r="C17" s="614" t="s">
        <v>2566</v>
      </c>
      <c r="D17" s="614" t="s">
        <v>2976</v>
      </c>
      <c r="E17" s="614" t="s">
        <v>2977</v>
      </c>
      <c r="F17" s="617"/>
      <c r="G17" s="617"/>
      <c r="H17" s="617"/>
      <c r="I17" s="617"/>
      <c r="J17" s="617">
        <v>1</v>
      </c>
      <c r="K17" s="617">
        <v>884.32</v>
      </c>
      <c r="L17" s="617"/>
      <c r="M17" s="617">
        <v>884.32</v>
      </c>
      <c r="N17" s="617">
        <v>5</v>
      </c>
      <c r="O17" s="617">
        <v>4421.6000000000004</v>
      </c>
      <c r="P17" s="630"/>
      <c r="Q17" s="618">
        <v>884.32</v>
      </c>
    </row>
    <row r="18" spans="1:17" ht="14.4" customHeight="1" x14ac:dyDescent="0.3">
      <c r="A18" s="613" t="s">
        <v>2966</v>
      </c>
      <c r="B18" s="614" t="s">
        <v>2967</v>
      </c>
      <c r="C18" s="614" t="s">
        <v>2380</v>
      </c>
      <c r="D18" s="614" t="s">
        <v>2978</v>
      </c>
      <c r="E18" s="614" t="s">
        <v>2979</v>
      </c>
      <c r="F18" s="617">
        <v>1</v>
      </c>
      <c r="G18" s="617">
        <v>14328</v>
      </c>
      <c r="H18" s="617">
        <v>1</v>
      </c>
      <c r="I18" s="617">
        <v>14328</v>
      </c>
      <c r="J18" s="617">
        <v>1</v>
      </c>
      <c r="K18" s="617">
        <v>14336</v>
      </c>
      <c r="L18" s="617">
        <v>1.0005583472920156</v>
      </c>
      <c r="M18" s="617">
        <v>14336</v>
      </c>
      <c r="N18" s="617">
        <v>5</v>
      </c>
      <c r="O18" s="617">
        <v>71700</v>
      </c>
      <c r="P18" s="630">
        <v>5.0041876046901175</v>
      </c>
      <c r="Q18" s="618">
        <v>14340</v>
      </c>
    </row>
    <row r="19" spans="1:17" ht="14.4" customHeight="1" x14ac:dyDescent="0.3">
      <c r="A19" s="613" t="s">
        <v>2980</v>
      </c>
      <c r="B19" s="614" t="s">
        <v>2981</v>
      </c>
      <c r="C19" s="614" t="s">
        <v>2380</v>
      </c>
      <c r="D19" s="614" t="s">
        <v>2982</v>
      </c>
      <c r="E19" s="614" t="s">
        <v>2983</v>
      </c>
      <c r="F19" s="617">
        <v>1</v>
      </c>
      <c r="G19" s="617">
        <v>9337</v>
      </c>
      <c r="H19" s="617">
        <v>1</v>
      </c>
      <c r="I19" s="617">
        <v>9337</v>
      </c>
      <c r="J19" s="617"/>
      <c r="K19" s="617"/>
      <c r="L19" s="617"/>
      <c r="M19" s="617"/>
      <c r="N19" s="617"/>
      <c r="O19" s="617"/>
      <c r="P19" s="630"/>
      <c r="Q19" s="618"/>
    </row>
    <row r="20" spans="1:17" ht="14.4" customHeight="1" x14ac:dyDescent="0.3">
      <c r="A20" s="613" t="s">
        <v>2980</v>
      </c>
      <c r="B20" s="614" t="s">
        <v>2984</v>
      </c>
      <c r="C20" s="614" t="s">
        <v>2380</v>
      </c>
      <c r="D20" s="614" t="s">
        <v>2985</v>
      </c>
      <c r="E20" s="614" t="s">
        <v>2986</v>
      </c>
      <c r="F20" s="617">
        <v>1</v>
      </c>
      <c r="G20" s="617">
        <v>350</v>
      </c>
      <c r="H20" s="617">
        <v>1</v>
      </c>
      <c r="I20" s="617">
        <v>350</v>
      </c>
      <c r="J20" s="617"/>
      <c r="K20" s="617"/>
      <c r="L20" s="617"/>
      <c r="M20" s="617"/>
      <c r="N20" s="617"/>
      <c r="O20" s="617"/>
      <c r="P20" s="630"/>
      <c r="Q20" s="618"/>
    </row>
    <row r="21" spans="1:17" ht="14.4" customHeight="1" x14ac:dyDescent="0.3">
      <c r="A21" s="613" t="s">
        <v>2980</v>
      </c>
      <c r="B21" s="614" t="s">
        <v>2984</v>
      </c>
      <c r="C21" s="614" t="s">
        <v>2380</v>
      </c>
      <c r="D21" s="614" t="s">
        <v>2987</v>
      </c>
      <c r="E21" s="614" t="s">
        <v>2988</v>
      </c>
      <c r="F21" s="617">
        <v>75</v>
      </c>
      <c r="G21" s="617">
        <v>4875</v>
      </c>
      <c r="H21" s="617">
        <v>1</v>
      </c>
      <c r="I21" s="617">
        <v>65</v>
      </c>
      <c r="J21" s="617">
        <v>105</v>
      </c>
      <c r="K21" s="617">
        <v>6825</v>
      </c>
      <c r="L21" s="617">
        <v>1.4</v>
      </c>
      <c r="M21" s="617">
        <v>65</v>
      </c>
      <c r="N21" s="617">
        <v>33</v>
      </c>
      <c r="O21" s="617">
        <v>2145</v>
      </c>
      <c r="P21" s="630">
        <v>0.44</v>
      </c>
      <c r="Q21" s="618">
        <v>65</v>
      </c>
    </row>
    <row r="22" spans="1:17" ht="14.4" customHeight="1" x14ac:dyDescent="0.3">
      <c r="A22" s="613" t="s">
        <v>2980</v>
      </c>
      <c r="B22" s="614" t="s">
        <v>2984</v>
      </c>
      <c r="C22" s="614" t="s">
        <v>2380</v>
      </c>
      <c r="D22" s="614" t="s">
        <v>2989</v>
      </c>
      <c r="E22" s="614" t="s">
        <v>2990</v>
      </c>
      <c r="F22" s="617">
        <v>6</v>
      </c>
      <c r="G22" s="617">
        <v>3540</v>
      </c>
      <c r="H22" s="617">
        <v>1</v>
      </c>
      <c r="I22" s="617">
        <v>590</v>
      </c>
      <c r="J22" s="617">
        <v>3</v>
      </c>
      <c r="K22" s="617">
        <v>1772</v>
      </c>
      <c r="L22" s="617">
        <v>0.50056497175141246</v>
      </c>
      <c r="M22" s="617">
        <v>590.66666666666663</v>
      </c>
      <c r="N22" s="617"/>
      <c r="O22" s="617"/>
      <c r="P22" s="630"/>
      <c r="Q22" s="618"/>
    </row>
    <row r="23" spans="1:17" ht="14.4" customHeight="1" x14ac:dyDescent="0.3">
      <c r="A23" s="613" t="s">
        <v>2980</v>
      </c>
      <c r="B23" s="614" t="s">
        <v>2984</v>
      </c>
      <c r="C23" s="614" t="s">
        <v>2380</v>
      </c>
      <c r="D23" s="614" t="s">
        <v>2991</v>
      </c>
      <c r="E23" s="614" t="s">
        <v>2992</v>
      </c>
      <c r="F23" s="617">
        <v>2</v>
      </c>
      <c r="G23" s="617">
        <v>46</v>
      </c>
      <c r="H23" s="617">
        <v>1</v>
      </c>
      <c r="I23" s="617">
        <v>23</v>
      </c>
      <c r="J23" s="617"/>
      <c r="K23" s="617"/>
      <c r="L23" s="617"/>
      <c r="M23" s="617"/>
      <c r="N23" s="617">
        <v>1</v>
      </c>
      <c r="O23" s="617">
        <v>24</v>
      </c>
      <c r="P23" s="630">
        <v>0.52173913043478259</v>
      </c>
      <c r="Q23" s="618">
        <v>24</v>
      </c>
    </row>
    <row r="24" spans="1:17" ht="14.4" customHeight="1" x14ac:dyDescent="0.3">
      <c r="A24" s="613" t="s">
        <v>2980</v>
      </c>
      <c r="B24" s="614" t="s">
        <v>2984</v>
      </c>
      <c r="C24" s="614" t="s">
        <v>2380</v>
      </c>
      <c r="D24" s="614" t="s">
        <v>2993</v>
      </c>
      <c r="E24" s="614" t="s">
        <v>2994</v>
      </c>
      <c r="F24" s="617">
        <v>1</v>
      </c>
      <c r="G24" s="617">
        <v>54</v>
      </c>
      <c r="H24" s="617">
        <v>1</v>
      </c>
      <c r="I24" s="617">
        <v>54</v>
      </c>
      <c r="J24" s="617">
        <v>3</v>
      </c>
      <c r="K24" s="617">
        <v>162</v>
      </c>
      <c r="L24" s="617">
        <v>3</v>
      </c>
      <c r="M24" s="617">
        <v>54</v>
      </c>
      <c r="N24" s="617"/>
      <c r="O24" s="617"/>
      <c r="P24" s="630"/>
      <c r="Q24" s="618"/>
    </row>
    <row r="25" spans="1:17" ht="14.4" customHeight="1" x14ac:dyDescent="0.3">
      <c r="A25" s="613" t="s">
        <v>2980</v>
      </c>
      <c r="B25" s="614" t="s">
        <v>2984</v>
      </c>
      <c r="C25" s="614" t="s">
        <v>2380</v>
      </c>
      <c r="D25" s="614" t="s">
        <v>2995</v>
      </c>
      <c r="E25" s="614" t="s">
        <v>2996</v>
      </c>
      <c r="F25" s="617">
        <v>87</v>
      </c>
      <c r="G25" s="617">
        <v>6699</v>
      </c>
      <c r="H25" s="617">
        <v>1</v>
      </c>
      <c r="I25" s="617">
        <v>77</v>
      </c>
      <c r="J25" s="617">
        <v>104</v>
      </c>
      <c r="K25" s="617">
        <v>8008</v>
      </c>
      <c r="L25" s="617">
        <v>1.1954022988505748</v>
      </c>
      <c r="M25" s="617">
        <v>77</v>
      </c>
      <c r="N25" s="617">
        <v>86</v>
      </c>
      <c r="O25" s="617">
        <v>6622</v>
      </c>
      <c r="P25" s="630">
        <v>0.9885057471264368</v>
      </c>
      <c r="Q25" s="618">
        <v>77</v>
      </c>
    </row>
    <row r="26" spans="1:17" ht="14.4" customHeight="1" x14ac:dyDescent="0.3">
      <c r="A26" s="613" t="s">
        <v>2980</v>
      </c>
      <c r="B26" s="614" t="s">
        <v>2984</v>
      </c>
      <c r="C26" s="614" t="s">
        <v>2380</v>
      </c>
      <c r="D26" s="614" t="s">
        <v>2997</v>
      </c>
      <c r="E26" s="614" t="s">
        <v>2998</v>
      </c>
      <c r="F26" s="617">
        <v>6</v>
      </c>
      <c r="G26" s="617">
        <v>132</v>
      </c>
      <c r="H26" s="617">
        <v>1</v>
      </c>
      <c r="I26" s="617">
        <v>22</v>
      </c>
      <c r="J26" s="617">
        <v>8</v>
      </c>
      <c r="K26" s="617">
        <v>178</v>
      </c>
      <c r="L26" s="617">
        <v>1.3484848484848484</v>
      </c>
      <c r="M26" s="617">
        <v>22.25</v>
      </c>
      <c r="N26" s="617">
        <v>4</v>
      </c>
      <c r="O26" s="617">
        <v>92</v>
      </c>
      <c r="P26" s="630">
        <v>0.69696969696969702</v>
      </c>
      <c r="Q26" s="618">
        <v>23</v>
      </c>
    </row>
    <row r="27" spans="1:17" ht="14.4" customHeight="1" x14ac:dyDescent="0.3">
      <c r="A27" s="613" t="s">
        <v>2980</v>
      </c>
      <c r="B27" s="614" t="s">
        <v>2984</v>
      </c>
      <c r="C27" s="614" t="s">
        <v>2380</v>
      </c>
      <c r="D27" s="614" t="s">
        <v>2999</v>
      </c>
      <c r="E27" s="614" t="s">
        <v>3000</v>
      </c>
      <c r="F27" s="617">
        <v>1</v>
      </c>
      <c r="G27" s="617">
        <v>209</v>
      </c>
      <c r="H27" s="617">
        <v>1</v>
      </c>
      <c r="I27" s="617">
        <v>209</v>
      </c>
      <c r="J27" s="617"/>
      <c r="K27" s="617"/>
      <c r="L27" s="617"/>
      <c r="M27" s="617"/>
      <c r="N27" s="617"/>
      <c r="O27" s="617"/>
      <c r="P27" s="630"/>
      <c r="Q27" s="618"/>
    </row>
    <row r="28" spans="1:17" ht="14.4" customHeight="1" x14ac:dyDescent="0.3">
      <c r="A28" s="613" t="s">
        <v>2980</v>
      </c>
      <c r="B28" s="614" t="s">
        <v>2984</v>
      </c>
      <c r="C28" s="614" t="s">
        <v>2380</v>
      </c>
      <c r="D28" s="614" t="s">
        <v>3001</v>
      </c>
      <c r="E28" s="614" t="s">
        <v>3002</v>
      </c>
      <c r="F28" s="617">
        <v>4</v>
      </c>
      <c r="G28" s="617">
        <v>96</v>
      </c>
      <c r="H28" s="617">
        <v>1</v>
      </c>
      <c r="I28" s="617">
        <v>24</v>
      </c>
      <c r="J28" s="617">
        <v>8</v>
      </c>
      <c r="K28" s="617">
        <v>192</v>
      </c>
      <c r="L28" s="617">
        <v>2</v>
      </c>
      <c r="M28" s="617">
        <v>24</v>
      </c>
      <c r="N28" s="617">
        <v>3</v>
      </c>
      <c r="O28" s="617">
        <v>72</v>
      </c>
      <c r="P28" s="630">
        <v>0.75</v>
      </c>
      <c r="Q28" s="618">
        <v>24</v>
      </c>
    </row>
    <row r="29" spans="1:17" ht="14.4" customHeight="1" x14ac:dyDescent="0.3">
      <c r="A29" s="613" t="s">
        <v>2980</v>
      </c>
      <c r="B29" s="614" t="s">
        <v>2984</v>
      </c>
      <c r="C29" s="614" t="s">
        <v>2380</v>
      </c>
      <c r="D29" s="614" t="s">
        <v>3003</v>
      </c>
      <c r="E29" s="614" t="s">
        <v>3004</v>
      </c>
      <c r="F29" s="617">
        <v>5</v>
      </c>
      <c r="G29" s="617">
        <v>900</v>
      </c>
      <c r="H29" s="617">
        <v>1</v>
      </c>
      <c r="I29" s="617">
        <v>180</v>
      </c>
      <c r="J29" s="617"/>
      <c r="K29" s="617"/>
      <c r="L29" s="617"/>
      <c r="M29" s="617"/>
      <c r="N29" s="617">
        <v>1</v>
      </c>
      <c r="O29" s="617">
        <v>180</v>
      </c>
      <c r="P29" s="630">
        <v>0.2</v>
      </c>
      <c r="Q29" s="618">
        <v>180</v>
      </c>
    </row>
    <row r="30" spans="1:17" ht="14.4" customHeight="1" x14ac:dyDescent="0.3">
      <c r="A30" s="613" t="s">
        <v>2980</v>
      </c>
      <c r="B30" s="614" t="s">
        <v>2984</v>
      </c>
      <c r="C30" s="614" t="s">
        <v>2380</v>
      </c>
      <c r="D30" s="614" t="s">
        <v>3005</v>
      </c>
      <c r="E30" s="614" t="s">
        <v>3006</v>
      </c>
      <c r="F30" s="617">
        <v>5</v>
      </c>
      <c r="G30" s="617">
        <v>1080</v>
      </c>
      <c r="H30" s="617">
        <v>1</v>
      </c>
      <c r="I30" s="617">
        <v>216</v>
      </c>
      <c r="J30" s="617">
        <v>3</v>
      </c>
      <c r="K30" s="617">
        <v>648</v>
      </c>
      <c r="L30" s="617">
        <v>0.6</v>
      </c>
      <c r="M30" s="617">
        <v>216</v>
      </c>
      <c r="N30" s="617">
        <v>1</v>
      </c>
      <c r="O30" s="617">
        <v>216</v>
      </c>
      <c r="P30" s="630">
        <v>0.2</v>
      </c>
      <c r="Q30" s="618">
        <v>216</v>
      </c>
    </row>
    <row r="31" spans="1:17" ht="14.4" customHeight="1" x14ac:dyDescent="0.3">
      <c r="A31" s="613" t="s">
        <v>2980</v>
      </c>
      <c r="B31" s="614" t="s">
        <v>2984</v>
      </c>
      <c r="C31" s="614" t="s">
        <v>2380</v>
      </c>
      <c r="D31" s="614" t="s">
        <v>3007</v>
      </c>
      <c r="E31" s="614" t="s">
        <v>3008</v>
      </c>
      <c r="F31" s="617">
        <v>6</v>
      </c>
      <c r="G31" s="617">
        <v>3540</v>
      </c>
      <c r="H31" s="617">
        <v>1</v>
      </c>
      <c r="I31" s="617">
        <v>590</v>
      </c>
      <c r="J31" s="617"/>
      <c r="K31" s="617"/>
      <c r="L31" s="617"/>
      <c r="M31" s="617"/>
      <c r="N31" s="617">
        <v>3</v>
      </c>
      <c r="O31" s="617">
        <v>1773</v>
      </c>
      <c r="P31" s="630">
        <v>0.50084745762711869</v>
      </c>
      <c r="Q31" s="618">
        <v>591</v>
      </c>
    </row>
    <row r="32" spans="1:17" ht="14.4" customHeight="1" x14ac:dyDescent="0.3">
      <c r="A32" s="613" t="s">
        <v>2980</v>
      </c>
      <c r="B32" s="614" t="s">
        <v>2984</v>
      </c>
      <c r="C32" s="614" t="s">
        <v>2380</v>
      </c>
      <c r="D32" s="614" t="s">
        <v>3009</v>
      </c>
      <c r="E32" s="614" t="s">
        <v>3010</v>
      </c>
      <c r="F32" s="617"/>
      <c r="G32" s="617"/>
      <c r="H32" s="617"/>
      <c r="I32" s="617"/>
      <c r="J32" s="617">
        <v>3</v>
      </c>
      <c r="K32" s="617">
        <v>1220</v>
      </c>
      <c r="L32" s="617"/>
      <c r="M32" s="617">
        <v>406.66666666666669</v>
      </c>
      <c r="N32" s="617"/>
      <c r="O32" s="617"/>
      <c r="P32" s="630"/>
      <c r="Q32" s="618"/>
    </row>
    <row r="33" spans="1:17" ht="14.4" customHeight="1" x14ac:dyDescent="0.3">
      <c r="A33" s="613" t="s">
        <v>2980</v>
      </c>
      <c r="B33" s="614" t="s">
        <v>2984</v>
      </c>
      <c r="C33" s="614" t="s">
        <v>2380</v>
      </c>
      <c r="D33" s="614" t="s">
        <v>3011</v>
      </c>
      <c r="E33" s="614" t="s">
        <v>3012</v>
      </c>
      <c r="F33" s="617"/>
      <c r="G33" s="617"/>
      <c r="H33" s="617"/>
      <c r="I33" s="617"/>
      <c r="J33" s="617">
        <v>3</v>
      </c>
      <c r="K33" s="617">
        <v>1760</v>
      </c>
      <c r="L33" s="617"/>
      <c r="M33" s="617">
        <v>586.66666666666663</v>
      </c>
      <c r="N33" s="617"/>
      <c r="O33" s="617"/>
      <c r="P33" s="630"/>
      <c r="Q33" s="618"/>
    </row>
    <row r="34" spans="1:17" ht="14.4" customHeight="1" x14ac:dyDescent="0.3">
      <c r="A34" s="613" t="s">
        <v>3013</v>
      </c>
      <c r="B34" s="614" t="s">
        <v>3014</v>
      </c>
      <c r="C34" s="614" t="s">
        <v>2380</v>
      </c>
      <c r="D34" s="614" t="s">
        <v>3015</v>
      </c>
      <c r="E34" s="614" t="s">
        <v>3016</v>
      </c>
      <c r="F34" s="617">
        <v>40</v>
      </c>
      <c r="G34" s="617">
        <v>1080</v>
      </c>
      <c r="H34" s="617">
        <v>1</v>
      </c>
      <c r="I34" s="617">
        <v>27</v>
      </c>
      <c r="J34" s="617">
        <v>39</v>
      </c>
      <c r="K34" s="617">
        <v>1053</v>
      </c>
      <c r="L34" s="617">
        <v>0.97499999999999998</v>
      </c>
      <c r="M34" s="617">
        <v>27</v>
      </c>
      <c r="N34" s="617">
        <v>37</v>
      </c>
      <c r="O34" s="617">
        <v>999</v>
      </c>
      <c r="P34" s="630">
        <v>0.92500000000000004</v>
      </c>
      <c r="Q34" s="618">
        <v>27</v>
      </c>
    </row>
    <row r="35" spans="1:17" ht="14.4" customHeight="1" x14ac:dyDescent="0.3">
      <c r="A35" s="613" t="s">
        <v>3013</v>
      </c>
      <c r="B35" s="614" t="s">
        <v>3014</v>
      </c>
      <c r="C35" s="614" t="s">
        <v>2380</v>
      </c>
      <c r="D35" s="614" t="s">
        <v>3017</v>
      </c>
      <c r="E35" s="614" t="s">
        <v>3018</v>
      </c>
      <c r="F35" s="617">
        <v>6</v>
      </c>
      <c r="G35" s="617">
        <v>324</v>
      </c>
      <c r="H35" s="617">
        <v>1</v>
      </c>
      <c r="I35" s="617">
        <v>54</v>
      </c>
      <c r="J35" s="617">
        <v>2</v>
      </c>
      <c r="K35" s="617">
        <v>108</v>
      </c>
      <c r="L35" s="617">
        <v>0.33333333333333331</v>
      </c>
      <c r="M35" s="617">
        <v>54</v>
      </c>
      <c r="N35" s="617">
        <v>3</v>
      </c>
      <c r="O35" s="617">
        <v>162</v>
      </c>
      <c r="P35" s="630">
        <v>0.5</v>
      </c>
      <c r="Q35" s="618">
        <v>54</v>
      </c>
    </row>
    <row r="36" spans="1:17" ht="14.4" customHeight="1" x14ac:dyDescent="0.3">
      <c r="A36" s="613" t="s">
        <v>3013</v>
      </c>
      <c r="B36" s="614" t="s">
        <v>3014</v>
      </c>
      <c r="C36" s="614" t="s">
        <v>2380</v>
      </c>
      <c r="D36" s="614" t="s">
        <v>3019</v>
      </c>
      <c r="E36" s="614" t="s">
        <v>3020</v>
      </c>
      <c r="F36" s="617">
        <v>35</v>
      </c>
      <c r="G36" s="617">
        <v>840</v>
      </c>
      <c r="H36" s="617">
        <v>1</v>
      </c>
      <c r="I36" s="617">
        <v>24</v>
      </c>
      <c r="J36" s="617">
        <v>40</v>
      </c>
      <c r="K36" s="617">
        <v>960</v>
      </c>
      <c r="L36" s="617">
        <v>1.1428571428571428</v>
      </c>
      <c r="M36" s="617">
        <v>24</v>
      </c>
      <c r="N36" s="617">
        <v>36</v>
      </c>
      <c r="O36" s="617">
        <v>864</v>
      </c>
      <c r="P36" s="630">
        <v>1.0285714285714285</v>
      </c>
      <c r="Q36" s="618">
        <v>24</v>
      </c>
    </row>
    <row r="37" spans="1:17" ht="14.4" customHeight="1" x14ac:dyDescent="0.3">
      <c r="A37" s="613" t="s">
        <v>3013</v>
      </c>
      <c r="B37" s="614" t="s">
        <v>3014</v>
      </c>
      <c r="C37" s="614" t="s">
        <v>2380</v>
      </c>
      <c r="D37" s="614" t="s">
        <v>3021</v>
      </c>
      <c r="E37" s="614" t="s">
        <v>3022</v>
      </c>
      <c r="F37" s="617">
        <v>39</v>
      </c>
      <c r="G37" s="617">
        <v>1053</v>
      </c>
      <c r="H37" s="617">
        <v>1</v>
      </c>
      <c r="I37" s="617">
        <v>27</v>
      </c>
      <c r="J37" s="617">
        <v>44</v>
      </c>
      <c r="K37" s="617">
        <v>1188</v>
      </c>
      <c r="L37" s="617">
        <v>1.1282051282051282</v>
      </c>
      <c r="M37" s="617">
        <v>27</v>
      </c>
      <c r="N37" s="617">
        <v>38</v>
      </c>
      <c r="O37" s="617">
        <v>1026</v>
      </c>
      <c r="P37" s="630">
        <v>0.97435897435897434</v>
      </c>
      <c r="Q37" s="618">
        <v>27</v>
      </c>
    </row>
    <row r="38" spans="1:17" ht="14.4" customHeight="1" x14ac:dyDescent="0.3">
      <c r="A38" s="613" t="s">
        <v>3013</v>
      </c>
      <c r="B38" s="614" t="s">
        <v>3014</v>
      </c>
      <c r="C38" s="614" t="s">
        <v>2380</v>
      </c>
      <c r="D38" s="614" t="s">
        <v>3023</v>
      </c>
      <c r="E38" s="614" t="s">
        <v>3024</v>
      </c>
      <c r="F38" s="617">
        <v>2</v>
      </c>
      <c r="G38" s="617">
        <v>112</v>
      </c>
      <c r="H38" s="617">
        <v>1</v>
      </c>
      <c r="I38" s="617">
        <v>56</v>
      </c>
      <c r="J38" s="617"/>
      <c r="K38" s="617"/>
      <c r="L38" s="617"/>
      <c r="M38" s="617"/>
      <c r="N38" s="617"/>
      <c r="O38" s="617"/>
      <c r="P38" s="630"/>
      <c r="Q38" s="618"/>
    </row>
    <row r="39" spans="1:17" ht="14.4" customHeight="1" x14ac:dyDescent="0.3">
      <c r="A39" s="613" t="s">
        <v>3013</v>
      </c>
      <c r="B39" s="614" t="s">
        <v>3014</v>
      </c>
      <c r="C39" s="614" t="s">
        <v>2380</v>
      </c>
      <c r="D39" s="614" t="s">
        <v>3025</v>
      </c>
      <c r="E39" s="614" t="s">
        <v>3026</v>
      </c>
      <c r="F39" s="617">
        <v>33</v>
      </c>
      <c r="G39" s="617">
        <v>891</v>
      </c>
      <c r="H39" s="617">
        <v>1</v>
      </c>
      <c r="I39" s="617">
        <v>27</v>
      </c>
      <c r="J39" s="617">
        <v>38</v>
      </c>
      <c r="K39" s="617">
        <v>1026</v>
      </c>
      <c r="L39" s="617">
        <v>1.1515151515151516</v>
      </c>
      <c r="M39" s="617">
        <v>27</v>
      </c>
      <c r="N39" s="617">
        <v>19</v>
      </c>
      <c r="O39" s="617">
        <v>513</v>
      </c>
      <c r="P39" s="630">
        <v>0.5757575757575758</v>
      </c>
      <c r="Q39" s="618">
        <v>27</v>
      </c>
    </row>
    <row r="40" spans="1:17" ht="14.4" customHeight="1" x14ac:dyDescent="0.3">
      <c r="A40" s="613" t="s">
        <v>3013</v>
      </c>
      <c r="B40" s="614" t="s">
        <v>3014</v>
      </c>
      <c r="C40" s="614" t="s">
        <v>2380</v>
      </c>
      <c r="D40" s="614" t="s">
        <v>3027</v>
      </c>
      <c r="E40" s="614" t="s">
        <v>3028</v>
      </c>
      <c r="F40" s="617">
        <v>44</v>
      </c>
      <c r="G40" s="617">
        <v>968</v>
      </c>
      <c r="H40" s="617">
        <v>1</v>
      </c>
      <c r="I40" s="617">
        <v>22</v>
      </c>
      <c r="J40" s="617">
        <v>46</v>
      </c>
      <c r="K40" s="617">
        <v>1012</v>
      </c>
      <c r="L40" s="617">
        <v>1.0454545454545454</v>
      </c>
      <c r="M40" s="617">
        <v>22</v>
      </c>
      <c r="N40" s="617">
        <v>41</v>
      </c>
      <c r="O40" s="617">
        <v>902</v>
      </c>
      <c r="P40" s="630">
        <v>0.93181818181818177</v>
      </c>
      <c r="Q40" s="618">
        <v>22</v>
      </c>
    </row>
    <row r="41" spans="1:17" ht="14.4" customHeight="1" x14ac:dyDescent="0.3">
      <c r="A41" s="613" t="s">
        <v>3013</v>
      </c>
      <c r="B41" s="614" t="s">
        <v>3014</v>
      </c>
      <c r="C41" s="614" t="s">
        <v>2380</v>
      </c>
      <c r="D41" s="614" t="s">
        <v>3029</v>
      </c>
      <c r="E41" s="614" t="s">
        <v>3030</v>
      </c>
      <c r="F41" s="617">
        <v>1</v>
      </c>
      <c r="G41" s="617">
        <v>62</v>
      </c>
      <c r="H41" s="617">
        <v>1</v>
      </c>
      <c r="I41" s="617">
        <v>62</v>
      </c>
      <c r="J41" s="617"/>
      <c r="K41" s="617"/>
      <c r="L41" s="617"/>
      <c r="M41" s="617"/>
      <c r="N41" s="617"/>
      <c r="O41" s="617"/>
      <c r="P41" s="630"/>
      <c r="Q41" s="618"/>
    </row>
    <row r="42" spans="1:17" ht="14.4" customHeight="1" x14ac:dyDescent="0.3">
      <c r="A42" s="613" t="s">
        <v>3013</v>
      </c>
      <c r="B42" s="614" t="s">
        <v>3014</v>
      </c>
      <c r="C42" s="614" t="s">
        <v>2380</v>
      </c>
      <c r="D42" s="614" t="s">
        <v>3031</v>
      </c>
      <c r="E42" s="614" t="s">
        <v>3032</v>
      </c>
      <c r="F42" s="617">
        <v>2</v>
      </c>
      <c r="G42" s="617">
        <v>122</v>
      </c>
      <c r="H42" s="617">
        <v>1</v>
      </c>
      <c r="I42" s="617">
        <v>61</v>
      </c>
      <c r="J42" s="617">
        <v>1</v>
      </c>
      <c r="K42" s="617">
        <v>62</v>
      </c>
      <c r="L42" s="617">
        <v>0.50819672131147542</v>
      </c>
      <c r="M42" s="617">
        <v>62</v>
      </c>
      <c r="N42" s="617">
        <v>3</v>
      </c>
      <c r="O42" s="617">
        <v>186</v>
      </c>
      <c r="P42" s="630">
        <v>1.5245901639344261</v>
      </c>
      <c r="Q42" s="618">
        <v>62</v>
      </c>
    </row>
    <row r="43" spans="1:17" ht="14.4" customHeight="1" x14ac:dyDescent="0.3">
      <c r="A43" s="613" t="s">
        <v>3013</v>
      </c>
      <c r="B43" s="614" t="s">
        <v>3014</v>
      </c>
      <c r="C43" s="614" t="s">
        <v>2380</v>
      </c>
      <c r="D43" s="614" t="s">
        <v>3033</v>
      </c>
      <c r="E43" s="614" t="s">
        <v>3034</v>
      </c>
      <c r="F43" s="617">
        <v>5</v>
      </c>
      <c r="G43" s="617">
        <v>4935</v>
      </c>
      <c r="H43" s="617">
        <v>1</v>
      </c>
      <c r="I43" s="617">
        <v>987</v>
      </c>
      <c r="J43" s="617">
        <v>2</v>
      </c>
      <c r="K43" s="617">
        <v>1974</v>
      </c>
      <c r="L43" s="617">
        <v>0.4</v>
      </c>
      <c r="M43" s="617">
        <v>987</v>
      </c>
      <c r="N43" s="617">
        <v>1</v>
      </c>
      <c r="O43" s="617">
        <v>987</v>
      </c>
      <c r="P43" s="630">
        <v>0.2</v>
      </c>
      <c r="Q43" s="618">
        <v>987</v>
      </c>
    </row>
    <row r="44" spans="1:17" ht="14.4" customHeight="1" x14ac:dyDescent="0.3">
      <c r="A44" s="613" t="s">
        <v>3013</v>
      </c>
      <c r="B44" s="614" t="s">
        <v>3014</v>
      </c>
      <c r="C44" s="614" t="s">
        <v>2380</v>
      </c>
      <c r="D44" s="614" t="s">
        <v>3035</v>
      </c>
      <c r="E44" s="614" t="s">
        <v>3036</v>
      </c>
      <c r="F44" s="617">
        <v>2</v>
      </c>
      <c r="G44" s="617">
        <v>34</v>
      </c>
      <c r="H44" s="617">
        <v>1</v>
      </c>
      <c r="I44" s="617">
        <v>17</v>
      </c>
      <c r="J44" s="617">
        <v>7</v>
      </c>
      <c r="K44" s="617">
        <v>119</v>
      </c>
      <c r="L44" s="617">
        <v>3.5</v>
      </c>
      <c r="M44" s="617">
        <v>17</v>
      </c>
      <c r="N44" s="617">
        <v>12</v>
      </c>
      <c r="O44" s="617">
        <v>204</v>
      </c>
      <c r="P44" s="630">
        <v>6</v>
      </c>
      <c r="Q44" s="618">
        <v>17</v>
      </c>
    </row>
    <row r="45" spans="1:17" ht="14.4" customHeight="1" x14ac:dyDescent="0.3">
      <c r="A45" s="613" t="s">
        <v>3013</v>
      </c>
      <c r="B45" s="614" t="s">
        <v>3014</v>
      </c>
      <c r="C45" s="614" t="s">
        <v>2380</v>
      </c>
      <c r="D45" s="614" t="s">
        <v>3037</v>
      </c>
      <c r="E45" s="614" t="s">
        <v>3038</v>
      </c>
      <c r="F45" s="617">
        <v>1</v>
      </c>
      <c r="G45" s="617">
        <v>60</v>
      </c>
      <c r="H45" s="617">
        <v>1</v>
      </c>
      <c r="I45" s="617">
        <v>60</v>
      </c>
      <c r="J45" s="617"/>
      <c r="K45" s="617"/>
      <c r="L45" s="617"/>
      <c r="M45" s="617"/>
      <c r="N45" s="617"/>
      <c r="O45" s="617"/>
      <c r="P45" s="630"/>
      <c r="Q45" s="618"/>
    </row>
    <row r="46" spans="1:17" ht="14.4" customHeight="1" x14ac:dyDescent="0.3">
      <c r="A46" s="613" t="s">
        <v>3013</v>
      </c>
      <c r="B46" s="614" t="s">
        <v>3014</v>
      </c>
      <c r="C46" s="614" t="s">
        <v>2380</v>
      </c>
      <c r="D46" s="614" t="s">
        <v>3039</v>
      </c>
      <c r="E46" s="614" t="s">
        <v>3040</v>
      </c>
      <c r="F46" s="617">
        <v>1</v>
      </c>
      <c r="G46" s="617">
        <v>19</v>
      </c>
      <c r="H46" s="617">
        <v>1</v>
      </c>
      <c r="I46" s="617">
        <v>19</v>
      </c>
      <c r="J46" s="617"/>
      <c r="K46" s="617"/>
      <c r="L46" s="617"/>
      <c r="M46" s="617"/>
      <c r="N46" s="617"/>
      <c r="O46" s="617"/>
      <c r="P46" s="630"/>
      <c r="Q46" s="618"/>
    </row>
    <row r="47" spans="1:17" ht="14.4" customHeight="1" x14ac:dyDescent="0.3">
      <c r="A47" s="613" t="s">
        <v>3013</v>
      </c>
      <c r="B47" s="614" t="s">
        <v>3014</v>
      </c>
      <c r="C47" s="614" t="s">
        <v>2380</v>
      </c>
      <c r="D47" s="614" t="s">
        <v>3041</v>
      </c>
      <c r="E47" s="614" t="s">
        <v>3042</v>
      </c>
      <c r="F47" s="617">
        <v>1</v>
      </c>
      <c r="G47" s="617">
        <v>461</v>
      </c>
      <c r="H47" s="617">
        <v>1</v>
      </c>
      <c r="I47" s="617">
        <v>461</v>
      </c>
      <c r="J47" s="617"/>
      <c r="K47" s="617"/>
      <c r="L47" s="617"/>
      <c r="M47" s="617"/>
      <c r="N47" s="617"/>
      <c r="O47" s="617"/>
      <c r="P47" s="630"/>
      <c r="Q47" s="618"/>
    </row>
    <row r="48" spans="1:17" ht="14.4" customHeight="1" x14ac:dyDescent="0.3">
      <c r="A48" s="613" t="s">
        <v>3013</v>
      </c>
      <c r="B48" s="614" t="s">
        <v>3014</v>
      </c>
      <c r="C48" s="614" t="s">
        <v>2380</v>
      </c>
      <c r="D48" s="614" t="s">
        <v>3043</v>
      </c>
      <c r="E48" s="614" t="s">
        <v>3044</v>
      </c>
      <c r="F48" s="617"/>
      <c r="G48" s="617"/>
      <c r="H48" s="617"/>
      <c r="I48" s="617"/>
      <c r="J48" s="617">
        <v>1</v>
      </c>
      <c r="K48" s="617">
        <v>851</v>
      </c>
      <c r="L48" s="617"/>
      <c r="M48" s="617">
        <v>851</v>
      </c>
      <c r="N48" s="617"/>
      <c r="O48" s="617"/>
      <c r="P48" s="630"/>
      <c r="Q48" s="618"/>
    </row>
    <row r="49" spans="1:17" ht="14.4" customHeight="1" x14ac:dyDescent="0.3">
      <c r="A49" s="613" t="s">
        <v>3013</v>
      </c>
      <c r="B49" s="614" t="s">
        <v>3014</v>
      </c>
      <c r="C49" s="614" t="s">
        <v>2380</v>
      </c>
      <c r="D49" s="614" t="s">
        <v>3045</v>
      </c>
      <c r="E49" s="614" t="s">
        <v>3046</v>
      </c>
      <c r="F49" s="617"/>
      <c r="G49" s="617"/>
      <c r="H49" s="617"/>
      <c r="I49" s="617"/>
      <c r="J49" s="617">
        <v>1</v>
      </c>
      <c r="K49" s="617">
        <v>783</v>
      </c>
      <c r="L49" s="617"/>
      <c r="M49" s="617">
        <v>783</v>
      </c>
      <c r="N49" s="617"/>
      <c r="O49" s="617"/>
      <c r="P49" s="630"/>
      <c r="Q49" s="618"/>
    </row>
    <row r="50" spans="1:17" ht="14.4" customHeight="1" x14ac:dyDescent="0.3">
      <c r="A50" s="613" t="s">
        <v>3013</v>
      </c>
      <c r="B50" s="614" t="s">
        <v>3014</v>
      </c>
      <c r="C50" s="614" t="s">
        <v>2380</v>
      </c>
      <c r="D50" s="614" t="s">
        <v>3047</v>
      </c>
      <c r="E50" s="614" t="s">
        <v>3048</v>
      </c>
      <c r="F50" s="617">
        <v>1</v>
      </c>
      <c r="G50" s="617">
        <v>186</v>
      </c>
      <c r="H50" s="617">
        <v>1</v>
      </c>
      <c r="I50" s="617">
        <v>186</v>
      </c>
      <c r="J50" s="617"/>
      <c r="K50" s="617"/>
      <c r="L50" s="617"/>
      <c r="M50" s="617"/>
      <c r="N50" s="617"/>
      <c r="O50" s="617"/>
      <c r="P50" s="630"/>
      <c r="Q50" s="618"/>
    </row>
    <row r="51" spans="1:17" ht="14.4" customHeight="1" x14ac:dyDescent="0.3">
      <c r="A51" s="613" t="s">
        <v>3013</v>
      </c>
      <c r="B51" s="614" t="s">
        <v>3014</v>
      </c>
      <c r="C51" s="614" t="s">
        <v>2380</v>
      </c>
      <c r="D51" s="614" t="s">
        <v>3049</v>
      </c>
      <c r="E51" s="614" t="s">
        <v>3050</v>
      </c>
      <c r="F51" s="617">
        <v>1</v>
      </c>
      <c r="G51" s="617">
        <v>560</v>
      </c>
      <c r="H51" s="617">
        <v>1</v>
      </c>
      <c r="I51" s="617">
        <v>560</v>
      </c>
      <c r="J51" s="617"/>
      <c r="K51" s="617"/>
      <c r="L51" s="617"/>
      <c r="M51" s="617"/>
      <c r="N51" s="617"/>
      <c r="O51" s="617"/>
      <c r="P51" s="630"/>
      <c r="Q51" s="618"/>
    </row>
    <row r="52" spans="1:17" ht="14.4" customHeight="1" x14ac:dyDescent="0.3">
      <c r="A52" s="613" t="s">
        <v>3013</v>
      </c>
      <c r="B52" s="614" t="s">
        <v>3014</v>
      </c>
      <c r="C52" s="614" t="s">
        <v>2380</v>
      </c>
      <c r="D52" s="614" t="s">
        <v>3051</v>
      </c>
      <c r="E52" s="614" t="s">
        <v>3052</v>
      </c>
      <c r="F52" s="617"/>
      <c r="G52" s="617"/>
      <c r="H52" s="617"/>
      <c r="I52" s="617"/>
      <c r="J52" s="617"/>
      <c r="K52" s="617"/>
      <c r="L52" s="617"/>
      <c r="M52" s="617"/>
      <c r="N52" s="617">
        <v>1</v>
      </c>
      <c r="O52" s="617">
        <v>132</v>
      </c>
      <c r="P52" s="630"/>
      <c r="Q52" s="618">
        <v>132</v>
      </c>
    </row>
    <row r="53" spans="1:17" ht="14.4" customHeight="1" x14ac:dyDescent="0.3">
      <c r="A53" s="613" t="s">
        <v>3013</v>
      </c>
      <c r="B53" s="614" t="s">
        <v>3014</v>
      </c>
      <c r="C53" s="614" t="s">
        <v>2380</v>
      </c>
      <c r="D53" s="614" t="s">
        <v>3053</v>
      </c>
      <c r="E53" s="614" t="s">
        <v>3054</v>
      </c>
      <c r="F53" s="617">
        <v>47</v>
      </c>
      <c r="G53" s="617">
        <v>1363</v>
      </c>
      <c r="H53" s="617">
        <v>1</v>
      </c>
      <c r="I53" s="617">
        <v>29</v>
      </c>
      <c r="J53" s="617">
        <v>46</v>
      </c>
      <c r="K53" s="617">
        <v>1359</v>
      </c>
      <c r="L53" s="617">
        <v>0.99706529713866476</v>
      </c>
      <c r="M53" s="617">
        <v>29.543478260869566</v>
      </c>
      <c r="N53" s="617">
        <v>41</v>
      </c>
      <c r="O53" s="617">
        <v>1230</v>
      </c>
      <c r="P53" s="630">
        <v>0.90242112986060163</v>
      </c>
      <c r="Q53" s="618">
        <v>30</v>
      </c>
    </row>
    <row r="54" spans="1:17" ht="14.4" customHeight="1" x14ac:dyDescent="0.3">
      <c r="A54" s="613" t="s">
        <v>3013</v>
      </c>
      <c r="B54" s="614" t="s">
        <v>3014</v>
      </c>
      <c r="C54" s="614" t="s">
        <v>2380</v>
      </c>
      <c r="D54" s="614" t="s">
        <v>3055</v>
      </c>
      <c r="E54" s="614" t="s">
        <v>3056</v>
      </c>
      <c r="F54" s="617">
        <v>1</v>
      </c>
      <c r="G54" s="617">
        <v>50</v>
      </c>
      <c r="H54" s="617">
        <v>1</v>
      </c>
      <c r="I54" s="617">
        <v>50</v>
      </c>
      <c r="J54" s="617"/>
      <c r="K54" s="617"/>
      <c r="L54" s="617"/>
      <c r="M54" s="617"/>
      <c r="N54" s="617"/>
      <c r="O54" s="617"/>
      <c r="P54" s="630"/>
      <c r="Q54" s="618"/>
    </row>
    <row r="55" spans="1:17" ht="14.4" customHeight="1" x14ac:dyDescent="0.3">
      <c r="A55" s="613" t="s">
        <v>3013</v>
      </c>
      <c r="B55" s="614" t="s">
        <v>3014</v>
      </c>
      <c r="C55" s="614" t="s">
        <v>2380</v>
      </c>
      <c r="D55" s="614" t="s">
        <v>3057</v>
      </c>
      <c r="E55" s="614" t="s">
        <v>3058</v>
      </c>
      <c r="F55" s="617">
        <v>6</v>
      </c>
      <c r="G55" s="617">
        <v>72</v>
      </c>
      <c r="H55" s="617">
        <v>1</v>
      </c>
      <c r="I55" s="617">
        <v>12</v>
      </c>
      <c r="J55" s="617">
        <v>2</v>
      </c>
      <c r="K55" s="617">
        <v>24</v>
      </c>
      <c r="L55" s="617">
        <v>0.33333333333333331</v>
      </c>
      <c r="M55" s="617">
        <v>12</v>
      </c>
      <c r="N55" s="617">
        <v>2</v>
      </c>
      <c r="O55" s="617">
        <v>24</v>
      </c>
      <c r="P55" s="630">
        <v>0.33333333333333331</v>
      </c>
      <c r="Q55" s="618">
        <v>12</v>
      </c>
    </row>
    <row r="56" spans="1:17" ht="14.4" customHeight="1" x14ac:dyDescent="0.3">
      <c r="A56" s="613" t="s">
        <v>3013</v>
      </c>
      <c r="B56" s="614" t="s">
        <v>3014</v>
      </c>
      <c r="C56" s="614" t="s">
        <v>2380</v>
      </c>
      <c r="D56" s="614" t="s">
        <v>3059</v>
      </c>
      <c r="E56" s="614" t="s">
        <v>3060</v>
      </c>
      <c r="F56" s="617"/>
      <c r="G56" s="617"/>
      <c r="H56" s="617"/>
      <c r="I56" s="617"/>
      <c r="J56" s="617">
        <v>1</v>
      </c>
      <c r="K56" s="617">
        <v>182</v>
      </c>
      <c r="L56" s="617"/>
      <c r="M56" s="617">
        <v>182</v>
      </c>
      <c r="N56" s="617">
        <v>1</v>
      </c>
      <c r="O56" s="617">
        <v>182</v>
      </c>
      <c r="P56" s="630"/>
      <c r="Q56" s="618">
        <v>182</v>
      </c>
    </row>
    <row r="57" spans="1:17" ht="14.4" customHeight="1" x14ac:dyDescent="0.3">
      <c r="A57" s="613" t="s">
        <v>3013</v>
      </c>
      <c r="B57" s="614" t="s">
        <v>3014</v>
      </c>
      <c r="C57" s="614" t="s">
        <v>2380</v>
      </c>
      <c r="D57" s="614" t="s">
        <v>3061</v>
      </c>
      <c r="E57" s="614" t="s">
        <v>3062</v>
      </c>
      <c r="F57" s="617">
        <v>2</v>
      </c>
      <c r="G57" s="617">
        <v>142</v>
      </c>
      <c r="H57" s="617">
        <v>1</v>
      </c>
      <c r="I57" s="617">
        <v>71</v>
      </c>
      <c r="J57" s="617"/>
      <c r="K57" s="617"/>
      <c r="L57" s="617"/>
      <c r="M57" s="617"/>
      <c r="N57" s="617"/>
      <c r="O57" s="617"/>
      <c r="P57" s="630"/>
      <c r="Q57" s="618"/>
    </row>
    <row r="58" spans="1:17" ht="14.4" customHeight="1" x14ac:dyDescent="0.3">
      <c r="A58" s="613" t="s">
        <v>3013</v>
      </c>
      <c r="B58" s="614" t="s">
        <v>3014</v>
      </c>
      <c r="C58" s="614" t="s">
        <v>2380</v>
      </c>
      <c r="D58" s="614" t="s">
        <v>3063</v>
      </c>
      <c r="E58" s="614" t="s">
        <v>3064</v>
      </c>
      <c r="F58" s="617"/>
      <c r="G58" s="617"/>
      <c r="H58" s="617"/>
      <c r="I58" s="617"/>
      <c r="J58" s="617"/>
      <c r="K58" s="617"/>
      <c r="L58" s="617"/>
      <c r="M58" s="617"/>
      <c r="N58" s="617">
        <v>1</v>
      </c>
      <c r="O58" s="617">
        <v>183</v>
      </c>
      <c r="P58" s="630"/>
      <c r="Q58" s="618">
        <v>183</v>
      </c>
    </row>
    <row r="59" spans="1:17" ht="14.4" customHeight="1" x14ac:dyDescent="0.3">
      <c r="A59" s="613" t="s">
        <v>3013</v>
      </c>
      <c r="B59" s="614" t="s">
        <v>3014</v>
      </c>
      <c r="C59" s="614" t="s">
        <v>2380</v>
      </c>
      <c r="D59" s="614" t="s">
        <v>3065</v>
      </c>
      <c r="E59" s="614" t="s">
        <v>3066</v>
      </c>
      <c r="F59" s="617"/>
      <c r="G59" s="617"/>
      <c r="H59" s="617"/>
      <c r="I59" s="617"/>
      <c r="J59" s="617">
        <v>1</v>
      </c>
      <c r="K59" s="617">
        <v>1245</v>
      </c>
      <c r="L59" s="617"/>
      <c r="M59" s="617">
        <v>1245</v>
      </c>
      <c r="N59" s="617"/>
      <c r="O59" s="617"/>
      <c r="P59" s="630"/>
      <c r="Q59" s="618"/>
    </row>
    <row r="60" spans="1:17" ht="14.4" customHeight="1" x14ac:dyDescent="0.3">
      <c r="A60" s="613" t="s">
        <v>3013</v>
      </c>
      <c r="B60" s="614" t="s">
        <v>3014</v>
      </c>
      <c r="C60" s="614" t="s">
        <v>2380</v>
      </c>
      <c r="D60" s="614" t="s">
        <v>3067</v>
      </c>
      <c r="E60" s="614" t="s">
        <v>3068</v>
      </c>
      <c r="F60" s="617">
        <v>19</v>
      </c>
      <c r="G60" s="617">
        <v>2793</v>
      </c>
      <c r="H60" s="617">
        <v>1</v>
      </c>
      <c r="I60" s="617">
        <v>147</v>
      </c>
      <c r="J60" s="617">
        <v>28</v>
      </c>
      <c r="K60" s="617">
        <v>4128</v>
      </c>
      <c r="L60" s="617">
        <v>1.4779806659505907</v>
      </c>
      <c r="M60" s="617">
        <v>147.42857142857142</v>
      </c>
      <c r="N60" s="617">
        <v>30</v>
      </c>
      <c r="O60" s="617">
        <v>4440</v>
      </c>
      <c r="P60" s="630">
        <v>1.5896885069817401</v>
      </c>
      <c r="Q60" s="618">
        <v>148</v>
      </c>
    </row>
    <row r="61" spans="1:17" ht="14.4" customHeight="1" x14ac:dyDescent="0.3">
      <c r="A61" s="613" t="s">
        <v>3013</v>
      </c>
      <c r="B61" s="614" t="s">
        <v>3014</v>
      </c>
      <c r="C61" s="614" t="s">
        <v>2380</v>
      </c>
      <c r="D61" s="614" t="s">
        <v>3069</v>
      </c>
      <c r="E61" s="614" t="s">
        <v>3070</v>
      </c>
      <c r="F61" s="617">
        <v>50</v>
      </c>
      <c r="G61" s="617">
        <v>1450</v>
      </c>
      <c r="H61" s="617">
        <v>1</v>
      </c>
      <c r="I61" s="617">
        <v>29</v>
      </c>
      <c r="J61" s="617">
        <v>50</v>
      </c>
      <c r="K61" s="617">
        <v>1476</v>
      </c>
      <c r="L61" s="617">
        <v>1.0179310344827586</v>
      </c>
      <c r="M61" s="617">
        <v>29.52</v>
      </c>
      <c r="N61" s="617">
        <v>44</v>
      </c>
      <c r="O61" s="617">
        <v>1320</v>
      </c>
      <c r="P61" s="630">
        <v>0.91034482758620694</v>
      </c>
      <c r="Q61" s="618">
        <v>30</v>
      </c>
    </row>
    <row r="62" spans="1:17" ht="14.4" customHeight="1" x14ac:dyDescent="0.3">
      <c r="A62" s="613" t="s">
        <v>3013</v>
      </c>
      <c r="B62" s="614" t="s">
        <v>3014</v>
      </c>
      <c r="C62" s="614" t="s">
        <v>2380</v>
      </c>
      <c r="D62" s="614" t="s">
        <v>3071</v>
      </c>
      <c r="E62" s="614" t="s">
        <v>3072</v>
      </c>
      <c r="F62" s="617">
        <v>32</v>
      </c>
      <c r="G62" s="617">
        <v>992</v>
      </c>
      <c r="H62" s="617">
        <v>1</v>
      </c>
      <c r="I62" s="617">
        <v>31</v>
      </c>
      <c r="J62" s="617">
        <v>39</v>
      </c>
      <c r="K62" s="617">
        <v>1209</v>
      </c>
      <c r="L62" s="617">
        <v>1.21875</v>
      </c>
      <c r="M62" s="617">
        <v>31</v>
      </c>
      <c r="N62" s="617">
        <v>18</v>
      </c>
      <c r="O62" s="617">
        <v>558</v>
      </c>
      <c r="P62" s="630">
        <v>0.5625</v>
      </c>
      <c r="Q62" s="618">
        <v>31</v>
      </c>
    </row>
    <row r="63" spans="1:17" ht="14.4" customHeight="1" x14ac:dyDescent="0.3">
      <c r="A63" s="613" t="s">
        <v>3013</v>
      </c>
      <c r="B63" s="614" t="s">
        <v>3014</v>
      </c>
      <c r="C63" s="614" t="s">
        <v>2380</v>
      </c>
      <c r="D63" s="614" t="s">
        <v>3073</v>
      </c>
      <c r="E63" s="614" t="s">
        <v>3074</v>
      </c>
      <c r="F63" s="617">
        <v>40</v>
      </c>
      <c r="G63" s="617">
        <v>1080</v>
      </c>
      <c r="H63" s="617">
        <v>1</v>
      </c>
      <c r="I63" s="617">
        <v>27</v>
      </c>
      <c r="J63" s="617">
        <v>39</v>
      </c>
      <c r="K63" s="617">
        <v>1053</v>
      </c>
      <c r="L63" s="617">
        <v>0.97499999999999998</v>
      </c>
      <c r="M63" s="617">
        <v>27</v>
      </c>
      <c r="N63" s="617">
        <v>37</v>
      </c>
      <c r="O63" s="617">
        <v>999</v>
      </c>
      <c r="P63" s="630">
        <v>0.92500000000000004</v>
      </c>
      <c r="Q63" s="618">
        <v>27</v>
      </c>
    </row>
    <row r="64" spans="1:17" ht="14.4" customHeight="1" x14ac:dyDescent="0.3">
      <c r="A64" s="613" t="s">
        <v>3013</v>
      </c>
      <c r="B64" s="614" t="s">
        <v>3014</v>
      </c>
      <c r="C64" s="614" t="s">
        <v>2380</v>
      </c>
      <c r="D64" s="614" t="s">
        <v>3075</v>
      </c>
      <c r="E64" s="614" t="s">
        <v>3076</v>
      </c>
      <c r="F64" s="617">
        <v>39</v>
      </c>
      <c r="G64" s="617">
        <v>975</v>
      </c>
      <c r="H64" s="617">
        <v>1</v>
      </c>
      <c r="I64" s="617">
        <v>25</v>
      </c>
      <c r="J64" s="617">
        <v>44</v>
      </c>
      <c r="K64" s="617">
        <v>1100</v>
      </c>
      <c r="L64" s="617">
        <v>1.1282051282051282</v>
      </c>
      <c r="M64" s="617">
        <v>25</v>
      </c>
      <c r="N64" s="617">
        <v>41</v>
      </c>
      <c r="O64" s="617">
        <v>1025</v>
      </c>
      <c r="P64" s="630">
        <v>1.0512820512820513</v>
      </c>
      <c r="Q64" s="618">
        <v>25</v>
      </c>
    </row>
    <row r="65" spans="1:17" ht="14.4" customHeight="1" x14ac:dyDescent="0.3">
      <c r="A65" s="613" t="s">
        <v>3013</v>
      </c>
      <c r="B65" s="614" t="s">
        <v>3014</v>
      </c>
      <c r="C65" s="614" t="s">
        <v>2380</v>
      </c>
      <c r="D65" s="614" t="s">
        <v>3077</v>
      </c>
      <c r="E65" s="614" t="s">
        <v>3078</v>
      </c>
      <c r="F65" s="617">
        <v>1</v>
      </c>
      <c r="G65" s="617">
        <v>33</v>
      </c>
      <c r="H65" s="617">
        <v>1</v>
      </c>
      <c r="I65" s="617">
        <v>33</v>
      </c>
      <c r="J65" s="617"/>
      <c r="K65" s="617"/>
      <c r="L65" s="617"/>
      <c r="M65" s="617"/>
      <c r="N65" s="617"/>
      <c r="O65" s="617"/>
      <c r="P65" s="630"/>
      <c r="Q65" s="618"/>
    </row>
    <row r="66" spans="1:17" ht="14.4" customHeight="1" x14ac:dyDescent="0.3">
      <c r="A66" s="613" t="s">
        <v>3013</v>
      </c>
      <c r="B66" s="614" t="s">
        <v>3014</v>
      </c>
      <c r="C66" s="614" t="s">
        <v>2380</v>
      </c>
      <c r="D66" s="614" t="s">
        <v>3079</v>
      </c>
      <c r="E66" s="614" t="s">
        <v>3080</v>
      </c>
      <c r="F66" s="617"/>
      <c r="G66" s="617"/>
      <c r="H66" s="617"/>
      <c r="I66" s="617"/>
      <c r="J66" s="617">
        <v>5</v>
      </c>
      <c r="K66" s="617">
        <v>130</v>
      </c>
      <c r="L66" s="617"/>
      <c r="M66" s="617">
        <v>26</v>
      </c>
      <c r="N66" s="617">
        <v>1</v>
      </c>
      <c r="O66" s="617">
        <v>26</v>
      </c>
      <c r="P66" s="630"/>
      <c r="Q66" s="618">
        <v>26</v>
      </c>
    </row>
    <row r="67" spans="1:17" ht="14.4" customHeight="1" x14ac:dyDescent="0.3">
      <c r="A67" s="613" t="s">
        <v>3013</v>
      </c>
      <c r="B67" s="614" t="s">
        <v>3014</v>
      </c>
      <c r="C67" s="614" t="s">
        <v>2380</v>
      </c>
      <c r="D67" s="614" t="s">
        <v>3081</v>
      </c>
      <c r="E67" s="614" t="s">
        <v>3082</v>
      </c>
      <c r="F67" s="617"/>
      <c r="G67" s="617"/>
      <c r="H67" s="617"/>
      <c r="I67" s="617"/>
      <c r="J67" s="617">
        <v>1</v>
      </c>
      <c r="K67" s="617">
        <v>84</v>
      </c>
      <c r="L67" s="617"/>
      <c r="M67" s="617">
        <v>84</v>
      </c>
      <c r="N67" s="617"/>
      <c r="O67" s="617"/>
      <c r="P67" s="630"/>
      <c r="Q67" s="618"/>
    </row>
    <row r="68" spans="1:17" ht="14.4" customHeight="1" x14ac:dyDescent="0.3">
      <c r="A68" s="613" t="s">
        <v>3013</v>
      </c>
      <c r="B68" s="614" t="s">
        <v>3014</v>
      </c>
      <c r="C68" s="614" t="s">
        <v>2380</v>
      </c>
      <c r="D68" s="614" t="s">
        <v>3083</v>
      </c>
      <c r="E68" s="614" t="s">
        <v>3084</v>
      </c>
      <c r="F68" s="617"/>
      <c r="G68" s="617"/>
      <c r="H68" s="617"/>
      <c r="I68" s="617"/>
      <c r="J68" s="617">
        <v>1</v>
      </c>
      <c r="K68" s="617">
        <v>175</v>
      </c>
      <c r="L68" s="617"/>
      <c r="M68" s="617">
        <v>175</v>
      </c>
      <c r="N68" s="617">
        <v>1</v>
      </c>
      <c r="O68" s="617">
        <v>175</v>
      </c>
      <c r="P68" s="630"/>
      <c r="Q68" s="618">
        <v>175</v>
      </c>
    </row>
    <row r="69" spans="1:17" ht="14.4" customHeight="1" x14ac:dyDescent="0.3">
      <c r="A69" s="613" t="s">
        <v>3013</v>
      </c>
      <c r="B69" s="614" t="s">
        <v>3014</v>
      </c>
      <c r="C69" s="614" t="s">
        <v>2380</v>
      </c>
      <c r="D69" s="614" t="s">
        <v>3085</v>
      </c>
      <c r="E69" s="614" t="s">
        <v>3086</v>
      </c>
      <c r="F69" s="617">
        <v>5</v>
      </c>
      <c r="G69" s="617">
        <v>75</v>
      </c>
      <c r="H69" s="617">
        <v>1</v>
      </c>
      <c r="I69" s="617">
        <v>15</v>
      </c>
      <c r="J69" s="617">
        <v>9</v>
      </c>
      <c r="K69" s="617">
        <v>135</v>
      </c>
      <c r="L69" s="617">
        <v>1.8</v>
      </c>
      <c r="M69" s="617">
        <v>15</v>
      </c>
      <c r="N69" s="617">
        <v>12</v>
      </c>
      <c r="O69" s="617">
        <v>180</v>
      </c>
      <c r="P69" s="630">
        <v>2.4</v>
      </c>
      <c r="Q69" s="618">
        <v>15</v>
      </c>
    </row>
    <row r="70" spans="1:17" ht="14.4" customHeight="1" x14ac:dyDescent="0.3">
      <c r="A70" s="613" t="s">
        <v>3013</v>
      </c>
      <c r="B70" s="614" t="s">
        <v>3014</v>
      </c>
      <c r="C70" s="614" t="s">
        <v>2380</v>
      </c>
      <c r="D70" s="614" t="s">
        <v>3087</v>
      </c>
      <c r="E70" s="614" t="s">
        <v>3088</v>
      </c>
      <c r="F70" s="617">
        <v>1</v>
      </c>
      <c r="G70" s="617">
        <v>23</v>
      </c>
      <c r="H70" s="617">
        <v>1</v>
      </c>
      <c r="I70" s="617">
        <v>23</v>
      </c>
      <c r="J70" s="617">
        <v>1</v>
      </c>
      <c r="K70" s="617">
        <v>23</v>
      </c>
      <c r="L70" s="617">
        <v>1</v>
      </c>
      <c r="M70" s="617">
        <v>23</v>
      </c>
      <c r="N70" s="617">
        <v>1</v>
      </c>
      <c r="O70" s="617">
        <v>23</v>
      </c>
      <c r="P70" s="630">
        <v>1</v>
      </c>
      <c r="Q70" s="618">
        <v>23</v>
      </c>
    </row>
    <row r="71" spans="1:17" ht="14.4" customHeight="1" x14ac:dyDescent="0.3">
      <c r="A71" s="613" t="s">
        <v>3013</v>
      </c>
      <c r="B71" s="614" t="s">
        <v>3014</v>
      </c>
      <c r="C71" s="614" t="s">
        <v>2380</v>
      </c>
      <c r="D71" s="614" t="s">
        <v>3089</v>
      </c>
      <c r="E71" s="614" t="s">
        <v>3090</v>
      </c>
      <c r="F71" s="617">
        <v>1</v>
      </c>
      <c r="G71" s="617">
        <v>37</v>
      </c>
      <c r="H71" s="617">
        <v>1</v>
      </c>
      <c r="I71" s="617">
        <v>37</v>
      </c>
      <c r="J71" s="617"/>
      <c r="K71" s="617"/>
      <c r="L71" s="617"/>
      <c r="M71" s="617"/>
      <c r="N71" s="617"/>
      <c r="O71" s="617"/>
      <c r="P71" s="630"/>
      <c r="Q71" s="618"/>
    </row>
    <row r="72" spans="1:17" ht="14.4" customHeight="1" x14ac:dyDescent="0.3">
      <c r="A72" s="613" t="s">
        <v>3013</v>
      </c>
      <c r="B72" s="614" t="s">
        <v>3014</v>
      </c>
      <c r="C72" s="614" t="s">
        <v>2380</v>
      </c>
      <c r="D72" s="614" t="s">
        <v>3091</v>
      </c>
      <c r="E72" s="614" t="s">
        <v>3092</v>
      </c>
      <c r="F72" s="617">
        <v>39</v>
      </c>
      <c r="G72" s="617">
        <v>897</v>
      </c>
      <c r="H72" s="617">
        <v>1</v>
      </c>
      <c r="I72" s="617">
        <v>23</v>
      </c>
      <c r="J72" s="617">
        <v>41</v>
      </c>
      <c r="K72" s="617">
        <v>943</v>
      </c>
      <c r="L72" s="617">
        <v>1.0512820512820513</v>
      </c>
      <c r="M72" s="617">
        <v>23</v>
      </c>
      <c r="N72" s="617">
        <v>40</v>
      </c>
      <c r="O72" s="617">
        <v>920</v>
      </c>
      <c r="P72" s="630">
        <v>1.0256410256410255</v>
      </c>
      <c r="Q72" s="618">
        <v>23</v>
      </c>
    </row>
    <row r="73" spans="1:17" ht="14.4" customHeight="1" x14ac:dyDescent="0.3">
      <c r="A73" s="613" t="s">
        <v>3013</v>
      </c>
      <c r="B73" s="614" t="s">
        <v>3014</v>
      </c>
      <c r="C73" s="614" t="s">
        <v>2380</v>
      </c>
      <c r="D73" s="614" t="s">
        <v>3093</v>
      </c>
      <c r="E73" s="614" t="s">
        <v>3094</v>
      </c>
      <c r="F73" s="617"/>
      <c r="G73" s="617"/>
      <c r="H73" s="617"/>
      <c r="I73" s="617"/>
      <c r="J73" s="617">
        <v>6</v>
      </c>
      <c r="K73" s="617">
        <v>174</v>
      </c>
      <c r="L73" s="617"/>
      <c r="M73" s="617">
        <v>29</v>
      </c>
      <c r="N73" s="617">
        <v>1</v>
      </c>
      <c r="O73" s="617">
        <v>29</v>
      </c>
      <c r="P73" s="630"/>
      <c r="Q73" s="618">
        <v>29</v>
      </c>
    </row>
    <row r="74" spans="1:17" ht="14.4" customHeight="1" x14ac:dyDescent="0.3">
      <c r="A74" s="613" t="s">
        <v>3013</v>
      </c>
      <c r="B74" s="614" t="s">
        <v>3014</v>
      </c>
      <c r="C74" s="614" t="s">
        <v>2380</v>
      </c>
      <c r="D74" s="614" t="s">
        <v>3095</v>
      </c>
      <c r="E74" s="614" t="s">
        <v>3096</v>
      </c>
      <c r="F74" s="617"/>
      <c r="G74" s="617"/>
      <c r="H74" s="617"/>
      <c r="I74" s="617"/>
      <c r="J74" s="617"/>
      <c r="K74" s="617"/>
      <c r="L74" s="617"/>
      <c r="M74" s="617"/>
      <c r="N74" s="617">
        <v>3</v>
      </c>
      <c r="O74" s="617">
        <v>531</v>
      </c>
      <c r="P74" s="630"/>
      <c r="Q74" s="618">
        <v>177</v>
      </c>
    </row>
    <row r="75" spans="1:17" ht="14.4" customHeight="1" x14ac:dyDescent="0.3">
      <c r="A75" s="613" t="s">
        <v>3013</v>
      </c>
      <c r="B75" s="614" t="s">
        <v>3014</v>
      </c>
      <c r="C75" s="614" t="s">
        <v>2380</v>
      </c>
      <c r="D75" s="614" t="s">
        <v>3097</v>
      </c>
      <c r="E75" s="614" t="s">
        <v>3098</v>
      </c>
      <c r="F75" s="617">
        <v>2</v>
      </c>
      <c r="G75" s="617">
        <v>38</v>
      </c>
      <c r="H75" s="617">
        <v>1</v>
      </c>
      <c r="I75" s="617">
        <v>19</v>
      </c>
      <c r="J75" s="617">
        <v>7</v>
      </c>
      <c r="K75" s="617">
        <v>133</v>
      </c>
      <c r="L75" s="617">
        <v>3.5</v>
      </c>
      <c r="M75" s="617">
        <v>19</v>
      </c>
      <c r="N75" s="617">
        <v>12</v>
      </c>
      <c r="O75" s="617">
        <v>228</v>
      </c>
      <c r="P75" s="630">
        <v>6</v>
      </c>
      <c r="Q75" s="618">
        <v>19</v>
      </c>
    </row>
    <row r="76" spans="1:17" ht="14.4" customHeight="1" x14ac:dyDescent="0.3">
      <c r="A76" s="613" t="s">
        <v>3013</v>
      </c>
      <c r="B76" s="614" t="s">
        <v>3014</v>
      </c>
      <c r="C76" s="614" t="s">
        <v>2380</v>
      </c>
      <c r="D76" s="614" t="s">
        <v>3099</v>
      </c>
      <c r="E76" s="614" t="s">
        <v>3100</v>
      </c>
      <c r="F76" s="617">
        <v>2</v>
      </c>
      <c r="G76" s="617">
        <v>40</v>
      </c>
      <c r="H76" s="617">
        <v>1</v>
      </c>
      <c r="I76" s="617">
        <v>20</v>
      </c>
      <c r="J76" s="617">
        <v>5</v>
      </c>
      <c r="K76" s="617">
        <v>100</v>
      </c>
      <c r="L76" s="617">
        <v>2.5</v>
      </c>
      <c r="M76" s="617">
        <v>20</v>
      </c>
      <c r="N76" s="617"/>
      <c r="O76" s="617"/>
      <c r="P76" s="630"/>
      <c r="Q76" s="618"/>
    </row>
    <row r="77" spans="1:17" ht="14.4" customHeight="1" x14ac:dyDescent="0.3">
      <c r="A77" s="613" t="s">
        <v>3013</v>
      </c>
      <c r="B77" s="614" t="s">
        <v>3014</v>
      </c>
      <c r="C77" s="614" t="s">
        <v>2380</v>
      </c>
      <c r="D77" s="614" t="s">
        <v>3101</v>
      </c>
      <c r="E77" s="614" t="s">
        <v>3102</v>
      </c>
      <c r="F77" s="617">
        <v>1</v>
      </c>
      <c r="G77" s="617">
        <v>84</v>
      </c>
      <c r="H77" s="617">
        <v>1</v>
      </c>
      <c r="I77" s="617">
        <v>84</v>
      </c>
      <c r="J77" s="617"/>
      <c r="K77" s="617"/>
      <c r="L77" s="617"/>
      <c r="M77" s="617"/>
      <c r="N77" s="617"/>
      <c r="O77" s="617"/>
      <c r="P77" s="630"/>
      <c r="Q77" s="618"/>
    </row>
    <row r="78" spans="1:17" ht="14.4" customHeight="1" x14ac:dyDescent="0.3">
      <c r="A78" s="613" t="s">
        <v>3013</v>
      </c>
      <c r="B78" s="614" t="s">
        <v>3014</v>
      </c>
      <c r="C78" s="614" t="s">
        <v>2380</v>
      </c>
      <c r="D78" s="614" t="s">
        <v>3103</v>
      </c>
      <c r="E78" s="614" t="s">
        <v>3104</v>
      </c>
      <c r="F78" s="617"/>
      <c r="G78" s="617"/>
      <c r="H78" s="617"/>
      <c r="I78" s="617"/>
      <c r="J78" s="617">
        <v>1</v>
      </c>
      <c r="K78" s="617">
        <v>22</v>
      </c>
      <c r="L78" s="617"/>
      <c r="M78" s="617">
        <v>22</v>
      </c>
      <c r="N78" s="617">
        <v>1</v>
      </c>
      <c r="O78" s="617">
        <v>22</v>
      </c>
      <c r="P78" s="630"/>
      <c r="Q78" s="618">
        <v>22</v>
      </c>
    </row>
    <row r="79" spans="1:17" ht="14.4" customHeight="1" x14ac:dyDescent="0.3">
      <c r="A79" s="613" t="s">
        <v>3013</v>
      </c>
      <c r="B79" s="614" t="s">
        <v>3014</v>
      </c>
      <c r="C79" s="614" t="s">
        <v>2380</v>
      </c>
      <c r="D79" s="614" t="s">
        <v>3105</v>
      </c>
      <c r="E79" s="614" t="s">
        <v>3106</v>
      </c>
      <c r="F79" s="617"/>
      <c r="G79" s="617"/>
      <c r="H79" s="617"/>
      <c r="I79" s="617"/>
      <c r="J79" s="617">
        <v>1</v>
      </c>
      <c r="K79" s="617">
        <v>564</v>
      </c>
      <c r="L79" s="617"/>
      <c r="M79" s="617">
        <v>564</v>
      </c>
      <c r="N79" s="617"/>
      <c r="O79" s="617"/>
      <c r="P79" s="630"/>
      <c r="Q79" s="618"/>
    </row>
    <row r="80" spans="1:17" ht="14.4" customHeight="1" x14ac:dyDescent="0.3">
      <c r="A80" s="613" t="s">
        <v>3013</v>
      </c>
      <c r="B80" s="614" t="s">
        <v>3014</v>
      </c>
      <c r="C80" s="614" t="s">
        <v>2380</v>
      </c>
      <c r="D80" s="614" t="s">
        <v>3107</v>
      </c>
      <c r="E80" s="614" t="s">
        <v>3108</v>
      </c>
      <c r="F80" s="617"/>
      <c r="G80" s="617"/>
      <c r="H80" s="617"/>
      <c r="I80" s="617"/>
      <c r="J80" s="617">
        <v>1</v>
      </c>
      <c r="K80" s="617">
        <v>1002</v>
      </c>
      <c r="L80" s="617"/>
      <c r="M80" s="617">
        <v>1002</v>
      </c>
      <c r="N80" s="617"/>
      <c r="O80" s="617"/>
      <c r="P80" s="630"/>
      <c r="Q80" s="618"/>
    </row>
    <row r="81" spans="1:17" ht="14.4" customHeight="1" x14ac:dyDescent="0.3">
      <c r="A81" s="613" t="s">
        <v>3013</v>
      </c>
      <c r="B81" s="614" t="s">
        <v>3014</v>
      </c>
      <c r="C81" s="614" t="s">
        <v>2380</v>
      </c>
      <c r="D81" s="614" t="s">
        <v>3109</v>
      </c>
      <c r="E81" s="614" t="s">
        <v>3110</v>
      </c>
      <c r="F81" s="617"/>
      <c r="G81" s="617"/>
      <c r="H81" s="617"/>
      <c r="I81" s="617"/>
      <c r="J81" s="617"/>
      <c r="K81" s="617"/>
      <c r="L81" s="617"/>
      <c r="M81" s="617"/>
      <c r="N81" s="617">
        <v>1</v>
      </c>
      <c r="O81" s="617">
        <v>132</v>
      </c>
      <c r="P81" s="630"/>
      <c r="Q81" s="618">
        <v>132</v>
      </c>
    </row>
    <row r="82" spans="1:17" ht="14.4" customHeight="1" x14ac:dyDescent="0.3">
      <c r="A82" s="613" t="s">
        <v>3013</v>
      </c>
      <c r="B82" s="614" t="s">
        <v>3014</v>
      </c>
      <c r="C82" s="614" t="s">
        <v>2380</v>
      </c>
      <c r="D82" s="614" t="s">
        <v>3111</v>
      </c>
      <c r="E82" s="614" t="s">
        <v>3112</v>
      </c>
      <c r="F82" s="617">
        <v>1</v>
      </c>
      <c r="G82" s="617">
        <v>45</v>
      </c>
      <c r="H82" s="617">
        <v>1</v>
      </c>
      <c r="I82" s="617">
        <v>45</v>
      </c>
      <c r="J82" s="617"/>
      <c r="K82" s="617"/>
      <c r="L82" s="617"/>
      <c r="M82" s="617"/>
      <c r="N82" s="617"/>
      <c r="O82" s="617"/>
      <c r="P82" s="630"/>
      <c r="Q82" s="618"/>
    </row>
    <row r="83" spans="1:17" ht="14.4" customHeight="1" x14ac:dyDescent="0.3">
      <c r="A83" s="613" t="s">
        <v>3113</v>
      </c>
      <c r="B83" s="614" t="s">
        <v>3114</v>
      </c>
      <c r="C83" s="614" t="s">
        <v>2470</v>
      </c>
      <c r="D83" s="614" t="s">
        <v>3115</v>
      </c>
      <c r="E83" s="614" t="s">
        <v>3116</v>
      </c>
      <c r="F83" s="617"/>
      <c r="G83" s="617"/>
      <c r="H83" s="617"/>
      <c r="I83" s="617"/>
      <c r="J83" s="617"/>
      <c r="K83" s="617"/>
      <c r="L83" s="617"/>
      <c r="M83" s="617"/>
      <c r="N83" s="617">
        <v>0.33</v>
      </c>
      <c r="O83" s="617">
        <v>843.25</v>
      </c>
      <c r="P83" s="630"/>
      <c r="Q83" s="618">
        <v>2555.30303030303</v>
      </c>
    </row>
    <row r="84" spans="1:17" ht="14.4" customHeight="1" x14ac:dyDescent="0.3">
      <c r="A84" s="613" t="s">
        <v>3113</v>
      </c>
      <c r="B84" s="614" t="s">
        <v>3114</v>
      </c>
      <c r="C84" s="614" t="s">
        <v>2470</v>
      </c>
      <c r="D84" s="614" t="s">
        <v>3117</v>
      </c>
      <c r="E84" s="614" t="s">
        <v>3118</v>
      </c>
      <c r="F84" s="617"/>
      <c r="G84" s="617"/>
      <c r="H84" s="617"/>
      <c r="I84" s="617"/>
      <c r="J84" s="617">
        <v>0.6</v>
      </c>
      <c r="K84" s="617">
        <v>593.41</v>
      </c>
      <c r="L84" s="617"/>
      <c r="M84" s="617">
        <v>989.01666666666665</v>
      </c>
      <c r="N84" s="617"/>
      <c r="O84" s="617"/>
      <c r="P84" s="630"/>
      <c r="Q84" s="618"/>
    </row>
    <row r="85" spans="1:17" ht="14.4" customHeight="1" x14ac:dyDescent="0.3">
      <c r="A85" s="613" t="s">
        <v>3113</v>
      </c>
      <c r="B85" s="614" t="s">
        <v>3114</v>
      </c>
      <c r="C85" s="614" t="s">
        <v>2470</v>
      </c>
      <c r="D85" s="614" t="s">
        <v>3119</v>
      </c>
      <c r="E85" s="614" t="s">
        <v>3120</v>
      </c>
      <c r="F85" s="617">
        <v>0.04</v>
      </c>
      <c r="G85" s="617">
        <v>413.49</v>
      </c>
      <c r="H85" s="617">
        <v>1</v>
      </c>
      <c r="I85" s="617">
        <v>10337.25</v>
      </c>
      <c r="J85" s="617">
        <v>0.14000000000000001</v>
      </c>
      <c r="K85" s="617">
        <v>1447.23</v>
      </c>
      <c r="L85" s="617">
        <v>3.5000362765725894</v>
      </c>
      <c r="M85" s="617">
        <v>10337.357142857141</v>
      </c>
      <c r="N85" s="617">
        <v>0.13</v>
      </c>
      <c r="O85" s="617">
        <v>1285.43</v>
      </c>
      <c r="P85" s="630">
        <v>3.1087329802413604</v>
      </c>
      <c r="Q85" s="618">
        <v>9887.9230769230762</v>
      </c>
    </row>
    <row r="86" spans="1:17" ht="14.4" customHeight="1" x14ac:dyDescent="0.3">
      <c r="A86" s="613" t="s">
        <v>3113</v>
      </c>
      <c r="B86" s="614" t="s">
        <v>3114</v>
      </c>
      <c r="C86" s="614" t="s">
        <v>2470</v>
      </c>
      <c r="D86" s="614" t="s">
        <v>2968</v>
      </c>
      <c r="E86" s="614" t="s">
        <v>2969</v>
      </c>
      <c r="F86" s="617">
        <v>0.24</v>
      </c>
      <c r="G86" s="617">
        <v>2621.17</v>
      </c>
      <c r="H86" s="617">
        <v>1</v>
      </c>
      <c r="I86" s="617">
        <v>10921.541666666668</v>
      </c>
      <c r="J86" s="617">
        <v>0.37</v>
      </c>
      <c r="K86" s="617">
        <v>4040.96</v>
      </c>
      <c r="L86" s="617">
        <v>1.5416626926143668</v>
      </c>
      <c r="M86" s="617">
        <v>10921.513513513513</v>
      </c>
      <c r="N86" s="617">
        <v>0.06</v>
      </c>
      <c r="O86" s="617">
        <v>531.24</v>
      </c>
      <c r="P86" s="630">
        <v>0.20267285219959025</v>
      </c>
      <c r="Q86" s="618">
        <v>8854</v>
      </c>
    </row>
    <row r="87" spans="1:17" ht="14.4" customHeight="1" x14ac:dyDescent="0.3">
      <c r="A87" s="613" t="s">
        <v>3113</v>
      </c>
      <c r="B87" s="614" t="s">
        <v>3114</v>
      </c>
      <c r="C87" s="614" t="s">
        <v>2470</v>
      </c>
      <c r="D87" s="614" t="s">
        <v>2971</v>
      </c>
      <c r="E87" s="614" t="s">
        <v>2969</v>
      </c>
      <c r="F87" s="617"/>
      <c r="G87" s="617"/>
      <c r="H87" s="617"/>
      <c r="I87" s="617"/>
      <c r="J87" s="617">
        <v>0.6</v>
      </c>
      <c r="K87" s="617">
        <v>1310.58</v>
      </c>
      <c r="L87" s="617"/>
      <c r="M87" s="617">
        <v>2184.3000000000002</v>
      </c>
      <c r="N87" s="617">
        <v>0.3</v>
      </c>
      <c r="O87" s="617">
        <v>531.24</v>
      </c>
      <c r="P87" s="630"/>
      <c r="Q87" s="618">
        <v>1770.8000000000002</v>
      </c>
    </row>
    <row r="88" spans="1:17" ht="14.4" customHeight="1" x14ac:dyDescent="0.3">
      <c r="A88" s="613" t="s">
        <v>3113</v>
      </c>
      <c r="B88" s="614" t="s">
        <v>3114</v>
      </c>
      <c r="C88" s="614" t="s">
        <v>2470</v>
      </c>
      <c r="D88" s="614" t="s">
        <v>3121</v>
      </c>
      <c r="E88" s="614" t="s">
        <v>3122</v>
      </c>
      <c r="F88" s="617"/>
      <c r="G88" s="617"/>
      <c r="H88" s="617"/>
      <c r="I88" s="617"/>
      <c r="J88" s="617">
        <v>0.05</v>
      </c>
      <c r="K88" s="617">
        <v>18.96</v>
      </c>
      <c r="L88" s="617"/>
      <c r="M88" s="617">
        <v>379.2</v>
      </c>
      <c r="N88" s="617"/>
      <c r="O88" s="617"/>
      <c r="P88" s="630"/>
      <c r="Q88" s="618"/>
    </row>
    <row r="89" spans="1:17" ht="14.4" customHeight="1" x14ac:dyDescent="0.3">
      <c r="A89" s="613" t="s">
        <v>3113</v>
      </c>
      <c r="B89" s="614" t="s">
        <v>3114</v>
      </c>
      <c r="C89" s="614" t="s">
        <v>2470</v>
      </c>
      <c r="D89" s="614" t="s">
        <v>3123</v>
      </c>
      <c r="E89" s="614" t="s">
        <v>2969</v>
      </c>
      <c r="F89" s="617"/>
      <c r="G89" s="617"/>
      <c r="H89" s="617"/>
      <c r="I89" s="617"/>
      <c r="J89" s="617"/>
      <c r="K89" s="617"/>
      <c r="L89" s="617"/>
      <c r="M89" s="617"/>
      <c r="N89" s="617">
        <v>0.06</v>
      </c>
      <c r="O89" s="617">
        <v>1593.72</v>
      </c>
      <c r="P89" s="630"/>
      <c r="Q89" s="618">
        <v>26562</v>
      </c>
    </row>
    <row r="90" spans="1:17" ht="14.4" customHeight="1" x14ac:dyDescent="0.3">
      <c r="A90" s="613" t="s">
        <v>3113</v>
      </c>
      <c r="B90" s="614" t="s">
        <v>3114</v>
      </c>
      <c r="C90" s="614" t="s">
        <v>2566</v>
      </c>
      <c r="D90" s="614" t="s">
        <v>3124</v>
      </c>
      <c r="E90" s="614" t="s">
        <v>3125</v>
      </c>
      <c r="F90" s="617"/>
      <c r="G90" s="617"/>
      <c r="H90" s="617"/>
      <c r="I90" s="617"/>
      <c r="J90" s="617">
        <v>1</v>
      </c>
      <c r="K90" s="617">
        <v>1707.31</v>
      </c>
      <c r="L90" s="617"/>
      <c r="M90" s="617">
        <v>1707.31</v>
      </c>
      <c r="N90" s="617"/>
      <c r="O90" s="617"/>
      <c r="P90" s="630"/>
      <c r="Q90" s="618"/>
    </row>
    <row r="91" spans="1:17" ht="14.4" customHeight="1" x14ac:dyDescent="0.3">
      <c r="A91" s="613" t="s">
        <v>3113</v>
      </c>
      <c r="B91" s="614" t="s">
        <v>3114</v>
      </c>
      <c r="C91" s="614" t="s">
        <v>2566</v>
      </c>
      <c r="D91" s="614" t="s">
        <v>3126</v>
      </c>
      <c r="E91" s="614" t="s">
        <v>3127</v>
      </c>
      <c r="F91" s="617"/>
      <c r="G91" s="617"/>
      <c r="H91" s="617"/>
      <c r="I91" s="617"/>
      <c r="J91" s="617">
        <v>1</v>
      </c>
      <c r="K91" s="617">
        <v>1027.76</v>
      </c>
      <c r="L91" s="617"/>
      <c r="M91" s="617">
        <v>1027.76</v>
      </c>
      <c r="N91" s="617"/>
      <c r="O91" s="617"/>
      <c r="P91" s="630"/>
      <c r="Q91" s="618"/>
    </row>
    <row r="92" spans="1:17" ht="14.4" customHeight="1" x14ac:dyDescent="0.3">
      <c r="A92" s="613" t="s">
        <v>3113</v>
      </c>
      <c r="B92" s="614" t="s">
        <v>3114</v>
      </c>
      <c r="C92" s="614" t="s">
        <v>2566</v>
      </c>
      <c r="D92" s="614" t="s">
        <v>3128</v>
      </c>
      <c r="E92" s="614" t="s">
        <v>3129</v>
      </c>
      <c r="F92" s="617"/>
      <c r="G92" s="617"/>
      <c r="H92" s="617"/>
      <c r="I92" s="617"/>
      <c r="J92" s="617">
        <v>1</v>
      </c>
      <c r="K92" s="617">
        <v>6890.78</v>
      </c>
      <c r="L92" s="617"/>
      <c r="M92" s="617">
        <v>6890.78</v>
      </c>
      <c r="N92" s="617"/>
      <c r="O92" s="617"/>
      <c r="P92" s="630"/>
      <c r="Q92" s="618"/>
    </row>
    <row r="93" spans="1:17" ht="14.4" customHeight="1" x14ac:dyDescent="0.3">
      <c r="A93" s="613" t="s">
        <v>3113</v>
      </c>
      <c r="B93" s="614" t="s">
        <v>3114</v>
      </c>
      <c r="C93" s="614" t="s">
        <v>2566</v>
      </c>
      <c r="D93" s="614" t="s">
        <v>3130</v>
      </c>
      <c r="E93" s="614" t="s">
        <v>3131</v>
      </c>
      <c r="F93" s="617"/>
      <c r="G93" s="617"/>
      <c r="H93" s="617"/>
      <c r="I93" s="617"/>
      <c r="J93" s="617">
        <v>1</v>
      </c>
      <c r="K93" s="617">
        <v>1305.82</v>
      </c>
      <c r="L93" s="617"/>
      <c r="M93" s="617">
        <v>1305.82</v>
      </c>
      <c r="N93" s="617"/>
      <c r="O93" s="617"/>
      <c r="P93" s="630"/>
      <c r="Q93" s="618"/>
    </row>
    <row r="94" spans="1:17" ht="14.4" customHeight="1" x14ac:dyDescent="0.3">
      <c r="A94" s="613" t="s">
        <v>3113</v>
      </c>
      <c r="B94" s="614" t="s">
        <v>3114</v>
      </c>
      <c r="C94" s="614" t="s">
        <v>2566</v>
      </c>
      <c r="D94" s="614" t="s">
        <v>3132</v>
      </c>
      <c r="E94" s="614" t="s">
        <v>3133</v>
      </c>
      <c r="F94" s="617"/>
      <c r="G94" s="617"/>
      <c r="H94" s="617"/>
      <c r="I94" s="617"/>
      <c r="J94" s="617">
        <v>1</v>
      </c>
      <c r="K94" s="617">
        <v>6587.13</v>
      </c>
      <c r="L94" s="617"/>
      <c r="M94" s="617">
        <v>6587.13</v>
      </c>
      <c r="N94" s="617"/>
      <c r="O94" s="617"/>
      <c r="P94" s="630"/>
      <c r="Q94" s="618"/>
    </row>
    <row r="95" spans="1:17" ht="14.4" customHeight="1" x14ac:dyDescent="0.3">
      <c r="A95" s="613" t="s">
        <v>3113</v>
      </c>
      <c r="B95" s="614" t="s">
        <v>3114</v>
      </c>
      <c r="C95" s="614" t="s">
        <v>2380</v>
      </c>
      <c r="D95" s="614" t="s">
        <v>3134</v>
      </c>
      <c r="E95" s="614" t="s">
        <v>3135</v>
      </c>
      <c r="F95" s="617">
        <v>26</v>
      </c>
      <c r="G95" s="617">
        <v>5330</v>
      </c>
      <c r="H95" s="617">
        <v>1</v>
      </c>
      <c r="I95" s="617">
        <v>205</v>
      </c>
      <c r="J95" s="617">
        <v>21</v>
      </c>
      <c r="K95" s="617">
        <v>3904</v>
      </c>
      <c r="L95" s="617">
        <v>0.73245778611632273</v>
      </c>
      <c r="M95" s="617">
        <v>185.9047619047619</v>
      </c>
      <c r="N95" s="617">
        <v>18</v>
      </c>
      <c r="O95" s="617">
        <v>3726</v>
      </c>
      <c r="P95" s="630">
        <v>0.69906191369606008</v>
      </c>
      <c r="Q95" s="618">
        <v>207</v>
      </c>
    </row>
    <row r="96" spans="1:17" ht="14.4" customHeight="1" x14ac:dyDescent="0.3">
      <c r="A96" s="613" t="s">
        <v>3113</v>
      </c>
      <c r="B96" s="614" t="s">
        <v>3114</v>
      </c>
      <c r="C96" s="614" t="s">
        <v>2380</v>
      </c>
      <c r="D96" s="614" t="s">
        <v>3136</v>
      </c>
      <c r="E96" s="614" t="s">
        <v>3137</v>
      </c>
      <c r="F96" s="617"/>
      <c r="G96" s="617"/>
      <c r="H96" s="617"/>
      <c r="I96" s="617"/>
      <c r="J96" s="617">
        <v>1</v>
      </c>
      <c r="K96" s="617">
        <v>150</v>
      </c>
      <c r="L96" s="617"/>
      <c r="M96" s="617">
        <v>150</v>
      </c>
      <c r="N96" s="617">
        <v>2</v>
      </c>
      <c r="O96" s="617">
        <v>302</v>
      </c>
      <c r="P96" s="630"/>
      <c r="Q96" s="618">
        <v>151</v>
      </c>
    </row>
    <row r="97" spans="1:17" ht="14.4" customHeight="1" x14ac:dyDescent="0.3">
      <c r="A97" s="613" t="s">
        <v>3113</v>
      </c>
      <c r="B97" s="614" t="s">
        <v>3114</v>
      </c>
      <c r="C97" s="614" t="s">
        <v>2380</v>
      </c>
      <c r="D97" s="614" t="s">
        <v>3138</v>
      </c>
      <c r="E97" s="614" t="s">
        <v>3139</v>
      </c>
      <c r="F97" s="617"/>
      <c r="G97" s="617"/>
      <c r="H97" s="617"/>
      <c r="I97" s="617"/>
      <c r="J97" s="617">
        <v>1</v>
      </c>
      <c r="K97" s="617">
        <v>182</v>
      </c>
      <c r="L97" s="617"/>
      <c r="M97" s="617">
        <v>182</v>
      </c>
      <c r="N97" s="617"/>
      <c r="O97" s="617"/>
      <c r="P97" s="630"/>
      <c r="Q97" s="618"/>
    </row>
    <row r="98" spans="1:17" ht="14.4" customHeight="1" x14ac:dyDescent="0.3">
      <c r="A98" s="613" t="s">
        <v>3113</v>
      </c>
      <c r="B98" s="614" t="s">
        <v>3114</v>
      </c>
      <c r="C98" s="614" t="s">
        <v>2380</v>
      </c>
      <c r="D98" s="614" t="s">
        <v>3140</v>
      </c>
      <c r="E98" s="614" t="s">
        <v>3141</v>
      </c>
      <c r="F98" s="617"/>
      <c r="G98" s="617"/>
      <c r="H98" s="617"/>
      <c r="I98" s="617"/>
      <c r="J98" s="617">
        <v>6</v>
      </c>
      <c r="K98" s="617">
        <v>744</v>
      </c>
      <c r="L98" s="617"/>
      <c r="M98" s="617">
        <v>124</v>
      </c>
      <c r="N98" s="617">
        <v>1</v>
      </c>
      <c r="O98" s="617">
        <v>125</v>
      </c>
      <c r="P98" s="630"/>
      <c r="Q98" s="618">
        <v>125</v>
      </c>
    </row>
    <row r="99" spans="1:17" ht="14.4" customHeight="1" x14ac:dyDescent="0.3">
      <c r="A99" s="613" t="s">
        <v>3113</v>
      </c>
      <c r="B99" s="614" t="s">
        <v>3114</v>
      </c>
      <c r="C99" s="614" t="s">
        <v>2380</v>
      </c>
      <c r="D99" s="614" t="s">
        <v>3142</v>
      </c>
      <c r="E99" s="614" t="s">
        <v>3143</v>
      </c>
      <c r="F99" s="617">
        <v>4</v>
      </c>
      <c r="G99" s="617">
        <v>868</v>
      </c>
      <c r="H99" s="617">
        <v>1</v>
      </c>
      <c r="I99" s="617">
        <v>217</v>
      </c>
      <c r="J99" s="617">
        <v>1</v>
      </c>
      <c r="K99" s="617">
        <v>218</v>
      </c>
      <c r="L99" s="617">
        <v>0.25115207373271892</v>
      </c>
      <c r="M99" s="617">
        <v>218</v>
      </c>
      <c r="N99" s="617">
        <v>7</v>
      </c>
      <c r="O99" s="617">
        <v>1533</v>
      </c>
      <c r="P99" s="630">
        <v>1.7661290322580645</v>
      </c>
      <c r="Q99" s="618">
        <v>219</v>
      </c>
    </row>
    <row r="100" spans="1:17" ht="14.4" customHeight="1" x14ac:dyDescent="0.3">
      <c r="A100" s="613" t="s">
        <v>3113</v>
      </c>
      <c r="B100" s="614" t="s">
        <v>3114</v>
      </c>
      <c r="C100" s="614" t="s">
        <v>2380</v>
      </c>
      <c r="D100" s="614" t="s">
        <v>3144</v>
      </c>
      <c r="E100" s="614" t="s">
        <v>3145</v>
      </c>
      <c r="F100" s="617"/>
      <c r="G100" s="617"/>
      <c r="H100" s="617"/>
      <c r="I100" s="617"/>
      <c r="J100" s="617">
        <v>1</v>
      </c>
      <c r="K100" s="617">
        <v>217</v>
      </c>
      <c r="L100" s="617"/>
      <c r="M100" s="617">
        <v>217</v>
      </c>
      <c r="N100" s="617">
        <v>2</v>
      </c>
      <c r="O100" s="617">
        <v>438</v>
      </c>
      <c r="P100" s="630"/>
      <c r="Q100" s="618">
        <v>219</v>
      </c>
    </row>
    <row r="101" spans="1:17" ht="14.4" customHeight="1" x14ac:dyDescent="0.3">
      <c r="A101" s="613" t="s">
        <v>3113</v>
      </c>
      <c r="B101" s="614" t="s">
        <v>3114</v>
      </c>
      <c r="C101" s="614" t="s">
        <v>2380</v>
      </c>
      <c r="D101" s="614" t="s">
        <v>3146</v>
      </c>
      <c r="E101" s="614" t="s">
        <v>3147</v>
      </c>
      <c r="F101" s="617"/>
      <c r="G101" s="617"/>
      <c r="H101" s="617"/>
      <c r="I101" s="617"/>
      <c r="J101" s="617"/>
      <c r="K101" s="617"/>
      <c r="L101" s="617"/>
      <c r="M101" s="617"/>
      <c r="N101" s="617">
        <v>1</v>
      </c>
      <c r="O101" s="617">
        <v>221</v>
      </c>
      <c r="P101" s="630"/>
      <c r="Q101" s="618">
        <v>221</v>
      </c>
    </row>
    <row r="102" spans="1:17" ht="14.4" customHeight="1" x14ac:dyDescent="0.3">
      <c r="A102" s="613" t="s">
        <v>3113</v>
      </c>
      <c r="B102" s="614" t="s">
        <v>3114</v>
      </c>
      <c r="C102" s="614" t="s">
        <v>2380</v>
      </c>
      <c r="D102" s="614" t="s">
        <v>3148</v>
      </c>
      <c r="E102" s="614" t="s">
        <v>3149</v>
      </c>
      <c r="F102" s="617">
        <v>1</v>
      </c>
      <c r="G102" s="617">
        <v>4127</v>
      </c>
      <c r="H102" s="617">
        <v>1</v>
      </c>
      <c r="I102" s="617">
        <v>4127</v>
      </c>
      <c r="J102" s="617">
        <v>1</v>
      </c>
      <c r="K102" s="617">
        <v>4135</v>
      </c>
      <c r="L102" s="617">
        <v>1.0019384540828689</v>
      </c>
      <c r="M102" s="617">
        <v>4135</v>
      </c>
      <c r="N102" s="617"/>
      <c r="O102" s="617"/>
      <c r="P102" s="630"/>
      <c r="Q102" s="618"/>
    </row>
    <row r="103" spans="1:17" ht="14.4" customHeight="1" x14ac:dyDescent="0.3">
      <c r="A103" s="613" t="s">
        <v>3113</v>
      </c>
      <c r="B103" s="614" t="s">
        <v>3114</v>
      </c>
      <c r="C103" s="614" t="s">
        <v>2380</v>
      </c>
      <c r="D103" s="614" t="s">
        <v>3150</v>
      </c>
      <c r="E103" s="614" t="s">
        <v>3151</v>
      </c>
      <c r="F103" s="617"/>
      <c r="G103" s="617"/>
      <c r="H103" s="617"/>
      <c r="I103" s="617"/>
      <c r="J103" s="617">
        <v>1</v>
      </c>
      <c r="K103" s="617">
        <v>3821</v>
      </c>
      <c r="L103" s="617"/>
      <c r="M103" s="617">
        <v>3821</v>
      </c>
      <c r="N103" s="617"/>
      <c r="O103" s="617"/>
      <c r="P103" s="630"/>
      <c r="Q103" s="618"/>
    </row>
    <row r="104" spans="1:17" ht="14.4" customHeight="1" x14ac:dyDescent="0.3">
      <c r="A104" s="613" t="s">
        <v>3113</v>
      </c>
      <c r="B104" s="614" t="s">
        <v>3114</v>
      </c>
      <c r="C104" s="614" t="s">
        <v>2380</v>
      </c>
      <c r="D104" s="614" t="s">
        <v>3152</v>
      </c>
      <c r="E104" s="614" t="s">
        <v>3153</v>
      </c>
      <c r="F104" s="617">
        <v>1</v>
      </c>
      <c r="G104" s="617">
        <v>5150</v>
      </c>
      <c r="H104" s="617">
        <v>1</v>
      </c>
      <c r="I104" s="617">
        <v>5150</v>
      </c>
      <c r="J104" s="617"/>
      <c r="K104" s="617"/>
      <c r="L104" s="617"/>
      <c r="M104" s="617"/>
      <c r="N104" s="617"/>
      <c r="O104" s="617"/>
      <c r="P104" s="630"/>
      <c r="Q104" s="618"/>
    </row>
    <row r="105" spans="1:17" ht="14.4" customHeight="1" x14ac:dyDescent="0.3">
      <c r="A105" s="613" t="s">
        <v>3113</v>
      </c>
      <c r="B105" s="614" t="s">
        <v>3114</v>
      </c>
      <c r="C105" s="614" t="s">
        <v>2380</v>
      </c>
      <c r="D105" s="614" t="s">
        <v>3154</v>
      </c>
      <c r="E105" s="614" t="s">
        <v>3155</v>
      </c>
      <c r="F105" s="617"/>
      <c r="G105" s="617"/>
      <c r="H105" s="617"/>
      <c r="I105" s="617"/>
      <c r="J105" s="617">
        <v>3</v>
      </c>
      <c r="K105" s="617">
        <v>15222</v>
      </c>
      <c r="L105" s="617"/>
      <c r="M105" s="617">
        <v>5074</v>
      </c>
      <c r="N105" s="617">
        <v>1</v>
      </c>
      <c r="O105" s="617">
        <v>5076</v>
      </c>
      <c r="P105" s="630"/>
      <c r="Q105" s="618">
        <v>5076</v>
      </c>
    </row>
    <row r="106" spans="1:17" ht="14.4" customHeight="1" x14ac:dyDescent="0.3">
      <c r="A106" s="613" t="s">
        <v>3113</v>
      </c>
      <c r="B106" s="614" t="s">
        <v>3114</v>
      </c>
      <c r="C106" s="614" t="s">
        <v>2380</v>
      </c>
      <c r="D106" s="614" t="s">
        <v>3156</v>
      </c>
      <c r="E106" s="614" t="s">
        <v>3157</v>
      </c>
      <c r="F106" s="617">
        <v>19</v>
      </c>
      <c r="G106" s="617">
        <v>3287</v>
      </c>
      <c r="H106" s="617">
        <v>1</v>
      </c>
      <c r="I106" s="617">
        <v>173</v>
      </c>
      <c r="J106" s="617">
        <v>21</v>
      </c>
      <c r="K106" s="617">
        <v>3643</v>
      </c>
      <c r="L106" s="617">
        <v>1.1083054456951629</v>
      </c>
      <c r="M106" s="617">
        <v>173.47619047619048</v>
      </c>
      <c r="N106" s="617">
        <v>24</v>
      </c>
      <c r="O106" s="617">
        <v>4200</v>
      </c>
      <c r="P106" s="630">
        <v>1.2777608761788866</v>
      </c>
      <c r="Q106" s="618">
        <v>175</v>
      </c>
    </row>
    <row r="107" spans="1:17" ht="14.4" customHeight="1" x14ac:dyDescent="0.3">
      <c r="A107" s="613" t="s">
        <v>3113</v>
      </c>
      <c r="B107" s="614" t="s">
        <v>3114</v>
      </c>
      <c r="C107" s="614" t="s">
        <v>2380</v>
      </c>
      <c r="D107" s="614" t="s">
        <v>3158</v>
      </c>
      <c r="E107" s="614" t="s">
        <v>3159</v>
      </c>
      <c r="F107" s="617">
        <v>13</v>
      </c>
      <c r="G107" s="617">
        <v>25948</v>
      </c>
      <c r="H107" s="617">
        <v>1</v>
      </c>
      <c r="I107" s="617">
        <v>1996</v>
      </c>
      <c r="J107" s="617">
        <v>6</v>
      </c>
      <c r="K107" s="617">
        <v>11979</v>
      </c>
      <c r="L107" s="617">
        <v>0.46165407738554032</v>
      </c>
      <c r="M107" s="617">
        <v>1996.5</v>
      </c>
      <c r="N107" s="617">
        <v>14</v>
      </c>
      <c r="O107" s="617">
        <v>28014</v>
      </c>
      <c r="P107" s="630">
        <v>1.0796207800215816</v>
      </c>
      <c r="Q107" s="618">
        <v>2001</v>
      </c>
    </row>
    <row r="108" spans="1:17" ht="14.4" customHeight="1" x14ac:dyDescent="0.3">
      <c r="A108" s="613" t="s">
        <v>3113</v>
      </c>
      <c r="B108" s="614" t="s">
        <v>3114</v>
      </c>
      <c r="C108" s="614" t="s">
        <v>2380</v>
      </c>
      <c r="D108" s="614" t="s">
        <v>3160</v>
      </c>
      <c r="E108" s="614" t="s">
        <v>3161</v>
      </c>
      <c r="F108" s="617"/>
      <c r="G108" s="617"/>
      <c r="H108" s="617"/>
      <c r="I108" s="617"/>
      <c r="J108" s="617">
        <v>1</v>
      </c>
      <c r="K108" s="617">
        <v>2695</v>
      </c>
      <c r="L108" s="617"/>
      <c r="M108" s="617">
        <v>2695</v>
      </c>
      <c r="N108" s="617">
        <v>1</v>
      </c>
      <c r="O108" s="617">
        <v>2696</v>
      </c>
      <c r="P108" s="630"/>
      <c r="Q108" s="618">
        <v>2696</v>
      </c>
    </row>
    <row r="109" spans="1:17" ht="14.4" customHeight="1" x14ac:dyDescent="0.3">
      <c r="A109" s="613" t="s">
        <v>3113</v>
      </c>
      <c r="B109" s="614" t="s">
        <v>3114</v>
      </c>
      <c r="C109" s="614" t="s">
        <v>2380</v>
      </c>
      <c r="D109" s="614" t="s">
        <v>3162</v>
      </c>
      <c r="E109" s="614" t="s">
        <v>3163</v>
      </c>
      <c r="F109" s="617">
        <v>1</v>
      </c>
      <c r="G109" s="617">
        <v>5180</v>
      </c>
      <c r="H109" s="617">
        <v>1</v>
      </c>
      <c r="I109" s="617">
        <v>5180</v>
      </c>
      <c r="J109" s="617"/>
      <c r="K109" s="617"/>
      <c r="L109" s="617"/>
      <c r="M109" s="617"/>
      <c r="N109" s="617"/>
      <c r="O109" s="617"/>
      <c r="P109" s="630"/>
      <c r="Q109" s="618"/>
    </row>
    <row r="110" spans="1:17" ht="14.4" customHeight="1" x14ac:dyDescent="0.3">
      <c r="A110" s="613" t="s">
        <v>3113</v>
      </c>
      <c r="B110" s="614" t="s">
        <v>3114</v>
      </c>
      <c r="C110" s="614" t="s">
        <v>2380</v>
      </c>
      <c r="D110" s="614" t="s">
        <v>3164</v>
      </c>
      <c r="E110" s="614" t="s">
        <v>3165</v>
      </c>
      <c r="F110" s="617"/>
      <c r="G110" s="617"/>
      <c r="H110" s="617"/>
      <c r="I110" s="617"/>
      <c r="J110" s="617">
        <v>1</v>
      </c>
      <c r="K110" s="617">
        <v>151</v>
      </c>
      <c r="L110" s="617"/>
      <c r="M110" s="617">
        <v>151</v>
      </c>
      <c r="N110" s="617">
        <v>2</v>
      </c>
      <c r="O110" s="617">
        <v>302</v>
      </c>
      <c r="P110" s="630"/>
      <c r="Q110" s="618">
        <v>151</v>
      </c>
    </row>
    <row r="111" spans="1:17" ht="14.4" customHeight="1" x14ac:dyDescent="0.3">
      <c r="A111" s="613" t="s">
        <v>3113</v>
      </c>
      <c r="B111" s="614" t="s">
        <v>3114</v>
      </c>
      <c r="C111" s="614" t="s">
        <v>2380</v>
      </c>
      <c r="D111" s="614" t="s">
        <v>3166</v>
      </c>
      <c r="E111" s="614" t="s">
        <v>3167</v>
      </c>
      <c r="F111" s="617"/>
      <c r="G111" s="617"/>
      <c r="H111" s="617"/>
      <c r="I111" s="617"/>
      <c r="J111" s="617"/>
      <c r="K111" s="617"/>
      <c r="L111" s="617"/>
      <c r="M111" s="617"/>
      <c r="N111" s="617">
        <v>1</v>
      </c>
      <c r="O111" s="617">
        <v>195</v>
      </c>
      <c r="P111" s="630"/>
      <c r="Q111" s="618">
        <v>195</v>
      </c>
    </row>
    <row r="112" spans="1:17" ht="14.4" customHeight="1" x14ac:dyDescent="0.3">
      <c r="A112" s="613" t="s">
        <v>3113</v>
      </c>
      <c r="B112" s="614" t="s">
        <v>3114</v>
      </c>
      <c r="C112" s="614" t="s">
        <v>2380</v>
      </c>
      <c r="D112" s="614" t="s">
        <v>3168</v>
      </c>
      <c r="E112" s="614" t="s">
        <v>3169</v>
      </c>
      <c r="F112" s="617"/>
      <c r="G112" s="617"/>
      <c r="H112" s="617"/>
      <c r="I112" s="617"/>
      <c r="J112" s="617"/>
      <c r="K112" s="617"/>
      <c r="L112" s="617"/>
      <c r="M112" s="617"/>
      <c r="N112" s="617">
        <v>3</v>
      </c>
      <c r="O112" s="617">
        <v>600</v>
      </c>
      <c r="P112" s="630"/>
      <c r="Q112" s="618">
        <v>200</v>
      </c>
    </row>
    <row r="113" spans="1:17" ht="14.4" customHeight="1" x14ac:dyDescent="0.3">
      <c r="A113" s="613" t="s">
        <v>3113</v>
      </c>
      <c r="B113" s="614" t="s">
        <v>3114</v>
      </c>
      <c r="C113" s="614" t="s">
        <v>2380</v>
      </c>
      <c r="D113" s="614" t="s">
        <v>3170</v>
      </c>
      <c r="E113" s="614" t="s">
        <v>3171</v>
      </c>
      <c r="F113" s="617"/>
      <c r="G113" s="617"/>
      <c r="H113" s="617"/>
      <c r="I113" s="617"/>
      <c r="J113" s="617">
        <v>1</v>
      </c>
      <c r="K113" s="617">
        <v>415</v>
      </c>
      <c r="L113" s="617"/>
      <c r="M113" s="617">
        <v>415</v>
      </c>
      <c r="N113" s="617"/>
      <c r="O113" s="617"/>
      <c r="P113" s="630"/>
      <c r="Q113" s="618"/>
    </row>
    <row r="114" spans="1:17" ht="14.4" customHeight="1" x14ac:dyDescent="0.3">
      <c r="A114" s="613" t="s">
        <v>3113</v>
      </c>
      <c r="B114" s="614" t="s">
        <v>3114</v>
      </c>
      <c r="C114" s="614" t="s">
        <v>2380</v>
      </c>
      <c r="D114" s="614" t="s">
        <v>3172</v>
      </c>
      <c r="E114" s="614" t="s">
        <v>3173</v>
      </c>
      <c r="F114" s="617">
        <v>18</v>
      </c>
      <c r="G114" s="617">
        <v>2844</v>
      </c>
      <c r="H114" s="617">
        <v>1</v>
      </c>
      <c r="I114" s="617">
        <v>158</v>
      </c>
      <c r="J114" s="617">
        <v>17</v>
      </c>
      <c r="K114" s="617">
        <v>2692</v>
      </c>
      <c r="L114" s="617">
        <v>0.9465541490857946</v>
      </c>
      <c r="M114" s="617">
        <v>158.35294117647058</v>
      </c>
      <c r="N114" s="617">
        <v>9</v>
      </c>
      <c r="O114" s="617">
        <v>1431</v>
      </c>
      <c r="P114" s="630">
        <v>0.50316455696202533</v>
      </c>
      <c r="Q114" s="618">
        <v>159</v>
      </c>
    </row>
    <row r="115" spans="1:17" ht="14.4" customHeight="1" x14ac:dyDescent="0.3">
      <c r="A115" s="613" t="s">
        <v>3113</v>
      </c>
      <c r="B115" s="614" t="s">
        <v>3114</v>
      </c>
      <c r="C115" s="614" t="s">
        <v>2380</v>
      </c>
      <c r="D115" s="614" t="s">
        <v>3174</v>
      </c>
      <c r="E115" s="614" t="s">
        <v>3175</v>
      </c>
      <c r="F115" s="617">
        <v>4</v>
      </c>
      <c r="G115" s="617">
        <v>8472</v>
      </c>
      <c r="H115" s="617">
        <v>1</v>
      </c>
      <c r="I115" s="617">
        <v>2118</v>
      </c>
      <c r="J115" s="617">
        <v>10</v>
      </c>
      <c r="K115" s="617">
        <v>21195</v>
      </c>
      <c r="L115" s="617">
        <v>2.5017705382436262</v>
      </c>
      <c r="M115" s="617">
        <v>2119.5</v>
      </c>
      <c r="N115" s="617">
        <v>6</v>
      </c>
      <c r="O115" s="617">
        <v>12738</v>
      </c>
      <c r="P115" s="630">
        <v>1.5035410764872521</v>
      </c>
      <c r="Q115" s="618">
        <v>2123</v>
      </c>
    </row>
    <row r="116" spans="1:17" ht="14.4" customHeight="1" x14ac:dyDescent="0.3">
      <c r="A116" s="613" t="s">
        <v>3113</v>
      </c>
      <c r="B116" s="614" t="s">
        <v>3114</v>
      </c>
      <c r="C116" s="614" t="s">
        <v>2380</v>
      </c>
      <c r="D116" s="614" t="s">
        <v>3176</v>
      </c>
      <c r="E116" s="614" t="s">
        <v>3151</v>
      </c>
      <c r="F116" s="617"/>
      <c r="G116" s="617"/>
      <c r="H116" s="617"/>
      <c r="I116" s="617"/>
      <c r="J116" s="617">
        <v>2</v>
      </c>
      <c r="K116" s="617">
        <v>3734</v>
      </c>
      <c r="L116" s="617"/>
      <c r="M116" s="617">
        <v>1867</v>
      </c>
      <c r="N116" s="617">
        <v>2</v>
      </c>
      <c r="O116" s="617">
        <v>3738</v>
      </c>
      <c r="P116" s="630"/>
      <c r="Q116" s="618">
        <v>1869</v>
      </c>
    </row>
    <row r="117" spans="1:17" ht="14.4" customHeight="1" x14ac:dyDescent="0.3">
      <c r="A117" s="613" t="s">
        <v>3113</v>
      </c>
      <c r="B117" s="614" t="s">
        <v>3114</v>
      </c>
      <c r="C117" s="614" t="s">
        <v>2380</v>
      </c>
      <c r="D117" s="614" t="s">
        <v>3177</v>
      </c>
      <c r="E117" s="614" t="s">
        <v>3178</v>
      </c>
      <c r="F117" s="617"/>
      <c r="G117" s="617"/>
      <c r="H117" s="617"/>
      <c r="I117" s="617"/>
      <c r="J117" s="617">
        <v>1</v>
      </c>
      <c r="K117" s="617">
        <v>8395</v>
      </c>
      <c r="L117" s="617"/>
      <c r="M117" s="617">
        <v>8395</v>
      </c>
      <c r="N117" s="617">
        <v>1</v>
      </c>
      <c r="O117" s="617">
        <v>8399</v>
      </c>
      <c r="P117" s="630"/>
      <c r="Q117" s="618">
        <v>8399</v>
      </c>
    </row>
    <row r="118" spans="1:17" ht="14.4" customHeight="1" x14ac:dyDescent="0.3">
      <c r="A118" s="613" t="s">
        <v>3179</v>
      </c>
      <c r="B118" s="614" t="s">
        <v>3180</v>
      </c>
      <c r="C118" s="614" t="s">
        <v>2380</v>
      </c>
      <c r="D118" s="614" t="s">
        <v>3181</v>
      </c>
      <c r="E118" s="614" t="s">
        <v>3182</v>
      </c>
      <c r="F118" s="617">
        <v>12</v>
      </c>
      <c r="G118" s="617">
        <v>2436</v>
      </c>
      <c r="H118" s="617">
        <v>1</v>
      </c>
      <c r="I118" s="617">
        <v>203</v>
      </c>
      <c r="J118" s="617">
        <v>6</v>
      </c>
      <c r="K118" s="617">
        <v>1226</v>
      </c>
      <c r="L118" s="617">
        <v>0.50328407224958949</v>
      </c>
      <c r="M118" s="617">
        <v>204.33333333333334</v>
      </c>
      <c r="N118" s="617">
        <v>8</v>
      </c>
      <c r="O118" s="617">
        <v>1648</v>
      </c>
      <c r="P118" s="630">
        <v>0.67651888341543509</v>
      </c>
      <c r="Q118" s="618">
        <v>206</v>
      </c>
    </row>
    <row r="119" spans="1:17" ht="14.4" customHeight="1" x14ac:dyDescent="0.3">
      <c r="A119" s="613" t="s">
        <v>3179</v>
      </c>
      <c r="B119" s="614" t="s">
        <v>3180</v>
      </c>
      <c r="C119" s="614" t="s">
        <v>2380</v>
      </c>
      <c r="D119" s="614" t="s">
        <v>3183</v>
      </c>
      <c r="E119" s="614" t="s">
        <v>3184</v>
      </c>
      <c r="F119" s="617">
        <v>26</v>
      </c>
      <c r="G119" s="617">
        <v>7592</v>
      </c>
      <c r="H119" s="617">
        <v>1</v>
      </c>
      <c r="I119" s="617">
        <v>292</v>
      </c>
      <c r="J119" s="617">
        <v>12</v>
      </c>
      <c r="K119" s="617">
        <v>3504</v>
      </c>
      <c r="L119" s="617">
        <v>0.46153846153846156</v>
      </c>
      <c r="M119" s="617">
        <v>292</v>
      </c>
      <c r="N119" s="617"/>
      <c r="O119" s="617"/>
      <c r="P119" s="630"/>
      <c r="Q119" s="618"/>
    </row>
    <row r="120" spans="1:17" ht="14.4" customHeight="1" x14ac:dyDescent="0.3">
      <c r="A120" s="613" t="s">
        <v>3179</v>
      </c>
      <c r="B120" s="614" t="s">
        <v>3180</v>
      </c>
      <c r="C120" s="614" t="s">
        <v>2380</v>
      </c>
      <c r="D120" s="614" t="s">
        <v>3185</v>
      </c>
      <c r="E120" s="614" t="s">
        <v>3186</v>
      </c>
      <c r="F120" s="617">
        <v>14</v>
      </c>
      <c r="G120" s="617">
        <v>1876</v>
      </c>
      <c r="H120" s="617">
        <v>1</v>
      </c>
      <c r="I120" s="617">
        <v>134</v>
      </c>
      <c r="J120" s="617">
        <v>11</v>
      </c>
      <c r="K120" s="617">
        <v>1477</v>
      </c>
      <c r="L120" s="617">
        <v>0.78731343283582089</v>
      </c>
      <c r="M120" s="617">
        <v>134.27272727272728</v>
      </c>
      <c r="N120" s="617">
        <v>12</v>
      </c>
      <c r="O120" s="617">
        <v>1620</v>
      </c>
      <c r="P120" s="630">
        <v>0.86353944562899787</v>
      </c>
      <c r="Q120" s="618">
        <v>135</v>
      </c>
    </row>
    <row r="121" spans="1:17" ht="14.4" customHeight="1" x14ac:dyDescent="0.3">
      <c r="A121" s="613" t="s">
        <v>3179</v>
      </c>
      <c r="B121" s="614" t="s">
        <v>3180</v>
      </c>
      <c r="C121" s="614" t="s">
        <v>2380</v>
      </c>
      <c r="D121" s="614" t="s">
        <v>3187</v>
      </c>
      <c r="E121" s="614" t="s">
        <v>3188</v>
      </c>
      <c r="F121" s="617">
        <v>1</v>
      </c>
      <c r="G121" s="617">
        <v>612</v>
      </c>
      <c r="H121" s="617">
        <v>1</v>
      </c>
      <c r="I121" s="617">
        <v>612</v>
      </c>
      <c r="J121" s="617"/>
      <c r="K121" s="617"/>
      <c r="L121" s="617"/>
      <c r="M121" s="617"/>
      <c r="N121" s="617"/>
      <c r="O121" s="617"/>
      <c r="P121" s="630"/>
      <c r="Q121" s="618"/>
    </row>
    <row r="122" spans="1:17" ht="14.4" customHeight="1" x14ac:dyDescent="0.3">
      <c r="A122" s="613" t="s">
        <v>3179</v>
      </c>
      <c r="B122" s="614" t="s">
        <v>3180</v>
      </c>
      <c r="C122" s="614" t="s">
        <v>2380</v>
      </c>
      <c r="D122" s="614" t="s">
        <v>3189</v>
      </c>
      <c r="E122" s="614" t="s">
        <v>3190</v>
      </c>
      <c r="F122" s="617">
        <v>1</v>
      </c>
      <c r="G122" s="617">
        <v>159</v>
      </c>
      <c r="H122" s="617">
        <v>1</v>
      </c>
      <c r="I122" s="617">
        <v>159</v>
      </c>
      <c r="J122" s="617">
        <v>1</v>
      </c>
      <c r="K122" s="617">
        <v>159</v>
      </c>
      <c r="L122" s="617">
        <v>1</v>
      </c>
      <c r="M122" s="617">
        <v>159</v>
      </c>
      <c r="N122" s="617"/>
      <c r="O122" s="617"/>
      <c r="P122" s="630"/>
      <c r="Q122" s="618"/>
    </row>
    <row r="123" spans="1:17" ht="14.4" customHeight="1" x14ac:dyDescent="0.3">
      <c r="A123" s="613" t="s">
        <v>3179</v>
      </c>
      <c r="B123" s="614" t="s">
        <v>3180</v>
      </c>
      <c r="C123" s="614" t="s">
        <v>2380</v>
      </c>
      <c r="D123" s="614" t="s">
        <v>3191</v>
      </c>
      <c r="E123" s="614" t="s">
        <v>3192</v>
      </c>
      <c r="F123" s="617">
        <v>7</v>
      </c>
      <c r="G123" s="617">
        <v>1834</v>
      </c>
      <c r="H123" s="617">
        <v>1</v>
      </c>
      <c r="I123" s="617">
        <v>262</v>
      </c>
      <c r="J123" s="617">
        <v>4</v>
      </c>
      <c r="K123" s="617">
        <v>1057</v>
      </c>
      <c r="L123" s="617">
        <v>0.57633587786259544</v>
      </c>
      <c r="M123" s="617">
        <v>264.25</v>
      </c>
      <c r="N123" s="617">
        <v>2</v>
      </c>
      <c r="O123" s="617">
        <v>532</v>
      </c>
      <c r="P123" s="630">
        <v>0.29007633587786258</v>
      </c>
      <c r="Q123" s="618">
        <v>266</v>
      </c>
    </row>
    <row r="124" spans="1:17" ht="14.4" customHeight="1" x14ac:dyDescent="0.3">
      <c r="A124" s="613" t="s">
        <v>3179</v>
      </c>
      <c r="B124" s="614" t="s">
        <v>3180</v>
      </c>
      <c r="C124" s="614" t="s">
        <v>2380</v>
      </c>
      <c r="D124" s="614" t="s">
        <v>3193</v>
      </c>
      <c r="E124" s="614" t="s">
        <v>3194</v>
      </c>
      <c r="F124" s="617">
        <v>7</v>
      </c>
      <c r="G124" s="617">
        <v>987</v>
      </c>
      <c r="H124" s="617">
        <v>1</v>
      </c>
      <c r="I124" s="617">
        <v>141</v>
      </c>
      <c r="J124" s="617">
        <v>2</v>
      </c>
      <c r="K124" s="617">
        <v>282</v>
      </c>
      <c r="L124" s="617">
        <v>0.2857142857142857</v>
      </c>
      <c r="M124" s="617">
        <v>141</v>
      </c>
      <c r="N124" s="617">
        <v>3</v>
      </c>
      <c r="O124" s="617">
        <v>423</v>
      </c>
      <c r="P124" s="630">
        <v>0.42857142857142855</v>
      </c>
      <c r="Q124" s="618">
        <v>141</v>
      </c>
    </row>
    <row r="125" spans="1:17" ht="14.4" customHeight="1" x14ac:dyDescent="0.3">
      <c r="A125" s="613" t="s">
        <v>3179</v>
      </c>
      <c r="B125" s="614" t="s">
        <v>3180</v>
      </c>
      <c r="C125" s="614" t="s">
        <v>2380</v>
      </c>
      <c r="D125" s="614" t="s">
        <v>3195</v>
      </c>
      <c r="E125" s="614" t="s">
        <v>3194</v>
      </c>
      <c r="F125" s="617">
        <v>14</v>
      </c>
      <c r="G125" s="617">
        <v>1092</v>
      </c>
      <c r="H125" s="617">
        <v>1</v>
      </c>
      <c r="I125" s="617">
        <v>78</v>
      </c>
      <c r="J125" s="617">
        <v>11</v>
      </c>
      <c r="K125" s="617">
        <v>858</v>
      </c>
      <c r="L125" s="617">
        <v>0.7857142857142857</v>
      </c>
      <c r="M125" s="617">
        <v>78</v>
      </c>
      <c r="N125" s="617">
        <v>12</v>
      </c>
      <c r="O125" s="617">
        <v>936</v>
      </c>
      <c r="P125" s="630">
        <v>0.8571428571428571</v>
      </c>
      <c r="Q125" s="618">
        <v>78</v>
      </c>
    </row>
    <row r="126" spans="1:17" ht="14.4" customHeight="1" x14ac:dyDescent="0.3">
      <c r="A126" s="613" t="s">
        <v>3179</v>
      </c>
      <c r="B126" s="614" t="s">
        <v>3180</v>
      </c>
      <c r="C126" s="614" t="s">
        <v>2380</v>
      </c>
      <c r="D126" s="614" t="s">
        <v>3196</v>
      </c>
      <c r="E126" s="614" t="s">
        <v>3197</v>
      </c>
      <c r="F126" s="617">
        <v>7</v>
      </c>
      <c r="G126" s="617">
        <v>2121</v>
      </c>
      <c r="H126" s="617">
        <v>1</v>
      </c>
      <c r="I126" s="617">
        <v>303</v>
      </c>
      <c r="J126" s="617">
        <v>2</v>
      </c>
      <c r="K126" s="617">
        <v>612</v>
      </c>
      <c r="L126" s="617">
        <v>0.28854314002828857</v>
      </c>
      <c r="M126" s="617">
        <v>306</v>
      </c>
      <c r="N126" s="617">
        <v>3</v>
      </c>
      <c r="O126" s="617">
        <v>921</v>
      </c>
      <c r="P126" s="630">
        <v>0.43422913719943423</v>
      </c>
      <c r="Q126" s="618">
        <v>307</v>
      </c>
    </row>
    <row r="127" spans="1:17" ht="14.4" customHeight="1" x14ac:dyDescent="0.3">
      <c r="A127" s="613" t="s">
        <v>3179</v>
      </c>
      <c r="B127" s="614" t="s">
        <v>3180</v>
      </c>
      <c r="C127" s="614" t="s">
        <v>2380</v>
      </c>
      <c r="D127" s="614" t="s">
        <v>3198</v>
      </c>
      <c r="E127" s="614" t="s">
        <v>3199</v>
      </c>
      <c r="F127" s="617">
        <v>13</v>
      </c>
      <c r="G127" s="617">
        <v>2080</v>
      </c>
      <c r="H127" s="617">
        <v>1</v>
      </c>
      <c r="I127" s="617">
        <v>160</v>
      </c>
      <c r="J127" s="617">
        <v>10</v>
      </c>
      <c r="K127" s="617">
        <v>1603</v>
      </c>
      <c r="L127" s="617">
        <v>0.77067307692307696</v>
      </c>
      <c r="M127" s="617">
        <v>160.30000000000001</v>
      </c>
      <c r="N127" s="617">
        <v>12</v>
      </c>
      <c r="O127" s="617">
        <v>1932</v>
      </c>
      <c r="P127" s="630">
        <v>0.92884615384615388</v>
      </c>
      <c r="Q127" s="618">
        <v>161</v>
      </c>
    </row>
    <row r="128" spans="1:17" ht="14.4" customHeight="1" x14ac:dyDescent="0.3">
      <c r="A128" s="613" t="s">
        <v>3179</v>
      </c>
      <c r="B128" s="614" t="s">
        <v>3180</v>
      </c>
      <c r="C128" s="614" t="s">
        <v>2380</v>
      </c>
      <c r="D128" s="614" t="s">
        <v>3200</v>
      </c>
      <c r="E128" s="614" t="s">
        <v>3182</v>
      </c>
      <c r="F128" s="617">
        <v>28</v>
      </c>
      <c r="G128" s="617">
        <v>1960</v>
      </c>
      <c r="H128" s="617">
        <v>1</v>
      </c>
      <c r="I128" s="617">
        <v>70</v>
      </c>
      <c r="J128" s="617">
        <v>23</v>
      </c>
      <c r="K128" s="617">
        <v>1616</v>
      </c>
      <c r="L128" s="617">
        <v>0.82448979591836735</v>
      </c>
      <c r="M128" s="617">
        <v>70.260869565217391</v>
      </c>
      <c r="N128" s="617">
        <v>25</v>
      </c>
      <c r="O128" s="617">
        <v>1775</v>
      </c>
      <c r="P128" s="630">
        <v>0.90561224489795922</v>
      </c>
      <c r="Q128" s="618">
        <v>71</v>
      </c>
    </row>
    <row r="129" spans="1:17" ht="14.4" customHeight="1" x14ac:dyDescent="0.3">
      <c r="A129" s="613" t="s">
        <v>3179</v>
      </c>
      <c r="B129" s="614" t="s">
        <v>3180</v>
      </c>
      <c r="C129" s="614" t="s">
        <v>2380</v>
      </c>
      <c r="D129" s="614" t="s">
        <v>3201</v>
      </c>
      <c r="E129" s="614" t="s">
        <v>3202</v>
      </c>
      <c r="F129" s="617">
        <v>1</v>
      </c>
      <c r="G129" s="617">
        <v>1189</v>
      </c>
      <c r="H129" s="617">
        <v>1</v>
      </c>
      <c r="I129" s="617">
        <v>1189</v>
      </c>
      <c r="J129" s="617">
        <v>2</v>
      </c>
      <c r="K129" s="617">
        <v>2378</v>
      </c>
      <c r="L129" s="617">
        <v>2</v>
      </c>
      <c r="M129" s="617">
        <v>1189</v>
      </c>
      <c r="N129" s="617"/>
      <c r="O129" s="617"/>
      <c r="P129" s="630"/>
      <c r="Q129" s="618"/>
    </row>
    <row r="130" spans="1:17" ht="14.4" customHeight="1" x14ac:dyDescent="0.3">
      <c r="A130" s="613" t="s">
        <v>3179</v>
      </c>
      <c r="B130" s="614" t="s">
        <v>3180</v>
      </c>
      <c r="C130" s="614" t="s">
        <v>2380</v>
      </c>
      <c r="D130" s="614" t="s">
        <v>3203</v>
      </c>
      <c r="E130" s="614" t="s">
        <v>3204</v>
      </c>
      <c r="F130" s="617">
        <v>1</v>
      </c>
      <c r="G130" s="617">
        <v>108</v>
      </c>
      <c r="H130" s="617">
        <v>1</v>
      </c>
      <c r="I130" s="617">
        <v>108</v>
      </c>
      <c r="J130" s="617">
        <v>1</v>
      </c>
      <c r="K130" s="617">
        <v>108</v>
      </c>
      <c r="L130" s="617">
        <v>1</v>
      </c>
      <c r="M130" s="617">
        <v>108</v>
      </c>
      <c r="N130" s="617"/>
      <c r="O130" s="617"/>
      <c r="P130" s="630"/>
      <c r="Q130" s="618"/>
    </row>
    <row r="131" spans="1:17" ht="14.4" customHeight="1" x14ac:dyDescent="0.3">
      <c r="A131" s="613" t="s">
        <v>3205</v>
      </c>
      <c r="B131" s="614" t="s">
        <v>3206</v>
      </c>
      <c r="C131" s="614" t="s">
        <v>2380</v>
      </c>
      <c r="D131" s="614" t="s">
        <v>3207</v>
      </c>
      <c r="E131" s="614" t="s">
        <v>3208</v>
      </c>
      <c r="F131" s="617">
        <v>166</v>
      </c>
      <c r="G131" s="617">
        <v>8798</v>
      </c>
      <c r="H131" s="617">
        <v>1</v>
      </c>
      <c r="I131" s="617">
        <v>53</v>
      </c>
      <c r="J131" s="617">
        <v>238</v>
      </c>
      <c r="K131" s="617">
        <v>12714</v>
      </c>
      <c r="L131" s="617">
        <v>1.4451011593543988</v>
      </c>
      <c r="M131" s="617">
        <v>53.420168067226889</v>
      </c>
      <c r="N131" s="617">
        <v>188</v>
      </c>
      <c r="O131" s="617">
        <v>10152</v>
      </c>
      <c r="P131" s="630">
        <v>1.1538986133212095</v>
      </c>
      <c r="Q131" s="618">
        <v>54</v>
      </c>
    </row>
    <row r="132" spans="1:17" ht="14.4" customHeight="1" x14ac:dyDescent="0.3">
      <c r="A132" s="613" t="s">
        <v>3205</v>
      </c>
      <c r="B132" s="614" t="s">
        <v>3206</v>
      </c>
      <c r="C132" s="614" t="s">
        <v>2380</v>
      </c>
      <c r="D132" s="614" t="s">
        <v>3209</v>
      </c>
      <c r="E132" s="614" t="s">
        <v>3210</v>
      </c>
      <c r="F132" s="617">
        <v>41</v>
      </c>
      <c r="G132" s="617">
        <v>4961</v>
      </c>
      <c r="H132" s="617">
        <v>1</v>
      </c>
      <c r="I132" s="617">
        <v>121</v>
      </c>
      <c r="J132" s="617">
        <v>22</v>
      </c>
      <c r="K132" s="617">
        <v>2664</v>
      </c>
      <c r="L132" s="617">
        <v>0.53698851038097162</v>
      </c>
      <c r="M132" s="617">
        <v>121.09090909090909</v>
      </c>
      <c r="N132" s="617">
        <v>18</v>
      </c>
      <c r="O132" s="617">
        <v>2214</v>
      </c>
      <c r="P132" s="630">
        <v>0.4462809917355372</v>
      </c>
      <c r="Q132" s="618">
        <v>123</v>
      </c>
    </row>
    <row r="133" spans="1:17" ht="14.4" customHeight="1" x14ac:dyDescent="0.3">
      <c r="A133" s="613" t="s">
        <v>3205</v>
      </c>
      <c r="B133" s="614" t="s">
        <v>3206</v>
      </c>
      <c r="C133" s="614" t="s">
        <v>2380</v>
      </c>
      <c r="D133" s="614" t="s">
        <v>3211</v>
      </c>
      <c r="E133" s="614" t="s">
        <v>3212</v>
      </c>
      <c r="F133" s="617">
        <v>25</v>
      </c>
      <c r="G133" s="617">
        <v>4200</v>
      </c>
      <c r="H133" s="617">
        <v>1</v>
      </c>
      <c r="I133" s="617">
        <v>168</v>
      </c>
      <c r="J133" s="617">
        <v>26</v>
      </c>
      <c r="K133" s="617">
        <v>4389</v>
      </c>
      <c r="L133" s="617">
        <v>1.0449999999999999</v>
      </c>
      <c r="M133" s="617">
        <v>168.80769230769232</v>
      </c>
      <c r="N133" s="617">
        <v>21</v>
      </c>
      <c r="O133" s="617">
        <v>3612</v>
      </c>
      <c r="P133" s="630">
        <v>0.86</v>
      </c>
      <c r="Q133" s="618">
        <v>172</v>
      </c>
    </row>
    <row r="134" spans="1:17" ht="14.4" customHeight="1" x14ac:dyDescent="0.3">
      <c r="A134" s="613" t="s">
        <v>3205</v>
      </c>
      <c r="B134" s="614" t="s">
        <v>3206</v>
      </c>
      <c r="C134" s="614" t="s">
        <v>2380</v>
      </c>
      <c r="D134" s="614" t="s">
        <v>3213</v>
      </c>
      <c r="E134" s="614" t="s">
        <v>3214</v>
      </c>
      <c r="F134" s="617">
        <v>7</v>
      </c>
      <c r="G134" s="617">
        <v>2212</v>
      </c>
      <c r="H134" s="617">
        <v>1</v>
      </c>
      <c r="I134" s="617">
        <v>316</v>
      </c>
      <c r="J134" s="617">
        <v>13</v>
      </c>
      <c r="K134" s="617">
        <v>4136</v>
      </c>
      <c r="L134" s="617">
        <v>1.8698010849909583</v>
      </c>
      <c r="M134" s="617">
        <v>318.15384615384613</v>
      </c>
      <c r="N134" s="617">
        <v>16</v>
      </c>
      <c r="O134" s="617">
        <v>5152</v>
      </c>
      <c r="P134" s="630">
        <v>2.3291139240506329</v>
      </c>
      <c r="Q134" s="618">
        <v>322</v>
      </c>
    </row>
    <row r="135" spans="1:17" ht="14.4" customHeight="1" x14ac:dyDescent="0.3">
      <c r="A135" s="613" t="s">
        <v>3205</v>
      </c>
      <c r="B135" s="614" t="s">
        <v>3206</v>
      </c>
      <c r="C135" s="614" t="s">
        <v>2380</v>
      </c>
      <c r="D135" s="614" t="s">
        <v>3215</v>
      </c>
      <c r="E135" s="614" t="s">
        <v>3216</v>
      </c>
      <c r="F135" s="617">
        <v>1</v>
      </c>
      <c r="G135" s="617">
        <v>435</v>
      </c>
      <c r="H135" s="617">
        <v>1</v>
      </c>
      <c r="I135" s="617">
        <v>435</v>
      </c>
      <c r="J135" s="617">
        <v>1</v>
      </c>
      <c r="K135" s="617">
        <v>435</v>
      </c>
      <c r="L135" s="617">
        <v>1</v>
      </c>
      <c r="M135" s="617">
        <v>435</v>
      </c>
      <c r="N135" s="617"/>
      <c r="O135" s="617"/>
      <c r="P135" s="630"/>
      <c r="Q135" s="618"/>
    </row>
    <row r="136" spans="1:17" ht="14.4" customHeight="1" x14ac:dyDescent="0.3">
      <c r="A136" s="613" t="s">
        <v>3205</v>
      </c>
      <c r="B136" s="614" t="s">
        <v>3206</v>
      </c>
      <c r="C136" s="614" t="s">
        <v>2380</v>
      </c>
      <c r="D136" s="614" t="s">
        <v>3217</v>
      </c>
      <c r="E136" s="614" t="s">
        <v>3218</v>
      </c>
      <c r="F136" s="617">
        <v>27</v>
      </c>
      <c r="G136" s="617">
        <v>9126</v>
      </c>
      <c r="H136" s="617">
        <v>1</v>
      </c>
      <c r="I136" s="617">
        <v>338</v>
      </c>
      <c r="J136" s="617">
        <v>50</v>
      </c>
      <c r="K136" s="617">
        <v>16930</v>
      </c>
      <c r="L136" s="617">
        <v>1.8551391628314706</v>
      </c>
      <c r="M136" s="617">
        <v>338.6</v>
      </c>
      <c r="N136" s="617">
        <v>26</v>
      </c>
      <c r="O136" s="617">
        <v>8866</v>
      </c>
      <c r="P136" s="630">
        <v>0.97150997150997154</v>
      </c>
      <c r="Q136" s="618">
        <v>341</v>
      </c>
    </row>
    <row r="137" spans="1:17" ht="14.4" customHeight="1" x14ac:dyDescent="0.3">
      <c r="A137" s="613" t="s">
        <v>3205</v>
      </c>
      <c r="B137" s="614" t="s">
        <v>3206</v>
      </c>
      <c r="C137" s="614" t="s">
        <v>2380</v>
      </c>
      <c r="D137" s="614" t="s">
        <v>3219</v>
      </c>
      <c r="E137" s="614" t="s">
        <v>3220</v>
      </c>
      <c r="F137" s="617"/>
      <c r="G137" s="617"/>
      <c r="H137" s="617"/>
      <c r="I137" s="617"/>
      <c r="J137" s="617">
        <v>1</v>
      </c>
      <c r="K137" s="617">
        <v>109</v>
      </c>
      <c r="L137" s="617"/>
      <c r="M137" s="617">
        <v>109</v>
      </c>
      <c r="N137" s="617"/>
      <c r="O137" s="617"/>
      <c r="P137" s="630"/>
      <c r="Q137" s="618"/>
    </row>
    <row r="138" spans="1:17" ht="14.4" customHeight="1" x14ac:dyDescent="0.3">
      <c r="A138" s="613" t="s">
        <v>3205</v>
      </c>
      <c r="B138" s="614" t="s">
        <v>3206</v>
      </c>
      <c r="C138" s="614" t="s">
        <v>2380</v>
      </c>
      <c r="D138" s="614" t="s">
        <v>3221</v>
      </c>
      <c r="E138" s="614" t="s">
        <v>3222</v>
      </c>
      <c r="F138" s="617"/>
      <c r="G138" s="617"/>
      <c r="H138" s="617"/>
      <c r="I138" s="617"/>
      <c r="J138" s="617">
        <v>1</v>
      </c>
      <c r="K138" s="617">
        <v>37</v>
      </c>
      <c r="L138" s="617"/>
      <c r="M138" s="617">
        <v>37</v>
      </c>
      <c r="N138" s="617"/>
      <c r="O138" s="617"/>
      <c r="P138" s="630"/>
      <c r="Q138" s="618"/>
    </row>
    <row r="139" spans="1:17" ht="14.4" customHeight="1" x14ac:dyDescent="0.3">
      <c r="A139" s="613" t="s">
        <v>3205</v>
      </c>
      <c r="B139" s="614" t="s">
        <v>3206</v>
      </c>
      <c r="C139" s="614" t="s">
        <v>2380</v>
      </c>
      <c r="D139" s="614" t="s">
        <v>2954</v>
      </c>
      <c r="E139" s="614" t="s">
        <v>2955</v>
      </c>
      <c r="F139" s="617"/>
      <c r="G139" s="617"/>
      <c r="H139" s="617"/>
      <c r="I139" s="617"/>
      <c r="J139" s="617">
        <v>1</v>
      </c>
      <c r="K139" s="617">
        <v>664</v>
      </c>
      <c r="L139" s="617"/>
      <c r="M139" s="617">
        <v>664</v>
      </c>
      <c r="N139" s="617"/>
      <c r="O139" s="617"/>
      <c r="P139" s="630"/>
      <c r="Q139" s="618"/>
    </row>
    <row r="140" spans="1:17" ht="14.4" customHeight="1" x14ac:dyDescent="0.3">
      <c r="A140" s="613" t="s">
        <v>3205</v>
      </c>
      <c r="B140" s="614" t="s">
        <v>3206</v>
      </c>
      <c r="C140" s="614" t="s">
        <v>2380</v>
      </c>
      <c r="D140" s="614" t="s">
        <v>3223</v>
      </c>
      <c r="E140" s="614" t="s">
        <v>3224</v>
      </c>
      <c r="F140" s="617">
        <v>70</v>
      </c>
      <c r="G140" s="617">
        <v>19670</v>
      </c>
      <c r="H140" s="617">
        <v>1</v>
      </c>
      <c r="I140" s="617">
        <v>281</v>
      </c>
      <c r="J140" s="617">
        <v>104</v>
      </c>
      <c r="K140" s="617">
        <v>29359</v>
      </c>
      <c r="L140" s="617">
        <v>1.4925775292323336</v>
      </c>
      <c r="M140" s="617">
        <v>282.29807692307691</v>
      </c>
      <c r="N140" s="617">
        <v>93</v>
      </c>
      <c r="O140" s="617">
        <v>26505</v>
      </c>
      <c r="P140" s="630">
        <v>1.3474834773767159</v>
      </c>
      <c r="Q140" s="618">
        <v>285</v>
      </c>
    </row>
    <row r="141" spans="1:17" ht="14.4" customHeight="1" x14ac:dyDescent="0.3">
      <c r="A141" s="613" t="s">
        <v>3205</v>
      </c>
      <c r="B141" s="614" t="s">
        <v>3206</v>
      </c>
      <c r="C141" s="614" t="s">
        <v>2380</v>
      </c>
      <c r="D141" s="614" t="s">
        <v>3225</v>
      </c>
      <c r="E141" s="614" t="s">
        <v>3226</v>
      </c>
      <c r="F141" s="617">
        <v>25</v>
      </c>
      <c r="G141" s="617">
        <v>11400</v>
      </c>
      <c r="H141" s="617">
        <v>1</v>
      </c>
      <c r="I141" s="617">
        <v>456</v>
      </c>
      <c r="J141" s="617">
        <v>24</v>
      </c>
      <c r="K141" s="617">
        <v>10972</v>
      </c>
      <c r="L141" s="617">
        <v>0.96245614035087723</v>
      </c>
      <c r="M141" s="617">
        <v>457.16666666666669</v>
      </c>
      <c r="N141" s="617">
        <v>25</v>
      </c>
      <c r="O141" s="617">
        <v>11550</v>
      </c>
      <c r="P141" s="630">
        <v>1.013157894736842</v>
      </c>
      <c r="Q141" s="618">
        <v>462</v>
      </c>
    </row>
    <row r="142" spans="1:17" ht="14.4" customHeight="1" x14ac:dyDescent="0.3">
      <c r="A142" s="613" t="s">
        <v>3205</v>
      </c>
      <c r="B142" s="614" t="s">
        <v>3206</v>
      </c>
      <c r="C142" s="614" t="s">
        <v>2380</v>
      </c>
      <c r="D142" s="614" t="s">
        <v>3227</v>
      </c>
      <c r="E142" s="614" t="s">
        <v>3228</v>
      </c>
      <c r="F142" s="617">
        <v>95</v>
      </c>
      <c r="G142" s="617">
        <v>33060</v>
      </c>
      <c r="H142" s="617">
        <v>1</v>
      </c>
      <c r="I142" s="617">
        <v>348</v>
      </c>
      <c r="J142" s="617">
        <v>126</v>
      </c>
      <c r="K142" s="617">
        <v>44172</v>
      </c>
      <c r="L142" s="617">
        <v>1.3361161524500909</v>
      </c>
      <c r="M142" s="617">
        <v>350.57142857142856</v>
      </c>
      <c r="N142" s="617">
        <v>111</v>
      </c>
      <c r="O142" s="617">
        <v>39516</v>
      </c>
      <c r="P142" s="630">
        <v>1.1952813067150636</v>
      </c>
      <c r="Q142" s="618">
        <v>356</v>
      </c>
    </row>
    <row r="143" spans="1:17" ht="14.4" customHeight="1" x14ac:dyDescent="0.3">
      <c r="A143" s="613" t="s">
        <v>3205</v>
      </c>
      <c r="B143" s="614" t="s">
        <v>3206</v>
      </c>
      <c r="C143" s="614" t="s">
        <v>2380</v>
      </c>
      <c r="D143" s="614" t="s">
        <v>3229</v>
      </c>
      <c r="E143" s="614" t="s">
        <v>3230</v>
      </c>
      <c r="F143" s="617"/>
      <c r="G143" s="617"/>
      <c r="H143" s="617"/>
      <c r="I143" s="617"/>
      <c r="J143" s="617">
        <v>4</v>
      </c>
      <c r="K143" s="617">
        <v>415</v>
      </c>
      <c r="L143" s="617"/>
      <c r="M143" s="617">
        <v>103.75</v>
      </c>
      <c r="N143" s="617">
        <v>10</v>
      </c>
      <c r="O143" s="617">
        <v>1050</v>
      </c>
      <c r="P143" s="630"/>
      <c r="Q143" s="618">
        <v>105</v>
      </c>
    </row>
    <row r="144" spans="1:17" ht="14.4" customHeight="1" x14ac:dyDescent="0.3">
      <c r="A144" s="613" t="s">
        <v>3205</v>
      </c>
      <c r="B144" s="614" t="s">
        <v>3206</v>
      </c>
      <c r="C144" s="614" t="s">
        <v>2380</v>
      </c>
      <c r="D144" s="614" t="s">
        <v>3231</v>
      </c>
      <c r="E144" s="614" t="s">
        <v>3232</v>
      </c>
      <c r="F144" s="617">
        <v>7</v>
      </c>
      <c r="G144" s="617">
        <v>805</v>
      </c>
      <c r="H144" s="617">
        <v>1</v>
      </c>
      <c r="I144" s="617">
        <v>115</v>
      </c>
      <c r="J144" s="617">
        <v>6</v>
      </c>
      <c r="K144" s="617">
        <v>694</v>
      </c>
      <c r="L144" s="617">
        <v>0.86211180124223608</v>
      </c>
      <c r="M144" s="617">
        <v>115.66666666666667</v>
      </c>
      <c r="N144" s="617">
        <v>1</v>
      </c>
      <c r="O144" s="617">
        <v>117</v>
      </c>
      <c r="P144" s="630">
        <v>0.14534161490683231</v>
      </c>
      <c r="Q144" s="618">
        <v>117</v>
      </c>
    </row>
    <row r="145" spans="1:17" ht="14.4" customHeight="1" x14ac:dyDescent="0.3">
      <c r="A145" s="613" t="s">
        <v>3205</v>
      </c>
      <c r="B145" s="614" t="s">
        <v>3206</v>
      </c>
      <c r="C145" s="614" t="s">
        <v>2380</v>
      </c>
      <c r="D145" s="614" t="s">
        <v>3233</v>
      </c>
      <c r="E145" s="614" t="s">
        <v>3234</v>
      </c>
      <c r="F145" s="617"/>
      <c r="G145" s="617"/>
      <c r="H145" s="617"/>
      <c r="I145" s="617"/>
      <c r="J145" s="617">
        <v>2</v>
      </c>
      <c r="K145" s="617">
        <v>918</v>
      </c>
      <c r="L145" s="617"/>
      <c r="M145" s="617">
        <v>459</v>
      </c>
      <c r="N145" s="617"/>
      <c r="O145" s="617"/>
      <c r="P145" s="630"/>
      <c r="Q145" s="618"/>
    </row>
    <row r="146" spans="1:17" ht="14.4" customHeight="1" x14ac:dyDescent="0.3">
      <c r="A146" s="613" t="s">
        <v>3205</v>
      </c>
      <c r="B146" s="614" t="s">
        <v>3206</v>
      </c>
      <c r="C146" s="614" t="s">
        <v>2380</v>
      </c>
      <c r="D146" s="614" t="s">
        <v>3065</v>
      </c>
      <c r="E146" s="614" t="s">
        <v>3066</v>
      </c>
      <c r="F146" s="617"/>
      <c r="G146" s="617"/>
      <c r="H146" s="617"/>
      <c r="I146" s="617"/>
      <c r="J146" s="617">
        <v>2</v>
      </c>
      <c r="K146" s="617">
        <v>2506</v>
      </c>
      <c r="L146" s="617"/>
      <c r="M146" s="617">
        <v>1253</v>
      </c>
      <c r="N146" s="617"/>
      <c r="O146" s="617"/>
      <c r="P146" s="630"/>
      <c r="Q146" s="618"/>
    </row>
    <row r="147" spans="1:17" ht="14.4" customHeight="1" x14ac:dyDescent="0.3">
      <c r="A147" s="613" t="s">
        <v>3205</v>
      </c>
      <c r="B147" s="614" t="s">
        <v>3206</v>
      </c>
      <c r="C147" s="614" t="s">
        <v>2380</v>
      </c>
      <c r="D147" s="614" t="s">
        <v>3235</v>
      </c>
      <c r="E147" s="614" t="s">
        <v>3236</v>
      </c>
      <c r="F147" s="617">
        <v>3</v>
      </c>
      <c r="G147" s="617">
        <v>1287</v>
      </c>
      <c r="H147" s="617">
        <v>1</v>
      </c>
      <c r="I147" s="617">
        <v>429</v>
      </c>
      <c r="J147" s="617">
        <v>5</v>
      </c>
      <c r="K147" s="617">
        <v>2155</v>
      </c>
      <c r="L147" s="617">
        <v>1.6744366744366745</v>
      </c>
      <c r="M147" s="617">
        <v>431</v>
      </c>
      <c r="N147" s="617">
        <v>10</v>
      </c>
      <c r="O147" s="617">
        <v>4370</v>
      </c>
      <c r="P147" s="630">
        <v>3.3954933954933955</v>
      </c>
      <c r="Q147" s="618">
        <v>437</v>
      </c>
    </row>
    <row r="148" spans="1:17" ht="14.4" customHeight="1" x14ac:dyDescent="0.3">
      <c r="A148" s="613" t="s">
        <v>3205</v>
      </c>
      <c r="B148" s="614" t="s">
        <v>3206</v>
      </c>
      <c r="C148" s="614" t="s">
        <v>2380</v>
      </c>
      <c r="D148" s="614" t="s">
        <v>3237</v>
      </c>
      <c r="E148" s="614" t="s">
        <v>3238</v>
      </c>
      <c r="F148" s="617">
        <v>20</v>
      </c>
      <c r="G148" s="617">
        <v>1060</v>
      </c>
      <c r="H148" s="617">
        <v>1</v>
      </c>
      <c r="I148" s="617">
        <v>53</v>
      </c>
      <c r="J148" s="617">
        <v>52</v>
      </c>
      <c r="K148" s="617">
        <v>2776</v>
      </c>
      <c r="L148" s="617">
        <v>2.6188679245283017</v>
      </c>
      <c r="M148" s="617">
        <v>53.384615384615387</v>
      </c>
      <c r="N148" s="617">
        <v>56</v>
      </c>
      <c r="O148" s="617">
        <v>3024</v>
      </c>
      <c r="P148" s="630">
        <v>2.8528301886792451</v>
      </c>
      <c r="Q148" s="618">
        <v>54</v>
      </c>
    </row>
    <row r="149" spans="1:17" ht="14.4" customHeight="1" x14ac:dyDescent="0.3">
      <c r="A149" s="613" t="s">
        <v>3205</v>
      </c>
      <c r="B149" s="614" t="s">
        <v>3206</v>
      </c>
      <c r="C149" s="614" t="s">
        <v>2380</v>
      </c>
      <c r="D149" s="614" t="s">
        <v>3239</v>
      </c>
      <c r="E149" s="614" t="s">
        <v>3240</v>
      </c>
      <c r="F149" s="617">
        <v>186</v>
      </c>
      <c r="G149" s="617">
        <v>30690</v>
      </c>
      <c r="H149" s="617">
        <v>1</v>
      </c>
      <c r="I149" s="617">
        <v>165</v>
      </c>
      <c r="J149" s="617">
        <v>152</v>
      </c>
      <c r="K149" s="617">
        <v>25254</v>
      </c>
      <c r="L149" s="617">
        <v>0.82287390029325513</v>
      </c>
      <c r="M149" s="617">
        <v>166.14473684210526</v>
      </c>
      <c r="N149" s="617">
        <v>136</v>
      </c>
      <c r="O149" s="617">
        <v>22984</v>
      </c>
      <c r="P149" s="630">
        <v>0.74890843923101991</v>
      </c>
      <c r="Q149" s="618">
        <v>169</v>
      </c>
    </row>
    <row r="150" spans="1:17" ht="14.4" customHeight="1" x14ac:dyDescent="0.3">
      <c r="A150" s="613" t="s">
        <v>3205</v>
      </c>
      <c r="B150" s="614" t="s">
        <v>3206</v>
      </c>
      <c r="C150" s="614" t="s">
        <v>2380</v>
      </c>
      <c r="D150" s="614" t="s">
        <v>2958</v>
      </c>
      <c r="E150" s="614" t="s">
        <v>2959</v>
      </c>
      <c r="F150" s="617"/>
      <c r="G150" s="617"/>
      <c r="H150" s="617"/>
      <c r="I150" s="617"/>
      <c r="J150" s="617">
        <v>1</v>
      </c>
      <c r="K150" s="617">
        <v>79</v>
      </c>
      <c r="L150" s="617"/>
      <c r="M150" s="617">
        <v>79</v>
      </c>
      <c r="N150" s="617"/>
      <c r="O150" s="617"/>
      <c r="P150" s="630"/>
      <c r="Q150" s="618"/>
    </row>
    <row r="151" spans="1:17" ht="14.4" customHeight="1" x14ac:dyDescent="0.3">
      <c r="A151" s="613" t="s">
        <v>3205</v>
      </c>
      <c r="B151" s="614" t="s">
        <v>3206</v>
      </c>
      <c r="C151" s="614" t="s">
        <v>2380</v>
      </c>
      <c r="D151" s="614" t="s">
        <v>3241</v>
      </c>
      <c r="E151" s="614" t="s">
        <v>3242</v>
      </c>
      <c r="F151" s="617">
        <v>6</v>
      </c>
      <c r="G151" s="617">
        <v>960</v>
      </c>
      <c r="H151" s="617">
        <v>1</v>
      </c>
      <c r="I151" s="617">
        <v>160</v>
      </c>
      <c r="J151" s="617">
        <v>31</v>
      </c>
      <c r="K151" s="617">
        <v>4966</v>
      </c>
      <c r="L151" s="617">
        <v>5.1729166666666666</v>
      </c>
      <c r="M151" s="617">
        <v>160.19354838709677</v>
      </c>
      <c r="N151" s="617">
        <v>7</v>
      </c>
      <c r="O151" s="617">
        <v>1141</v>
      </c>
      <c r="P151" s="630">
        <v>1.1885416666666666</v>
      </c>
      <c r="Q151" s="618">
        <v>163</v>
      </c>
    </row>
    <row r="152" spans="1:17" ht="14.4" customHeight="1" x14ac:dyDescent="0.3">
      <c r="A152" s="613" t="s">
        <v>3205</v>
      </c>
      <c r="B152" s="614" t="s">
        <v>3206</v>
      </c>
      <c r="C152" s="614" t="s">
        <v>2380</v>
      </c>
      <c r="D152" s="614" t="s">
        <v>3107</v>
      </c>
      <c r="E152" s="614" t="s">
        <v>3108</v>
      </c>
      <c r="F152" s="617"/>
      <c r="G152" s="617"/>
      <c r="H152" s="617"/>
      <c r="I152" s="617"/>
      <c r="J152" s="617">
        <v>8</v>
      </c>
      <c r="K152" s="617">
        <v>8032</v>
      </c>
      <c r="L152" s="617"/>
      <c r="M152" s="617">
        <v>1004</v>
      </c>
      <c r="N152" s="617"/>
      <c r="O152" s="617"/>
      <c r="P152" s="630"/>
      <c r="Q152" s="618"/>
    </row>
    <row r="153" spans="1:17" ht="14.4" customHeight="1" x14ac:dyDescent="0.3">
      <c r="A153" s="613" t="s">
        <v>3205</v>
      </c>
      <c r="B153" s="614" t="s">
        <v>3206</v>
      </c>
      <c r="C153" s="614" t="s">
        <v>2380</v>
      </c>
      <c r="D153" s="614" t="s">
        <v>3243</v>
      </c>
      <c r="E153" s="614" t="s">
        <v>3244</v>
      </c>
      <c r="F153" s="617"/>
      <c r="G153" s="617"/>
      <c r="H153" s="617"/>
      <c r="I153" s="617"/>
      <c r="J153" s="617">
        <v>8</v>
      </c>
      <c r="K153" s="617">
        <v>17948</v>
      </c>
      <c r="L153" s="617"/>
      <c r="M153" s="617">
        <v>2243.5</v>
      </c>
      <c r="N153" s="617"/>
      <c r="O153" s="617"/>
      <c r="P153" s="630"/>
      <c r="Q153" s="618"/>
    </row>
    <row r="154" spans="1:17" ht="14.4" customHeight="1" x14ac:dyDescent="0.3">
      <c r="A154" s="613" t="s">
        <v>3205</v>
      </c>
      <c r="B154" s="614" t="s">
        <v>3206</v>
      </c>
      <c r="C154" s="614" t="s">
        <v>2380</v>
      </c>
      <c r="D154" s="614" t="s">
        <v>3245</v>
      </c>
      <c r="E154" s="614" t="s">
        <v>3246</v>
      </c>
      <c r="F154" s="617"/>
      <c r="G154" s="617"/>
      <c r="H154" s="617"/>
      <c r="I154" s="617"/>
      <c r="J154" s="617">
        <v>1</v>
      </c>
      <c r="K154" s="617">
        <v>225</v>
      </c>
      <c r="L154" s="617"/>
      <c r="M154" s="617">
        <v>225</v>
      </c>
      <c r="N154" s="617"/>
      <c r="O154" s="617"/>
      <c r="P154" s="630"/>
      <c r="Q154" s="618"/>
    </row>
    <row r="155" spans="1:17" ht="14.4" customHeight="1" x14ac:dyDescent="0.3">
      <c r="A155" s="613" t="s">
        <v>3205</v>
      </c>
      <c r="B155" s="614" t="s">
        <v>3206</v>
      </c>
      <c r="C155" s="614" t="s">
        <v>2380</v>
      </c>
      <c r="D155" s="614" t="s">
        <v>3247</v>
      </c>
      <c r="E155" s="614" t="s">
        <v>3248</v>
      </c>
      <c r="F155" s="617">
        <v>1</v>
      </c>
      <c r="G155" s="617">
        <v>404</v>
      </c>
      <c r="H155" s="617">
        <v>1</v>
      </c>
      <c r="I155" s="617">
        <v>404</v>
      </c>
      <c r="J155" s="617"/>
      <c r="K155" s="617"/>
      <c r="L155" s="617"/>
      <c r="M155" s="617"/>
      <c r="N155" s="617"/>
      <c r="O155" s="617"/>
      <c r="P155" s="630"/>
      <c r="Q155" s="618"/>
    </row>
    <row r="156" spans="1:17" ht="14.4" customHeight="1" x14ac:dyDescent="0.3">
      <c r="A156" s="613" t="s">
        <v>3249</v>
      </c>
      <c r="B156" s="614" t="s">
        <v>1584</v>
      </c>
      <c r="C156" s="614" t="s">
        <v>2380</v>
      </c>
      <c r="D156" s="614" t="s">
        <v>3250</v>
      </c>
      <c r="E156" s="614" t="s">
        <v>3251</v>
      </c>
      <c r="F156" s="617">
        <v>77</v>
      </c>
      <c r="G156" s="617">
        <v>12243</v>
      </c>
      <c r="H156" s="617">
        <v>1</v>
      </c>
      <c r="I156" s="617">
        <v>159</v>
      </c>
      <c r="J156" s="617">
        <v>73</v>
      </c>
      <c r="K156" s="617">
        <v>11635</v>
      </c>
      <c r="L156" s="617">
        <v>0.95033896920689376</v>
      </c>
      <c r="M156" s="617">
        <v>159.38356164383561</v>
      </c>
      <c r="N156" s="617">
        <v>79</v>
      </c>
      <c r="O156" s="617">
        <v>12719</v>
      </c>
      <c r="P156" s="630">
        <v>1.0388793596340766</v>
      </c>
      <c r="Q156" s="618">
        <v>161</v>
      </c>
    </row>
    <row r="157" spans="1:17" ht="14.4" customHeight="1" x14ac:dyDescent="0.3">
      <c r="A157" s="613" t="s">
        <v>3249</v>
      </c>
      <c r="B157" s="614" t="s">
        <v>1584</v>
      </c>
      <c r="C157" s="614" t="s">
        <v>2380</v>
      </c>
      <c r="D157" s="614" t="s">
        <v>3252</v>
      </c>
      <c r="E157" s="614" t="s">
        <v>3253</v>
      </c>
      <c r="F157" s="617"/>
      <c r="G157" s="617"/>
      <c r="H157" s="617"/>
      <c r="I157" s="617"/>
      <c r="J157" s="617">
        <v>1</v>
      </c>
      <c r="K157" s="617">
        <v>1165</v>
      </c>
      <c r="L157" s="617"/>
      <c r="M157" s="617">
        <v>1165</v>
      </c>
      <c r="N157" s="617">
        <v>2</v>
      </c>
      <c r="O157" s="617">
        <v>2338</v>
      </c>
      <c r="P157" s="630"/>
      <c r="Q157" s="618">
        <v>1169</v>
      </c>
    </row>
    <row r="158" spans="1:17" ht="14.4" customHeight="1" x14ac:dyDescent="0.3">
      <c r="A158" s="613" t="s">
        <v>3249</v>
      </c>
      <c r="B158" s="614" t="s">
        <v>1584</v>
      </c>
      <c r="C158" s="614" t="s">
        <v>2380</v>
      </c>
      <c r="D158" s="614" t="s">
        <v>3254</v>
      </c>
      <c r="E158" s="614" t="s">
        <v>3255</v>
      </c>
      <c r="F158" s="617">
        <v>19</v>
      </c>
      <c r="G158" s="617">
        <v>741</v>
      </c>
      <c r="H158" s="617">
        <v>1</v>
      </c>
      <c r="I158" s="617">
        <v>39</v>
      </c>
      <c r="J158" s="617">
        <v>32</v>
      </c>
      <c r="K158" s="617">
        <v>1266</v>
      </c>
      <c r="L158" s="617">
        <v>1.7085020242914979</v>
      </c>
      <c r="M158" s="617">
        <v>39.5625</v>
      </c>
      <c r="N158" s="617">
        <v>13</v>
      </c>
      <c r="O158" s="617">
        <v>520</v>
      </c>
      <c r="P158" s="630">
        <v>0.70175438596491224</v>
      </c>
      <c r="Q158" s="618">
        <v>40</v>
      </c>
    </row>
    <row r="159" spans="1:17" ht="14.4" customHeight="1" x14ac:dyDescent="0.3">
      <c r="A159" s="613" t="s">
        <v>3249</v>
      </c>
      <c r="B159" s="614" t="s">
        <v>1584</v>
      </c>
      <c r="C159" s="614" t="s">
        <v>2380</v>
      </c>
      <c r="D159" s="614" t="s">
        <v>3256</v>
      </c>
      <c r="E159" s="614" t="s">
        <v>3257</v>
      </c>
      <c r="F159" s="617"/>
      <c r="G159" s="617"/>
      <c r="H159" s="617"/>
      <c r="I159" s="617"/>
      <c r="J159" s="617">
        <v>6</v>
      </c>
      <c r="K159" s="617">
        <v>2667</v>
      </c>
      <c r="L159" s="617"/>
      <c r="M159" s="617">
        <v>444.5</v>
      </c>
      <c r="N159" s="617"/>
      <c r="O159" s="617"/>
      <c r="P159" s="630"/>
      <c r="Q159" s="618"/>
    </row>
    <row r="160" spans="1:17" ht="14.4" customHeight="1" x14ac:dyDescent="0.3">
      <c r="A160" s="613" t="s">
        <v>3249</v>
      </c>
      <c r="B160" s="614" t="s">
        <v>1584</v>
      </c>
      <c r="C160" s="614" t="s">
        <v>2380</v>
      </c>
      <c r="D160" s="614" t="s">
        <v>3258</v>
      </c>
      <c r="E160" s="614" t="s">
        <v>3259</v>
      </c>
      <c r="F160" s="617">
        <v>4</v>
      </c>
      <c r="G160" s="617">
        <v>124</v>
      </c>
      <c r="H160" s="617">
        <v>1</v>
      </c>
      <c r="I160" s="617">
        <v>31</v>
      </c>
      <c r="J160" s="617">
        <v>3</v>
      </c>
      <c r="K160" s="617">
        <v>93</v>
      </c>
      <c r="L160" s="617">
        <v>0.75</v>
      </c>
      <c r="M160" s="617">
        <v>31</v>
      </c>
      <c r="N160" s="617">
        <v>1</v>
      </c>
      <c r="O160" s="617">
        <v>31</v>
      </c>
      <c r="P160" s="630">
        <v>0.25</v>
      </c>
      <c r="Q160" s="618">
        <v>31</v>
      </c>
    </row>
    <row r="161" spans="1:17" ht="14.4" customHeight="1" x14ac:dyDescent="0.3">
      <c r="A161" s="613" t="s">
        <v>3249</v>
      </c>
      <c r="B161" s="614" t="s">
        <v>1584</v>
      </c>
      <c r="C161" s="614" t="s">
        <v>2380</v>
      </c>
      <c r="D161" s="614" t="s">
        <v>3260</v>
      </c>
      <c r="E161" s="614" t="s">
        <v>3261</v>
      </c>
      <c r="F161" s="617"/>
      <c r="G161" s="617"/>
      <c r="H161" s="617"/>
      <c r="I161" s="617"/>
      <c r="J161" s="617"/>
      <c r="K161" s="617"/>
      <c r="L161" s="617"/>
      <c r="M161" s="617"/>
      <c r="N161" s="617">
        <v>2</v>
      </c>
      <c r="O161" s="617">
        <v>414</v>
      </c>
      <c r="P161" s="630"/>
      <c r="Q161" s="618">
        <v>207</v>
      </c>
    </row>
    <row r="162" spans="1:17" ht="14.4" customHeight="1" x14ac:dyDescent="0.3">
      <c r="A162" s="613" t="s">
        <v>3249</v>
      </c>
      <c r="B162" s="614" t="s">
        <v>1584</v>
      </c>
      <c r="C162" s="614" t="s">
        <v>2380</v>
      </c>
      <c r="D162" s="614" t="s">
        <v>3262</v>
      </c>
      <c r="E162" s="614" t="s">
        <v>3263</v>
      </c>
      <c r="F162" s="617"/>
      <c r="G162" s="617"/>
      <c r="H162" s="617"/>
      <c r="I162" s="617"/>
      <c r="J162" s="617"/>
      <c r="K162" s="617"/>
      <c r="L162" s="617"/>
      <c r="M162" s="617"/>
      <c r="N162" s="617">
        <v>2</v>
      </c>
      <c r="O162" s="617">
        <v>760</v>
      </c>
      <c r="P162" s="630"/>
      <c r="Q162" s="618">
        <v>380</v>
      </c>
    </row>
    <row r="163" spans="1:17" ht="14.4" customHeight="1" x14ac:dyDescent="0.3">
      <c r="A163" s="613" t="s">
        <v>3249</v>
      </c>
      <c r="B163" s="614" t="s">
        <v>1584</v>
      </c>
      <c r="C163" s="614" t="s">
        <v>2380</v>
      </c>
      <c r="D163" s="614" t="s">
        <v>3264</v>
      </c>
      <c r="E163" s="614" t="s">
        <v>3265</v>
      </c>
      <c r="F163" s="617">
        <v>22</v>
      </c>
      <c r="G163" s="617">
        <v>2486</v>
      </c>
      <c r="H163" s="617">
        <v>1</v>
      </c>
      <c r="I163" s="617">
        <v>113</v>
      </c>
      <c r="J163" s="617">
        <v>21</v>
      </c>
      <c r="K163" s="617">
        <v>2379</v>
      </c>
      <c r="L163" s="617">
        <v>0.95695897023330656</v>
      </c>
      <c r="M163" s="617">
        <v>113.28571428571429</v>
      </c>
      <c r="N163" s="617">
        <v>65</v>
      </c>
      <c r="O163" s="617">
        <v>7540</v>
      </c>
      <c r="P163" s="630">
        <v>3.0329847144006434</v>
      </c>
      <c r="Q163" s="618">
        <v>116</v>
      </c>
    </row>
    <row r="164" spans="1:17" ht="14.4" customHeight="1" x14ac:dyDescent="0.3">
      <c r="A164" s="613" t="s">
        <v>3249</v>
      </c>
      <c r="B164" s="614" t="s">
        <v>1584</v>
      </c>
      <c r="C164" s="614" t="s">
        <v>2380</v>
      </c>
      <c r="D164" s="614" t="s">
        <v>3266</v>
      </c>
      <c r="E164" s="614" t="s">
        <v>3267</v>
      </c>
      <c r="F164" s="617">
        <v>3</v>
      </c>
      <c r="G164" s="617">
        <v>252</v>
      </c>
      <c r="H164" s="617">
        <v>1</v>
      </c>
      <c r="I164" s="617">
        <v>84</v>
      </c>
      <c r="J164" s="617">
        <v>7</v>
      </c>
      <c r="K164" s="617">
        <v>591</v>
      </c>
      <c r="L164" s="617">
        <v>2.3452380952380953</v>
      </c>
      <c r="M164" s="617">
        <v>84.428571428571431</v>
      </c>
      <c r="N164" s="617">
        <v>11</v>
      </c>
      <c r="O164" s="617">
        <v>935</v>
      </c>
      <c r="P164" s="630">
        <v>3.7103174603174605</v>
      </c>
      <c r="Q164" s="618">
        <v>85</v>
      </c>
    </row>
    <row r="165" spans="1:17" ht="14.4" customHeight="1" x14ac:dyDescent="0.3">
      <c r="A165" s="613" t="s">
        <v>3249</v>
      </c>
      <c r="B165" s="614" t="s">
        <v>1584</v>
      </c>
      <c r="C165" s="614" t="s">
        <v>2380</v>
      </c>
      <c r="D165" s="614" t="s">
        <v>3268</v>
      </c>
      <c r="E165" s="614" t="s">
        <v>3269</v>
      </c>
      <c r="F165" s="617"/>
      <c r="G165" s="617"/>
      <c r="H165" s="617"/>
      <c r="I165" s="617"/>
      <c r="J165" s="617">
        <v>1</v>
      </c>
      <c r="K165" s="617">
        <v>21</v>
      </c>
      <c r="L165" s="617"/>
      <c r="M165" s="617">
        <v>21</v>
      </c>
      <c r="N165" s="617">
        <v>19</v>
      </c>
      <c r="O165" s="617">
        <v>399</v>
      </c>
      <c r="P165" s="630"/>
      <c r="Q165" s="618">
        <v>21</v>
      </c>
    </row>
    <row r="166" spans="1:17" ht="14.4" customHeight="1" x14ac:dyDescent="0.3">
      <c r="A166" s="613" t="s">
        <v>3249</v>
      </c>
      <c r="B166" s="614" t="s">
        <v>1584</v>
      </c>
      <c r="C166" s="614" t="s">
        <v>2380</v>
      </c>
      <c r="D166" s="614" t="s">
        <v>3270</v>
      </c>
      <c r="E166" s="614" t="s">
        <v>3271</v>
      </c>
      <c r="F166" s="617"/>
      <c r="G166" s="617"/>
      <c r="H166" s="617"/>
      <c r="I166" s="617"/>
      <c r="J166" s="617">
        <v>20</v>
      </c>
      <c r="K166" s="617">
        <v>9729</v>
      </c>
      <c r="L166" s="617"/>
      <c r="M166" s="617">
        <v>486.45</v>
      </c>
      <c r="N166" s="617"/>
      <c r="O166" s="617"/>
      <c r="P166" s="630"/>
      <c r="Q166" s="618"/>
    </row>
    <row r="167" spans="1:17" ht="14.4" customHeight="1" x14ac:dyDescent="0.3">
      <c r="A167" s="613" t="s">
        <v>3249</v>
      </c>
      <c r="B167" s="614" t="s">
        <v>1584</v>
      </c>
      <c r="C167" s="614" t="s">
        <v>2380</v>
      </c>
      <c r="D167" s="614" t="s">
        <v>3272</v>
      </c>
      <c r="E167" s="614" t="s">
        <v>3273</v>
      </c>
      <c r="F167" s="617">
        <v>16</v>
      </c>
      <c r="G167" s="617">
        <v>640</v>
      </c>
      <c r="H167" s="617">
        <v>1</v>
      </c>
      <c r="I167" s="617">
        <v>40</v>
      </c>
      <c r="J167" s="617">
        <v>9</v>
      </c>
      <c r="K167" s="617">
        <v>365</v>
      </c>
      <c r="L167" s="617">
        <v>0.5703125</v>
      </c>
      <c r="M167" s="617">
        <v>40.555555555555557</v>
      </c>
      <c r="N167" s="617">
        <v>34</v>
      </c>
      <c r="O167" s="617">
        <v>1394</v>
      </c>
      <c r="P167" s="630">
        <v>2.1781250000000001</v>
      </c>
      <c r="Q167" s="618">
        <v>41</v>
      </c>
    </row>
    <row r="168" spans="1:17" ht="14.4" customHeight="1" x14ac:dyDescent="0.3">
      <c r="A168" s="613" t="s">
        <v>3274</v>
      </c>
      <c r="B168" s="614" t="s">
        <v>3275</v>
      </c>
      <c r="C168" s="614" t="s">
        <v>2380</v>
      </c>
      <c r="D168" s="614" t="s">
        <v>3276</v>
      </c>
      <c r="E168" s="614" t="s">
        <v>3277</v>
      </c>
      <c r="F168" s="617"/>
      <c r="G168" s="617"/>
      <c r="H168" s="617"/>
      <c r="I168" s="617"/>
      <c r="J168" s="617">
        <v>2</v>
      </c>
      <c r="K168" s="617">
        <v>7752</v>
      </c>
      <c r="L168" s="617"/>
      <c r="M168" s="617">
        <v>3876</v>
      </c>
      <c r="N168" s="617"/>
      <c r="O168" s="617"/>
      <c r="P168" s="630"/>
      <c r="Q168" s="618"/>
    </row>
    <row r="169" spans="1:17" ht="14.4" customHeight="1" x14ac:dyDescent="0.3">
      <c r="A169" s="613" t="s">
        <v>3274</v>
      </c>
      <c r="B169" s="614" t="s">
        <v>3275</v>
      </c>
      <c r="C169" s="614" t="s">
        <v>2380</v>
      </c>
      <c r="D169" s="614" t="s">
        <v>3278</v>
      </c>
      <c r="E169" s="614" t="s">
        <v>3279</v>
      </c>
      <c r="F169" s="617"/>
      <c r="G169" s="617"/>
      <c r="H169" s="617"/>
      <c r="I169" s="617"/>
      <c r="J169" s="617">
        <v>2</v>
      </c>
      <c r="K169" s="617">
        <v>2014</v>
      </c>
      <c r="L169" s="617"/>
      <c r="M169" s="617">
        <v>1007</v>
      </c>
      <c r="N169" s="617"/>
      <c r="O169" s="617"/>
      <c r="P169" s="630"/>
      <c r="Q169" s="618"/>
    </row>
    <row r="170" spans="1:17" ht="14.4" customHeight="1" x14ac:dyDescent="0.3">
      <c r="A170" s="613" t="s">
        <v>3274</v>
      </c>
      <c r="B170" s="614" t="s">
        <v>3275</v>
      </c>
      <c r="C170" s="614" t="s">
        <v>2380</v>
      </c>
      <c r="D170" s="614" t="s">
        <v>3280</v>
      </c>
      <c r="E170" s="614" t="s">
        <v>3281</v>
      </c>
      <c r="F170" s="617"/>
      <c r="G170" s="617"/>
      <c r="H170" s="617"/>
      <c r="I170" s="617"/>
      <c r="J170" s="617">
        <v>2</v>
      </c>
      <c r="K170" s="617">
        <v>436</v>
      </c>
      <c r="L170" s="617"/>
      <c r="M170" s="617">
        <v>218</v>
      </c>
      <c r="N170" s="617"/>
      <c r="O170" s="617"/>
      <c r="P170" s="630"/>
      <c r="Q170" s="618"/>
    </row>
    <row r="171" spans="1:17" ht="14.4" customHeight="1" x14ac:dyDescent="0.3">
      <c r="A171" s="613" t="s">
        <v>3274</v>
      </c>
      <c r="B171" s="614" t="s">
        <v>3275</v>
      </c>
      <c r="C171" s="614" t="s">
        <v>2380</v>
      </c>
      <c r="D171" s="614" t="s">
        <v>3282</v>
      </c>
      <c r="E171" s="614" t="s">
        <v>3283</v>
      </c>
      <c r="F171" s="617"/>
      <c r="G171" s="617"/>
      <c r="H171" s="617"/>
      <c r="I171" s="617"/>
      <c r="J171" s="617">
        <v>2</v>
      </c>
      <c r="K171" s="617">
        <v>46</v>
      </c>
      <c r="L171" s="617"/>
      <c r="M171" s="617">
        <v>23</v>
      </c>
      <c r="N171" s="617"/>
      <c r="O171" s="617"/>
      <c r="P171" s="630"/>
      <c r="Q171" s="618"/>
    </row>
    <row r="172" spans="1:17" ht="14.4" customHeight="1" x14ac:dyDescent="0.3">
      <c r="A172" s="613" t="s">
        <v>3274</v>
      </c>
      <c r="B172" s="614" t="s">
        <v>3275</v>
      </c>
      <c r="C172" s="614" t="s">
        <v>2380</v>
      </c>
      <c r="D172" s="614" t="s">
        <v>3065</v>
      </c>
      <c r="E172" s="614" t="s">
        <v>3066</v>
      </c>
      <c r="F172" s="617"/>
      <c r="G172" s="617"/>
      <c r="H172" s="617"/>
      <c r="I172" s="617"/>
      <c r="J172" s="617">
        <v>2</v>
      </c>
      <c r="K172" s="617">
        <v>2522</v>
      </c>
      <c r="L172" s="617"/>
      <c r="M172" s="617">
        <v>1261</v>
      </c>
      <c r="N172" s="617"/>
      <c r="O172" s="617"/>
      <c r="P172" s="630"/>
      <c r="Q172" s="618"/>
    </row>
    <row r="173" spans="1:17" ht="14.4" customHeight="1" x14ac:dyDescent="0.3">
      <c r="A173" s="613" t="s">
        <v>3274</v>
      </c>
      <c r="B173" s="614" t="s">
        <v>3275</v>
      </c>
      <c r="C173" s="614" t="s">
        <v>2380</v>
      </c>
      <c r="D173" s="614" t="s">
        <v>3284</v>
      </c>
      <c r="E173" s="614" t="s">
        <v>3285</v>
      </c>
      <c r="F173" s="617"/>
      <c r="G173" s="617"/>
      <c r="H173" s="617"/>
      <c r="I173" s="617"/>
      <c r="J173" s="617">
        <v>6</v>
      </c>
      <c r="K173" s="617">
        <v>2580</v>
      </c>
      <c r="L173" s="617"/>
      <c r="M173" s="617">
        <v>430</v>
      </c>
      <c r="N173" s="617"/>
      <c r="O173" s="617"/>
      <c r="P173" s="630"/>
      <c r="Q173" s="618"/>
    </row>
    <row r="174" spans="1:17" ht="14.4" customHeight="1" thickBot="1" x14ac:dyDescent="0.35">
      <c r="A174" s="619" t="s">
        <v>3274</v>
      </c>
      <c r="B174" s="620" t="s">
        <v>3275</v>
      </c>
      <c r="C174" s="620" t="s">
        <v>2380</v>
      </c>
      <c r="D174" s="620" t="s">
        <v>3107</v>
      </c>
      <c r="E174" s="620" t="s">
        <v>3108</v>
      </c>
      <c r="F174" s="623"/>
      <c r="G174" s="623"/>
      <c r="H174" s="623"/>
      <c r="I174" s="623"/>
      <c r="J174" s="623">
        <v>6</v>
      </c>
      <c r="K174" s="623">
        <v>6036</v>
      </c>
      <c r="L174" s="623"/>
      <c r="M174" s="623">
        <v>1006</v>
      </c>
      <c r="N174" s="623"/>
      <c r="O174" s="623"/>
      <c r="P174" s="631"/>
      <c r="Q174" s="6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48" bestFit="1" customWidth="1"/>
    <col min="2" max="3" width="9.5546875" style="248" customWidth="1"/>
    <col min="4" max="4" width="2.21875" style="248" customWidth="1"/>
    <col min="5" max="8" width="9.5546875" style="248" customWidth="1"/>
    <col min="9" max="16384" width="8.88671875" style="248"/>
  </cols>
  <sheetData>
    <row r="1" spans="1:8" ht="18.600000000000001" customHeight="1" thickBot="1" x14ac:dyDescent="0.4">
      <c r="A1" s="470" t="s">
        <v>169</v>
      </c>
      <c r="B1" s="470"/>
      <c r="C1" s="470"/>
      <c r="D1" s="470"/>
      <c r="E1" s="470"/>
      <c r="F1" s="470"/>
      <c r="G1" s="471"/>
      <c r="H1" s="471"/>
    </row>
    <row r="2" spans="1:8" ht="14.4" customHeight="1" thickBot="1" x14ac:dyDescent="0.35">
      <c r="A2" s="375" t="s">
        <v>320</v>
      </c>
      <c r="B2" s="218"/>
      <c r="C2" s="218"/>
      <c r="D2" s="218"/>
      <c r="E2" s="218"/>
      <c r="F2" s="218"/>
    </row>
    <row r="3" spans="1:8" ht="14.4" customHeight="1" x14ac:dyDescent="0.3">
      <c r="A3" s="472"/>
      <c r="B3" s="214">
        <v>2013</v>
      </c>
      <c r="C3" s="41">
        <v>2014</v>
      </c>
      <c r="D3" s="11"/>
      <c r="E3" s="476">
        <v>2015</v>
      </c>
      <c r="F3" s="477"/>
      <c r="G3" s="477"/>
      <c r="H3" s="478"/>
    </row>
    <row r="4" spans="1:8" ht="14.4" customHeight="1" thickBot="1" x14ac:dyDescent="0.35">
      <c r="A4" s="473"/>
      <c r="B4" s="474" t="s">
        <v>88</v>
      </c>
      <c r="C4" s="475"/>
      <c r="D4" s="11"/>
      <c r="E4" s="235" t="s">
        <v>88</v>
      </c>
      <c r="F4" s="216" t="s">
        <v>89</v>
      </c>
      <c r="G4" s="216" t="s">
        <v>63</v>
      </c>
      <c r="H4" s="217" t="s">
        <v>90</v>
      </c>
    </row>
    <row r="5" spans="1:8" ht="14.4" customHeight="1" x14ac:dyDescent="0.3">
      <c r="A5" s="219" t="str">
        <f>HYPERLINK("#'Léky Žádanky'!A1","Léky (Kč)")</f>
        <v>Léky (Kč)</v>
      </c>
      <c r="B5" s="28">
        <v>788.79883999999993</v>
      </c>
      <c r="C5" s="30">
        <v>508.82508999999999</v>
      </c>
      <c r="D5" s="12"/>
      <c r="E5" s="224">
        <v>615.39603999999997</v>
      </c>
      <c r="F5" s="29">
        <v>603.30638915725149</v>
      </c>
      <c r="G5" s="223">
        <f>E5-F5</f>
        <v>12.089650842748483</v>
      </c>
      <c r="H5" s="229">
        <f>IF(F5&lt;0.00000001,"",E5/F5)</f>
        <v>1.0200389902378397</v>
      </c>
    </row>
    <row r="6" spans="1:8" ht="14.4" customHeight="1" x14ac:dyDescent="0.3">
      <c r="A6" s="219" t="str">
        <f>HYPERLINK("#'Materiál Žádanky'!A1","Materiál - SZM (Kč)")</f>
        <v>Materiál - SZM (Kč)</v>
      </c>
      <c r="B6" s="14">
        <v>852.05300999999804</v>
      </c>
      <c r="C6" s="32">
        <v>993.1164500000001</v>
      </c>
      <c r="D6" s="12"/>
      <c r="E6" s="225">
        <v>873.76778000000002</v>
      </c>
      <c r="F6" s="31">
        <v>1221.33288056588</v>
      </c>
      <c r="G6" s="226">
        <f>E6-F6</f>
        <v>-347.56510056588002</v>
      </c>
      <c r="H6" s="230">
        <f>IF(F6&lt;0.00000001,"",E6/F6)</f>
        <v>0.71542148246689086</v>
      </c>
    </row>
    <row r="7" spans="1:8" ht="14.4" customHeight="1" x14ac:dyDescent="0.3">
      <c r="A7" s="219" t="str">
        <f>HYPERLINK("#'Osobní náklady'!A1","Osobní náklady (Kč) *")</f>
        <v>Osobní náklady (Kč) *</v>
      </c>
      <c r="B7" s="14">
        <v>10696.779729999998</v>
      </c>
      <c r="C7" s="32">
        <v>11954.356580000011</v>
      </c>
      <c r="D7" s="12"/>
      <c r="E7" s="225">
        <v>12792.012320000003</v>
      </c>
      <c r="F7" s="31">
        <v>15215.499520748621</v>
      </c>
      <c r="G7" s="226">
        <f>E7-F7</f>
        <v>-2423.4872007486174</v>
      </c>
      <c r="H7" s="230">
        <f>IF(F7&lt;0.00000001,"",E7/F7)</f>
        <v>0.8407224687271142</v>
      </c>
    </row>
    <row r="8" spans="1:8" ht="14.4" customHeight="1" thickBot="1" x14ac:dyDescent="0.35">
      <c r="A8" s="1" t="s">
        <v>91</v>
      </c>
      <c r="B8" s="15">
        <v>3518.9938899999997</v>
      </c>
      <c r="C8" s="34">
        <v>4509.1251500000099</v>
      </c>
      <c r="D8" s="12"/>
      <c r="E8" s="227">
        <v>6776.2737500000003</v>
      </c>
      <c r="F8" s="33">
        <v>4509.9694136460967</v>
      </c>
      <c r="G8" s="228">
        <f>E8-F8</f>
        <v>2266.3043363539036</v>
      </c>
      <c r="H8" s="231">
        <f>IF(F8&lt;0.00000001,"",E8/F8)</f>
        <v>1.5025099127050852</v>
      </c>
    </row>
    <row r="9" spans="1:8" ht="14.4" customHeight="1" thickBot="1" x14ac:dyDescent="0.35">
      <c r="A9" s="2" t="s">
        <v>92</v>
      </c>
      <c r="B9" s="3">
        <v>15856.625469999995</v>
      </c>
      <c r="C9" s="36">
        <v>17965.423270000021</v>
      </c>
      <c r="D9" s="12"/>
      <c r="E9" s="3">
        <v>21057.449890000004</v>
      </c>
      <c r="F9" s="35">
        <v>21550.108204117849</v>
      </c>
      <c r="G9" s="35">
        <f>E9-F9</f>
        <v>-492.65831411784529</v>
      </c>
      <c r="H9" s="232">
        <f>IF(F9&lt;0.00000001,"",E9/F9)</f>
        <v>0.9771389401180034</v>
      </c>
    </row>
    <row r="10" spans="1:8" ht="14.4" customHeight="1" thickBot="1" x14ac:dyDescent="0.35">
      <c r="A10" s="16"/>
      <c r="B10" s="16"/>
      <c r="C10" s="215"/>
      <c r="D10" s="12"/>
      <c r="E10" s="16"/>
      <c r="F10" s="17"/>
    </row>
    <row r="11" spans="1:8" ht="14.4" customHeight="1" x14ac:dyDescent="0.3">
      <c r="A11" s="251" t="str">
        <f>HYPERLINK("#'ZV Vykáz.-A'!A1","Ambulance *")</f>
        <v>Ambulance *</v>
      </c>
      <c r="B11" s="13">
        <f>IF(ISERROR(VLOOKUP("Celkem:",'ZV Vykáz.-A'!A:F,2,0)),0,VLOOKUP("Celkem:",'ZV Vykáz.-A'!A:F,2,0)/1000)</f>
        <v>7942.6724999999988</v>
      </c>
      <c r="C11" s="30">
        <f>IF(ISERROR(VLOOKUP("Celkem:",'ZV Vykáz.-A'!A:F,4,0)),0,VLOOKUP("Celkem:",'ZV Vykáz.-A'!A:F,4,0)/1000)</f>
        <v>8503.226749999998</v>
      </c>
      <c r="D11" s="12"/>
      <c r="E11" s="224">
        <f>IF(ISERROR(VLOOKUP("Celkem:",'ZV Vykáz.-A'!A:F,6,0)),0,VLOOKUP("Celkem:",'ZV Vykáz.-A'!A:F,6,0)/1000)</f>
        <v>8757.4035299999996</v>
      </c>
      <c r="F11" s="29">
        <f>B11</f>
        <v>7942.6724999999988</v>
      </c>
      <c r="G11" s="223">
        <f>E11-F11</f>
        <v>814.73103000000083</v>
      </c>
      <c r="H11" s="229">
        <f>IF(F11&lt;0.00000001,"",E11/F11)</f>
        <v>1.1025764350727039</v>
      </c>
    </row>
    <row r="12" spans="1:8" ht="14.4" customHeight="1" thickBot="1" x14ac:dyDescent="0.35">
      <c r="A12" s="252" t="str">
        <f>HYPERLINK("#CaseMix!A1","Hospitalizace *")</f>
        <v>Hospitalizace *</v>
      </c>
      <c r="B12" s="15">
        <f>IF(ISERROR(VLOOKUP("Celkem",CaseMix!A:D,2,0)),0,VLOOKUP("Celkem",CaseMix!A:D,2,0)*30)</f>
        <v>15426.569999999998</v>
      </c>
      <c r="C12" s="34">
        <f>IF(ISERROR(VLOOKUP("Celkem",CaseMix!A:D,3,0)),0,VLOOKUP("Celkem",CaseMix!A:D,3,0)*30)</f>
        <v>19134.150000000001</v>
      </c>
      <c r="D12" s="12"/>
      <c r="E12" s="227">
        <f>IF(ISERROR(VLOOKUP("Celkem",CaseMix!A:D,4,0)),0,VLOOKUP("Celkem",CaseMix!A:D,4,0)*30)</f>
        <v>17701.38</v>
      </c>
      <c r="F12" s="33">
        <f>B12</f>
        <v>15426.569999999998</v>
      </c>
      <c r="G12" s="228">
        <f>E12-F12</f>
        <v>2274.8100000000031</v>
      </c>
      <c r="H12" s="231">
        <f>IF(F12&lt;0.00000001,"",E12/F12)</f>
        <v>1.1474605177949475</v>
      </c>
    </row>
    <row r="13" spans="1:8" ht="14.4" customHeight="1" thickBot="1" x14ac:dyDescent="0.35">
      <c r="A13" s="4" t="s">
        <v>95</v>
      </c>
      <c r="B13" s="9">
        <f>SUM(B11:B12)</f>
        <v>23369.242499999997</v>
      </c>
      <c r="C13" s="38">
        <f>SUM(C11:C12)</f>
        <v>27637.376749999999</v>
      </c>
      <c r="D13" s="12"/>
      <c r="E13" s="9">
        <f>SUM(E11:E12)</f>
        <v>26458.783530000001</v>
      </c>
      <c r="F13" s="37">
        <f>SUM(F11:F12)</f>
        <v>23369.242499999997</v>
      </c>
      <c r="G13" s="37">
        <f>E13-F13</f>
        <v>3089.541030000004</v>
      </c>
      <c r="H13" s="233">
        <f>IF(F13&lt;0.00000001,"",E13/F13)</f>
        <v>1.1322054418323575</v>
      </c>
    </row>
    <row r="14" spans="1:8" ht="14.4" customHeight="1" thickBot="1" x14ac:dyDescent="0.35">
      <c r="A14" s="16"/>
      <c r="B14" s="16"/>
      <c r="C14" s="215"/>
      <c r="D14" s="12"/>
      <c r="E14" s="16"/>
      <c r="F14" s="17"/>
    </row>
    <row r="15" spans="1:8" ht="14.4" customHeight="1" thickBot="1" x14ac:dyDescent="0.35">
      <c r="A15" s="253" t="str">
        <f>HYPERLINK("#'HI Graf'!A1","Hospodářský index (Výnosy / Náklady) *")</f>
        <v>Hospodářský index (Výnosy / Náklady) *</v>
      </c>
      <c r="B15" s="10">
        <f>IF(B9=0,"",B13/B9)</f>
        <v>1.4737841001676886</v>
      </c>
      <c r="C15" s="40">
        <f>IF(C9=0,"",C13/C9)</f>
        <v>1.5383649098961623</v>
      </c>
      <c r="D15" s="12"/>
      <c r="E15" s="10">
        <f>IF(E9=0,"",E13/E9)</f>
        <v>1.2565046417403583</v>
      </c>
      <c r="F15" s="39">
        <f>IF(F9=0,"",F13/F9)</f>
        <v>1.0844141606460493</v>
      </c>
      <c r="G15" s="39">
        <f>IF(ISERROR(F15-E15),"",E15-F15)</f>
        <v>0.17209048109430891</v>
      </c>
      <c r="H15" s="234">
        <f>IF(ISERROR(F15-E15),"",IF(F15&lt;0.00000001,"",E15/F15))</f>
        <v>1.158694424454753</v>
      </c>
    </row>
    <row r="17" spans="1:8" ht="14.4" customHeight="1" x14ac:dyDescent="0.3">
      <c r="A17" s="220" t="s">
        <v>195</v>
      </c>
    </row>
    <row r="18" spans="1:8" ht="14.4" customHeight="1" x14ac:dyDescent="0.3">
      <c r="A18" s="428" t="s">
        <v>241</v>
      </c>
      <c r="B18" s="429"/>
      <c r="C18" s="429"/>
      <c r="D18" s="429"/>
      <c r="E18" s="429"/>
      <c r="F18" s="429"/>
      <c r="G18" s="429"/>
      <c r="H18" s="429"/>
    </row>
    <row r="19" spans="1:8" x14ac:dyDescent="0.3">
      <c r="A19" s="427" t="s">
        <v>240</v>
      </c>
      <c r="B19" s="429"/>
      <c r="C19" s="429"/>
      <c r="D19" s="429"/>
      <c r="E19" s="429"/>
      <c r="F19" s="429"/>
      <c r="G19" s="429"/>
      <c r="H19" s="429"/>
    </row>
    <row r="20" spans="1:8" ht="14.4" customHeight="1" x14ac:dyDescent="0.3">
      <c r="A20" s="221" t="s">
        <v>302</v>
      </c>
    </row>
    <row r="21" spans="1:8" ht="14.4" customHeight="1" x14ac:dyDescent="0.3">
      <c r="A21" s="221" t="s">
        <v>196</v>
      </c>
    </row>
    <row r="22" spans="1:8" ht="14.4" customHeight="1" x14ac:dyDescent="0.3">
      <c r="A22" s="222" t="s">
        <v>197</v>
      </c>
    </row>
    <row r="23" spans="1:8" ht="14.4" customHeight="1" x14ac:dyDescent="0.3">
      <c r="A23" s="222" t="s">
        <v>198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86" bestFit="1" customWidth="1"/>
    <col min="2" max="2" width="15.6640625" style="186" bestFit="1" customWidth="1"/>
    <col min="3" max="5" width="8.33203125" style="194" customWidth="1"/>
    <col min="6" max="6" width="6.109375" style="195" customWidth="1"/>
    <col min="7" max="9" width="8.33203125" style="194" customWidth="1"/>
    <col min="10" max="10" width="6.109375" style="195" customWidth="1"/>
    <col min="11" max="14" width="8.33203125" style="194" customWidth="1"/>
    <col min="15" max="16384" width="8.88671875" style="186"/>
  </cols>
  <sheetData>
    <row r="1" spans="1:14" ht="18.600000000000001" customHeight="1" thickBot="1" x14ac:dyDescent="0.4">
      <c r="A1" s="589" t="s">
        <v>175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</row>
    <row r="2" spans="1:14" ht="14.4" customHeight="1" thickBot="1" x14ac:dyDescent="0.35">
      <c r="A2" s="375" t="s">
        <v>320</v>
      </c>
      <c r="B2" s="187"/>
      <c r="C2" s="187"/>
      <c r="D2" s="187"/>
      <c r="E2" s="187"/>
      <c r="F2" s="187"/>
      <c r="G2" s="443"/>
      <c r="H2" s="443"/>
      <c r="I2" s="443"/>
      <c r="J2" s="187"/>
      <c r="K2" s="443"/>
      <c r="L2" s="443"/>
      <c r="M2" s="443"/>
      <c r="N2" s="187"/>
    </row>
    <row r="3" spans="1:14" ht="14.4" customHeight="1" thickBot="1" x14ac:dyDescent="0.35">
      <c r="A3" s="188"/>
      <c r="B3" s="189" t="s">
        <v>153</v>
      </c>
      <c r="C3" s="190">
        <f>SUBTOTAL(9,C6:C1048576)</f>
        <v>1279</v>
      </c>
      <c r="D3" s="191">
        <f>SUBTOTAL(9,D6:D1048576)</f>
        <v>1489</v>
      </c>
      <c r="E3" s="191">
        <f>SUBTOTAL(9,E6:E1048576)</f>
        <v>1347</v>
      </c>
      <c r="F3" s="192">
        <f>IF(OR(E3=0,C3=0),"",E3/C3)</f>
        <v>1.0531665363565286</v>
      </c>
      <c r="G3" s="444">
        <f>SUBTOTAL(9,G6:G1048576)</f>
        <v>1215.0197999999998</v>
      </c>
      <c r="H3" s="445">
        <f>SUBTOTAL(9,H6:H1048576)</f>
        <v>1426.6557</v>
      </c>
      <c r="I3" s="445">
        <f>SUBTOTAL(9,I6:I1048576)</f>
        <v>1286.1528000000005</v>
      </c>
      <c r="J3" s="192">
        <f>IF(OR(I3=0,G3=0),"",I3/G3)</f>
        <v>1.0585447249501618</v>
      </c>
      <c r="K3" s="444">
        <f>SUBTOTAL(9,K6:K1048576)</f>
        <v>44.765000000000001</v>
      </c>
      <c r="L3" s="445">
        <f>SUBTOTAL(9,L6:L1048576)</f>
        <v>52.115000000000002</v>
      </c>
      <c r="M3" s="445">
        <f>SUBTOTAL(9,M6:M1048576)</f>
        <v>47.145000000000003</v>
      </c>
      <c r="N3" s="193">
        <f>IF(OR(M3=0,E3=0),"",M3/E3)</f>
        <v>3.5000000000000003E-2</v>
      </c>
    </row>
    <row r="4" spans="1:14" ht="14.4" customHeight="1" x14ac:dyDescent="0.3">
      <c r="A4" s="591" t="s">
        <v>84</v>
      </c>
      <c r="B4" s="592" t="s">
        <v>11</v>
      </c>
      <c r="C4" s="593" t="s">
        <v>85</v>
      </c>
      <c r="D4" s="593"/>
      <c r="E4" s="593"/>
      <c r="F4" s="594"/>
      <c r="G4" s="595" t="s">
        <v>14</v>
      </c>
      <c r="H4" s="593"/>
      <c r="I4" s="593"/>
      <c r="J4" s="594"/>
      <c r="K4" s="595" t="s">
        <v>86</v>
      </c>
      <c r="L4" s="593"/>
      <c r="M4" s="593"/>
      <c r="N4" s="596"/>
    </row>
    <row r="5" spans="1:14" ht="14.4" customHeight="1" thickBot="1" x14ac:dyDescent="0.35">
      <c r="A5" s="856"/>
      <c r="B5" s="857"/>
      <c r="C5" s="860">
        <v>2013</v>
      </c>
      <c r="D5" s="860">
        <v>2014</v>
      </c>
      <c r="E5" s="860">
        <v>2015</v>
      </c>
      <c r="F5" s="861" t="s">
        <v>2</v>
      </c>
      <c r="G5" s="865">
        <v>2013</v>
      </c>
      <c r="H5" s="860">
        <v>2014</v>
      </c>
      <c r="I5" s="860">
        <v>2015</v>
      </c>
      <c r="J5" s="861" t="s">
        <v>2</v>
      </c>
      <c r="K5" s="865">
        <v>2013</v>
      </c>
      <c r="L5" s="860">
        <v>2014</v>
      </c>
      <c r="M5" s="860">
        <v>2015</v>
      </c>
      <c r="N5" s="866" t="s">
        <v>87</v>
      </c>
    </row>
    <row r="6" spans="1:14" ht="14.4" customHeight="1" thickBot="1" x14ac:dyDescent="0.35">
      <c r="A6" s="858" t="s">
        <v>2728</v>
      </c>
      <c r="B6" s="859" t="s">
        <v>3287</v>
      </c>
      <c r="C6" s="862">
        <v>1279</v>
      </c>
      <c r="D6" s="863">
        <v>1489</v>
      </c>
      <c r="E6" s="863">
        <v>1347</v>
      </c>
      <c r="F6" s="864">
        <v>1.0531665363565286</v>
      </c>
      <c r="G6" s="862">
        <v>1215.0197999999998</v>
      </c>
      <c r="H6" s="863">
        <v>1426.6557</v>
      </c>
      <c r="I6" s="863">
        <v>1286.1528000000005</v>
      </c>
      <c r="J6" s="864">
        <v>1.0585447249501618</v>
      </c>
      <c r="K6" s="862">
        <v>44.765000000000001</v>
      </c>
      <c r="L6" s="863">
        <v>52.115000000000002</v>
      </c>
      <c r="M6" s="863">
        <v>47.145000000000003</v>
      </c>
      <c r="N6" s="86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8"/>
    <col min="2" max="13" width="8.88671875" style="248" customWidth="1"/>
    <col min="14" max="16384" width="8.88671875" style="248"/>
  </cols>
  <sheetData>
    <row r="1" spans="1:13" ht="18.600000000000001" customHeight="1" thickBot="1" x14ac:dyDescent="0.4">
      <c r="A1" s="470" t="s">
        <v>122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3" ht="14.4" customHeight="1" x14ac:dyDescent="0.3">
      <c r="A2" s="375" t="s">
        <v>320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ht="14.4" customHeight="1" x14ac:dyDescent="0.3">
      <c r="A3" s="320"/>
      <c r="B3" s="321" t="s">
        <v>97</v>
      </c>
      <c r="C3" s="322" t="s">
        <v>98</v>
      </c>
      <c r="D3" s="322" t="s">
        <v>99</v>
      </c>
      <c r="E3" s="321" t="s">
        <v>100</v>
      </c>
      <c r="F3" s="322" t="s">
        <v>101</v>
      </c>
      <c r="G3" s="322" t="s">
        <v>102</v>
      </c>
      <c r="H3" s="322" t="s">
        <v>103</v>
      </c>
      <c r="I3" s="322" t="s">
        <v>104</v>
      </c>
      <c r="J3" s="322" t="s">
        <v>105</v>
      </c>
      <c r="K3" s="322" t="s">
        <v>106</v>
      </c>
      <c r="L3" s="322" t="s">
        <v>107</v>
      </c>
      <c r="M3" s="322" t="s">
        <v>108</v>
      </c>
    </row>
    <row r="4" spans="1:13" ht="14.4" customHeight="1" x14ac:dyDescent="0.3">
      <c r="A4" s="320" t="s">
        <v>96</v>
      </c>
      <c r="B4" s="323">
        <f>(B10+B8)/B6</f>
        <v>1.4079683660942446</v>
      </c>
      <c r="C4" s="323">
        <f t="shared" ref="C4:M4" si="0">(C10+C8)/C6</f>
        <v>1.3096884358141312</v>
      </c>
      <c r="D4" s="323">
        <f t="shared" si="0"/>
        <v>1.3867663640296815</v>
      </c>
      <c r="E4" s="323">
        <f t="shared" si="0"/>
        <v>1.5177580688619523</v>
      </c>
      <c r="F4" s="323">
        <f t="shared" si="0"/>
        <v>1.2466570248499589</v>
      </c>
      <c r="G4" s="323">
        <f t="shared" si="0"/>
        <v>1.2565046954030763</v>
      </c>
      <c r="H4" s="323">
        <f t="shared" si="0"/>
        <v>0.41588153863582566</v>
      </c>
      <c r="I4" s="323">
        <f t="shared" si="0"/>
        <v>0.41588153863582566</v>
      </c>
      <c r="J4" s="323">
        <f t="shared" si="0"/>
        <v>0.41588153863582566</v>
      </c>
      <c r="K4" s="323">
        <f t="shared" si="0"/>
        <v>0.41588153863582566</v>
      </c>
      <c r="L4" s="323">
        <f t="shared" si="0"/>
        <v>0.41588153863582566</v>
      </c>
      <c r="M4" s="323">
        <f t="shared" si="0"/>
        <v>0.41588153863582566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3095.3926700000002</v>
      </c>
      <c r="C5" s="323">
        <f>IF(ISERROR(VLOOKUP($A5,'Man Tab'!$A:$Q,COLUMN()+2,0)),0,VLOOKUP($A5,'Man Tab'!$A:$Q,COLUMN()+2,0))</f>
        <v>2837.1088300000101</v>
      </c>
      <c r="D5" s="323">
        <f>IF(ISERROR(VLOOKUP($A5,'Man Tab'!$A:$Q,COLUMN()+2,0)),0,VLOOKUP($A5,'Man Tab'!$A:$Q,COLUMN()+2,0))</f>
        <v>3061.1646599999999</v>
      </c>
      <c r="E5" s="323">
        <f>IF(ISERROR(VLOOKUP($A5,'Man Tab'!$A:$Q,COLUMN()+2,0)),0,VLOOKUP($A5,'Man Tab'!$A:$Q,COLUMN()+2,0))</f>
        <v>3100.8510799999999</v>
      </c>
      <c r="F5" s="323">
        <f>IF(ISERROR(VLOOKUP($A5,'Man Tab'!$A:$Q,COLUMN()+2,0)),0,VLOOKUP($A5,'Man Tab'!$A:$Q,COLUMN()+2,0))</f>
        <v>5853.3659500000003</v>
      </c>
      <c r="G5" s="323">
        <f>IF(ISERROR(VLOOKUP($A5,'Man Tab'!$A:$Q,COLUMN()+2,0)),0,VLOOKUP($A5,'Man Tab'!$A:$Q,COLUMN()+2,0))</f>
        <v>3109.5666999999999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92</v>
      </c>
      <c r="B6" s="325">
        <f>B5</f>
        <v>3095.3926700000002</v>
      </c>
      <c r="C6" s="325">
        <f t="shared" ref="C6:M6" si="1">C5+B6</f>
        <v>5932.5015000000103</v>
      </c>
      <c r="D6" s="325">
        <f t="shared" si="1"/>
        <v>8993.6661600000098</v>
      </c>
      <c r="E6" s="325">
        <f t="shared" si="1"/>
        <v>12094.51724000001</v>
      </c>
      <c r="F6" s="325">
        <f t="shared" si="1"/>
        <v>17947.883190000011</v>
      </c>
      <c r="G6" s="325">
        <f t="shared" si="1"/>
        <v>21057.449890000011</v>
      </c>
      <c r="H6" s="325">
        <f t="shared" si="1"/>
        <v>21057.449890000011</v>
      </c>
      <c r="I6" s="325">
        <f t="shared" si="1"/>
        <v>21057.449890000011</v>
      </c>
      <c r="J6" s="325">
        <f t="shared" si="1"/>
        <v>21057.449890000011</v>
      </c>
      <c r="K6" s="325">
        <f t="shared" si="1"/>
        <v>21057.449890000011</v>
      </c>
      <c r="L6" s="325">
        <f t="shared" si="1"/>
        <v>21057.449890000011</v>
      </c>
      <c r="M6" s="325">
        <f t="shared" si="1"/>
        <v>21057.449890000011</v>
      </c>
    </row>
    <row r="7" spans="1:13" ht="14.4" customHeight="1" x14ac:dyDescent="0.3">
      <c r="A7" s="324" t="s">
        <v>120</v>
      </c>
      <c r="B7" s="324">
        <v>82.68</v>
      </c>
      <c r="C7" s="324">
        <v>138.38800000000001</v>
      </c>
      <c r="D7" s="324">
        <v>235.05099999999999</v>
      </c>
      <c r="E7" s="324">
        <v>372.52100000000002</v>
      </c>
      <c r="F7" s="324">
        <v>453.91500000000002</v>
      </c>
      <c r="G7" s="324">
        <v>590.04600000000005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93</v>
      </c>
      <c r="B8" s="325">
        <f>B7*30</f>
        <v>2480.4</v>
      </c>
      <c r="C8" s="325">
        <f t="shared" ref="C8:M8" si="2">C7*30</f>
        <v>4151.6400000000003</v>
      </c>
      <c r="D8" s="325">
        <f t="shared" si="2"/>
        <v>7051.53</v>
      </c>
      <c r="E8" s="325">
        <f t="shared" si="2"/>
        <v>11175.630000000001</v>
      </c>
      <c r="F8" s="325">
        <f t="shared" si="2"/>
        <v>13617.45</v>
      </c>
      <c r="G8" s="325">
        <f t="shared" si="2"/>
        <v>17701.38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121</v>
      </c>
      <c r="B9" s="324">
        <v>1877814.9600000007</v>
      </c>
      <c r="C9" s="324">
        <v>1740273.6500000001</v>
      </c>
      <c r="D9" s="324">
        <v>1802495.1100000008</v>
      </c>
      <c r="E9" s="324">
        <v>1760337.4100000015</v>
      </c>
      <c r="F9" s="324">
        <v>1576483.5300000003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94</v>
      </c>
      <c r="B10" s="325">
        <f>B9/1000</f>
        <v>1877.8149600000006</v>
      </c>
      <c r="C10" s="325">
        <f t="shared" ref="C10:M10" si="3">C9/1000+B10</f>
        <v>3618.0886100000007</v>
      </c>
      <c r="D10" s="325">
        <f t="shared" si="3"/>
        <v>5420.5837200000014</v>
      </c>
      <c r="E10" s="325">
        <f t="shared" si="3"/>
        <v>7180.9211300000024</v>
      </c>
      <c r="F10" s="325">
        <f t="shared" si="3"/>
        <v>8757.404660000002</v>
      </c>
      <c r="G10" s="325">
        <f t="shared" si="3"/>
        <v>8757.404660000002</v>
      </c>
      <c r="H10" s="325">
        <f t="shared" si="3"/>
        <v>8757.404660000002</v>
      </c>
      <c r="I10" s="325">
        <f t="shared" si="3"/>
        <v>8757.404660000002</v>
      </c>
      <c r="J10" s="325">
        <f t="shared" si="3"/>
        <v>8757.404660000002</v>
      </c>
      <c r="K10" s="325">
        <f t="shared" si="3"/>
        <v>8757.404660000002</v>
      </c>
      <c r="L10" s="325">
        <f t="shared" si="3"/>
        <v>8757.404660000002</v>
      </c>
      <c r="M10" s="325">
        <f t="shared" si="3"/>
        <v>8757.404660000002</v>
      </c>
    </row>
    <row r="11" spans="1:13" ht="14.4" customHeight="1" x14ac:dyDescent="0.3">
      <c r="A11" s="320"/>
      <c r="B11" s="320" t="s">
        <v>110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1.0844141606460493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1.0844141606460493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8" bestFit="1" customWidth="1"/>
    <col min="2" max="2" width="12.77734375" style="248" bestFit="1" customWidth="1"/>
    <col min="3" max="3" width="13.6640625" style="248" bestFit="1" customWidth="1"/>
    <col min="4" max="15" width="7.77734375" style="248" bestFit="1" customWidth="1"/>
    <col min="16" max="16" width="8.88671875" style="248" customWidth="1"/>
    <col min="17" max="17" width="6.6640625" style="248" bestFit="1" customWidth="1"/>
    <col min="18" max="16384" width="8.88671875" style="248"/>
  </cols>
  <sheetData>
    <row r="1" spans="1:17" s="326" customFormat="1" ht="18.600000000000001" customHeight="1" thickBot="1" x14ac:dyDescent="0.4">
      <c r="A1" s="479" t="s">
        <v>322</v>
      </c>
      <c r="B1" s="479"/>
      <c r="C1" s="479"/>
      <c r="D1" s="479"/>
      <c r="E1" s="479"/>
      <c r="F1" s="479"/>
      <c r="G1" s="479"/>
      <c r="H1" s="470"/>
      <c r="I1" s="470"/>
      <c r="J1" s="470"/>
      <c r="K1" s="470"/>
      <c r="L1" s="470"/>
      <c r="M1" s="470"/>
      <c r="N1" s="470"/>
      <c r="O1" s="470"/>
      <c r="P1" s="470"/>
      <c r="Q1" s="470"/>
    </row>
    <row r="2" spans="1:17" s="326" customFormat="1" ht="14.4" customHeight="1" thickBot="1" x14ac:dyDescent="0.3">
      <c r="A2" s="375" t="s">
        <v>320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96"/>
      <c r="B3" s="480" t="s">
        <v>29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257"/>
      <c r="Q3" s="259"/>
    </row>
    <row r="4" spans="1:17" ht="14.4" customHeight="1" x14ac:dyDescent="0.3">
      <c r="A4" s="97"/>
      <c r="B4" s="24">
        <v>2015</v>
      </c>
      <c r="C4" s="258" t="s">
        <v>30</v>
      </c>
      <c r="D4" s="236" t="s">
        <v>305</v>
      </c>
      <c r="E4" s="236" t="s">
        <v>306</v>
      </c>
      <c r="F4" s="236" t="s">
        <v>307</v>
      </c>
      <c r="G4" s="236" t="s">
        <v>308</v>
      </c>
      <c r="H4" s="236" t="s">
        <v>309</v>
      </c>
      <c r="I4" s="236" t="s">
        <v>310</v>
      </c>
      <c r="J4" s="236" t="s">
        <v>311</v>
      </c>
      <c r="K4" s="236" t="s">
        <v>312</v>
      </c>
      <c r="L4" s="236" t="s">
        <v>313</v>
      </c>
      <c r="M4" s="236" t="s">
        <v>314</v>
      </c>
      <c r="N4" s="236" t="s">
        <v>315</v>
      </c>
      <c r="O4" s="236" t="s">
        <v>316</v>
      </c>
      <c r="P4" s="482" t="s">
        <v>3</v>
      </c>
      <c r="Q4" s="483"/>
    </row>
    <row r="5" spans="1:17" ht="14.4" customHeight="1" thickBot="1" x14ac:dyDescent="0.35">
      <c r="A5" s="98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49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1">
        <v>0</v>
      </c>
      <c r="Q6" s="182" t="s">
        <v>321</v>
      </c>
    </row>
    <row r="7" spans="1:17" ht="14.4" customHeight="1" x14ac:dyDescent="0.3">
      <c r="A7" s="19" t="s">
        <v>35</v>
      </c>
      <c r="B7" s="52">
        <v>1206.6127783145</v>
      </c>
      <c r="C7" s="53">
        <v>100.551064859542</v>
      </c>
      <c r="D7" s="53">
        <v>112.19808</v>
      </c>
      <c r="E7" s="53">
        <v>79.835920000000002</v>
      </c>
      <c r="F7" s="53">
        <v>71.801640000000006</v>
      </c>
      <c r="G7" s="53">
        <v>169.25328999999999</v>
      </c>
      <c r="H7" s="53">
        <v>83.472499999999997</v>
      </c>
      <c r="I7" s="53">
        <v>98.834609999999998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4">
        <v>615.39603999999997</v>
      </c>
      <c r="Q7" s="183">
        <v>1.020038990237</v>
      </c>
    </row>
    <row r="8" spans="1:17" ht="14.4" customHeight="1" x14ac:dyDescent="0.3">
      <c r="A8" s="19" t="s">
        <v>36</v>
      </c>
      <c r="B8" s="52">
        <v>91.940663175859996</v>
      </c>
      <c r="C8" s="53">
        <v>7.6617219313209999</v>
      </c>
      <c r="D8" s="53">
        <v>5.4580000000000002</v>
      </c>
      <c r="E8" s="53">
        <v>0</v>
      </c>
      <c r="F8" s="53">
        <v>5.4580000000000002</v>
      </c>
      <c r="G8" s="53">
        <v>4.5419999999999998</v>
      </c>
      <c r="H8" s="53">
        <v>4.8419999999999996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4">
        <v>20.3</v>
      </c>
      <c r="Q8" s="183">
        <v>0.44158915758799999</v>
      </c>
    </row>
    <row r="9" spans="1:17" ht="14.4" customHeight="1" x14ac:dyDescent="0.3">
      <c r="A9" s="19" t="s">
        <v>37</v>
      </c>
      <c r="B9" s="52">
        <v>2442.6657611317601</v>
      </c>
      <c r="C9" s="53">
        <v>203.555480094313</v>
      </c>
      <c r="D9" s="53">
        <v>62.395159999999997</v>
      </c>
      <c r="E9" s="53">
        <v>139.34338</v>
      </c>
      <c r="F9" s="53">
        <v>153.81674000000001</v>
      </c>
      <c r="G9" s="53">
        <v>179.14455000000001</v>
      </c>
      <c r="H9" s="53">
        <v>148.56296</v>
      </c>
      <c r="I9" s="53">
        <v>190.50498999999999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4">
        <v>873.76778000000002</v>
      </c>
      <c r="Q9" s="183">
        <v>0.71542148246600001</v>
      </c>
    </row>
    <row r="10" spans="1:17" ht="14.4" customHeight="1" x14ac:dyDescent="0.3">
      <c r="A10" s="19" t="s">
        <v>38</v>
      </c>
      <c r="B10" s="52">
        <v>243.999992314591</v>
      </c>
      <c r="C10" s="53">
        <v>20.333332692881999</v>
      </c>
      <c r="D10" s="53">
        <v>18.71564</v>
      </c>
      <c r="E10" s="53">
        <v>20.725950000000001</v>
      </c>
      <c r="F10" s="53">
        <v>30.61496</v>
      </c>
      <c r="G10" s="53">
        <v>25.915859999999999</v>
      </c>
      <c r="H10" s="53">
        <v>28.308890000000002</v>
      </c>
      <c r="I10" s="53">
        <v>30.051559999999998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4">
        <v>154.33286000000001</v>
      </c>
      <c r="Q10" s="183">
        <v>1.265023482468</v>
      </c>
    </row>
    <row r="11" spans="1:17" ht="14.4" customHeight="1" x14ac:dyDescent="0.3">
      <c r="A11" s="19" t="s">
        <v>39</v>
      </c>
      <c r="B11" s="52">
        <v>546.06601207755</v>
      </c>
      <c r="C11" s="53">
        <v>45.505501006461998</v>
      </c>
      <c r="D11" s="53">
        <v>35.368549999999999</v>
      </c>
      <c r="E11" s="53">
        <v>41.326099999999997</v>
      </c>
      <c r="F11" s="53">
        <v>47.993360000000003</v>
      </c>
      <c r="G11" s="53">
        <v>45.502339999999997</v>
      </c>
      <c r="H11" s="53">
        <v>43.554870000000001</v>
      </c>
      <c r="I11" s="53">
        <v>51.198189999999997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4">
        <v>264.94340999999997</v>
      </c>
      <c r="Q11" s="183">
        <v>0.97037136221599996</v>
      </c>
    </row>
    <row r="12" spans="1:17" ht="14.4" customHeight="1" x14ac:dyDescent="0.3">
      <c r="A12" s="19" t="s">
        <v>40</v>
      </c>
      <c r="B12" s="52">
        <v>23.207227646271999</v>
      </c>
      <c r="C12" s="53">
        <v>1.933935637189</v>
      </c>
      <c r="D12" s="53">
        <v>0.58923999999999999</v>
      </c>
      <c r="E12" s="53">
        <v>0.49791000000000002</v>
      </c>
      <c r="F12" s="53">
        <v>8.0703999999999994</v>
      </c>
      <c r="G12" s="53">
        <v>1.7189099999999999</v>
      </c>
      <c r="H12" s="53">
        <v>5.7355700000000001</v>
      </c>
      <c r="I12" s="53">
        <v>8.6079299999999996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4">
        <v>25.21996</v>
      </c>
      <c r="Q12" s="183">
        <v>2.1734573715050001</v>
      </c>
    </row>
    <row r="13" spans="1:17" ht="14.4" customHeight="1" x14ac:dyDescent="0.3">
      <c r="A13" s="19" t="s">
        <v>41</v>
      </c>
      <c r="B13" s="52">
        <v>1128.9999644392401</v>
      </c>
      <c r="C13" s="53">
        <v>94.083330369935993</v>
      </c>
      <c r="D13" s="53">
        <v>65.127650000000003</v>
      </c>
      <c r="E13" s="53">
        <v>4.4426800000000002</v>
      </c>
      <c r="F13" s="53">
        <v>72.907269999999997</v>
      </c>
      <c r="G13" s="53">
        <v>95.697519999999997</v>
      </c>
      <c r="H13" s="53">
        <v>56.436190000000003</v>
      </c>
      <c r="I13" s="53">
        <v>45.811729999999997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4">
        <v>340.42304000000001</v>
      </c>
      <c r="Q13" s="183">
        <v>0.60305234848900002</v>
      </c>
    </row>
    <row r="14" spans="1:17" ht="14.4" customHeight="1" x14ac:dyDescent="0.3">
      <c r="A14" s="19" t="s">
        <v>42</v>
      </c>
      <c r="B14" s="52">
        <v>2538.56602307609</v>
      </c>
      <c r="C14" s="53">
        <v>211.54716858967399</v>
      </c>
      <c r="D14" s="53">
        <v>293.142</v>
      </c>
      <c r="E14" s="53">
        <v>251.48000000000101</v>
      </c>
      <c r="F14" s="53">
        <v>236.86799999999999</v>
      </c>
      <c r="G14" s="53">
        <v>193.69499999999999</v>
      </c>
      <c r="H14" s="53">
        <v>147.90100000000001</v>
      </c>
      <c r="I14" s="53">
        <v>121.30500000000001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4">
        <v>1244.3910000000001</v>
      </c>
      <c r="Q14" s="183">
        <v>0.98038891932500005</v>
      </c>
    </row>
    <row r="15" spans="1:17" ht="14.4" customHeight="1" x14ac:dyDescent="0.3">
      <c r="A15" s="19" t="s">
        <v>43</v>
      </c>
      <c r="B15" s="52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4">
        <v>0</v>
      </c>
      <c r="Q15" s="183" t="s">
        <v>321</v>
      </c>
    </row>
    <row r="16" spans="1:17" ht="14.4" customHeight="1" x14ac:dyDescent="0.3">
      <c r="A16" s="19" t="s">
        <v>44</v>
      </c>
      <c r="B16" s="52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4">
        <v>0</v>
      </c>
      <c r="Q16" s="183" t="s">
        <v>321</v>
      </c>
    </row>
    <row r="17" spans="1:17" ht="14.4" customHeight="1" x14ac:dyDescent="0.3">
      <c r="A17" s="19" t="s">
        <v>45</v>
      </c>
      <c r="B17" s="52">
        <v>998.070213794555</v>
      </c>
      <c r="C17" s="53">
        <v>83.172517816211993</v>
      </c>
      <c r="D17" s="53">
        <v>50.121279999999999</v>
      </c>
      <c r="E17" s="53">
        <v>14.49316</v>
      </c>
      <c r="F17" s="53">
        <v>97.199539999999999</v>
      </c>
      <c r="G17" s="53">
        <v>24.536999999999999</v>
      </c>
      <c r="H17" s="53">
        <v>61.974490000000003</v>
      </c>
      <c r="I17" s="53">
        <v>69.394509999999997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4">
        <v>317.71998000000002</v>
      </c>
      <c r="Q17" s="183">
        <v>0.63666859427</v>
      </c>
    </row>
    <row r="18" spans="1:17" ht="14.4" customHeight="1" x14ac:dyDescent="0.3">
      <c r="A18" s="19" t="s">
        <v>46</v>
      </c>
      <c r="B18" s="52">
        <v>0</v>
      </c>
      <c r="C18" s="53">
        <v>0</v>
      </c>
      <c r="D18" s="53">
        <v>6.9809999999999999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4">
        <v>6.9809999999999999</v>
      </c>
      <c r="Q18" s="183" t="s">
        <v>321</v>
      </c>
    </row>
    <row r="19" spans="1:17" ht="14.4" customHeight="1" x14ac:dyDescent="0.3">
      <c r="A19" s="19" t="s">
        <v>47</v>
      </c>
      <c r="B19" s="52">
        <v>1718.08906838036</v>
      </c>
      <c r="C19" s="53">
        <v>143.17408903169601</v>
      </c>
      <c r="D19" s="53">
        <v>185.93248</v>
      </c>
      <c r="E19" s="53">
        <v>112.09645999999999</v>
      </c>
      <c r="F19" s="53">
        <v>162.6961</v>
      </c>
      <c r="G19" s="53">
        <v>142.83931999999999</v>
      </c>
      <c r="H19" s="53">
        <v>208.18893</v>
      </c>
      <c r="I19" s="53">
        <v>188.10223999999999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4">
        <v>999.85553000000004</v>
      </c>
      <c r="Q19" s="183">
        <v>1.163915827649</v>
      </c>
    </row>
    <row r="20" spans="1:17" ht="14.4" customHeight="1" x14ac:dyDescent="0.3">
      <c r="A20" s="19" t="s">
        <v>48</v>
      </c>
      <c r="B20" s="52">
        <v>30430.999041497202</v>
      </c>
      <c r="C20" s="53">
        <v>2535.9165867914398</v>
      </c>
      <c r="D20" s="53">
        <v>2128.7959900000001</v>
      </c>
      <c r="E20" s="53">
        <v>2042.4983999999999</v>
      </c>
      <c r="F20" s="53">
        <v>2077.4004300000001</v>
      </c>
      <c r="G20" s="53">
        <v>2121.66734</v>
      </c>
      <c r="H20" s="53">
        <v>2212.8448400000002</v>
      </c>
      <c r="I20" s="53">
        <v>2208.8053199999999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4">
        <v>12792.01232</v>
      </c>
      <c r="Q20" s="183">
        <v>0.84072246872699996</v>
      </c>
    </row>
    <row r="21" spans="1:17" ht="14.4" customHeight="1" x14ac:dyDescent="0.3">
      <c r="A21" s="20" t="s">
        <v>49</v>
      </c>
      <c r="B21" s="52">
        <v>1723.9996623876</v>
      </c>
      <c r="C21" s="53">
        <v>143.6666385323</v>
      </c>
      <c r="D21" s="53">
        <v>130.36799999999999</v>
      </c>
      <c r="E21" s="53">
        <v>130.36799999999999</v>
      </c>
      <c r="F21" s="53">
        <v>96.337999999999994</v>
      </c>
      <c r="G21" s="53">
        <v>96.337999999999994</v>
      </c>
      <c r="H21" s="53">
        <v>2851.5439999999999</v>
      </c>
      <c r="I21" s="53">
        <v>96.337999999999994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4">
        <v>3401.2939999999999</v>
      </c>
      <c r="Q21" s="183">
        <v>3.9458174780489998</v>
      </c>
    </row>
    <row r="22" spans="1:17" ht="14.4" customHeight="1" x14ac:dyDescent="0.3">
      <c r="A22" s="19" t="s">
        <v>50</v>
      </c>
      <c r="B22" s="52">
        <v>7</v>
      </c>
      <c r="C22" s="53">
        <v>0.58333333333299997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4">
        <v>0</v>
      </c>
      <c r="Q22" s="183">
        <v>0</v>
      </c>
    </row>
    <row r="23" spans="1:17" ht="14.4" customHeight="1" x14ac:dyDescent="0.3">
      <c r="A23" s="20" t="s">
        <v>51</v>
      </c>
      <c r="B23" s="52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4">
        <v>0</v>
      </c>
      <c r="Q23" s="183" t="s">
        <v>321</v>
      </c>
    </row>
    <row r="24" spans="1:17" ht="14.4" customHeight="1" x14ac:dyDescent="0.3">
      <c r="A24" s="20" t="s">
        <v>52</v>
      </c>
      <c r="B24" s="52">
        <v>7.2759576141834308E-12</v>
      </c>
      <c r="C24" s="53">
        <v>0</v>
      </c>
      <c r="D24" s="53">
        <v>0.19959999999899999</v>
      </c>
      <c r="E24" s="53">
        <v>8.7000000000000001E-4</v>
      </c>
      <c r="F24" s="53">
        <v>2.1999999900000001E-4</v>
      </c>
      <c r="G24" s="53">
        <v>-5.0000000555883202E-5</v>
      </c>
      <c r="H24" s="53">
        <v>-2.8999999900000001E-4</v>
      </c>
      <c r="I24" s="53">
        <v>0.61261999999899996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4">
        <v>0.81296999999899999</v>
      </c>
      <c r="Q24" s="183"/>
    </row>
    <row r="25" spans="1:17" ht="14.4" customHeight="1" x14ac:dyDescent="0.3">
      <c r="A25" s="21" t="s">
        <v>53</v>
      </c>
      <c r="B25" s="55">
        <v>43100.216408235603</v>
      </c>
      <c r="C25" s="56">
        <v>3591.6847006862999</v>
      </c>
      <c r="D25" s="56">
        <v>3095.3926700000002</v>
      </c>
      <c r="E25" s="56">
        <v>2837.1088300000101</v>
      </c>
      <c r="F25" s="56">
        <v>3061.1646599999999</v>
      </c>
      <c r="G25" s="56">
        <v>3100.8510799999999</v>
      </c>
      <c r="H25" s="56">
        <v>5853.3659500000003</v>
      </c>
      <c r="I25" s="56">
        <v>3109.5666999999999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7">
        <v>21057.44989</v>
      </c>
      <c r="Q25" s="184">
        <v>0.97713894011799995</v>
      </c>
    </row>
    <row r="26" spans="1:17" ht="14.4" customHeight="1" x14ac:dyDescent="0.3">
      <c r="A26" s="19" t="s">
        <v>54</v>
      </c>
      <c r="B26" s="52">
        <v>5284.8526813994204</v>
      </c>
      <c r="C26" s="53">
        <v>440.404390116618</v>
      </c>
      <c r="D26" s="53">
        <v>404.706940000001</v>
      </c>
      <c r="E26" s="53">
        <v>363.795220000001</v>
      </c>
      <c r="F26" s="53">
        <v>425.49638000000101</v>
      </c>
      <c r="G26" s="53">
        <v>385.245710000001</v>
      </c>
      <c r="H26" s="53">
        <v>368.35575</v>
      </c>
      <c r="I26" s="53">
        <v>475.21697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4">
        <v>2422.8169700000099</v>
      </c>
      <c r="Q26" s="183">
        <v>0.91689101515600002</v>
      </c>
    </row>
    <row r="27" spans="1:17" ht="14.4" customHeight="1" x14ac:dyDescent="0.3">
      <c r="A27" s="22" t="s">
        <v>55</v>
      </c>
      <c r="B27" s="55">
        <v>48385.069089634999</v>
      </c>
      <c r="C27" s="56">
        <v>4032.0890908029201</v>
      </c>
      <c r="D27" s="56">
        <v>3500.0996100000002</v>
      </c>
      <c r="E27" s="56">
        <v>3200.9040500000101</v>
      </c>
      <c r="F27" s="56">
        <v>3486.66104</v>
      </c>
      <c r="G27" s="56">
        <v>3486.0967900000001</v>
      </c>
      <c r="H27" s="56">
        <v>6221.7217000000001</v>
      </c>
      <c r="I27" s="56">
        <v>3584.7836699999998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7">
        <v>23480.26686</v>
      </c>
      <c r="Q27" s="184">
        <v>0.970558368595</v>
      </c>
    </row>
    <row r="28" spans="1:17" ht="14.4" customHeight="1" x14ac:dyDescent="0.3">
      <c r="A28" s="20" t="s">
        <v>56</v>
      </c>
      <c r="B28" s="52">
        <v>1663.7047477419501</v>
      </c>
      <c r="C28" s="53">
        <v>138.64206231182899</v>
      </c>
      <c r="D28" s="53">
        <v>78.171170000000004</v>
      </c>
      <c r="E28" s="53">
        <v>107.53379</v>
      </c>
      <c r="F28" s="53">
        <v>280.80414000000002</v>
      </c>
      <c r="G28" s="53">
        <v>246.8399</v>
      </c>
      <c r="H28" s="53">
        <v>51.733899999999998</v>
      </c>
      <c r="I28" s="53">
        <v>206.79080999999999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4">
        <v>971.87370999999996</v>
      </c>
      <c r="Q28" s="183">
        <v>1.168324741897</v>
      </c>
    </row>
    <row r="29" spans="1:17" ht="14.4" customHeight="1" x14ac:dyDescent="0.3">
      <c r="A29" s="20" t="s">
        <v>57</v>
      </c>
      <c r="B29" s="52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4">
        <v>0</v>
      </c>
      <c r="Q29" s="183" t="s">
        <v>321</v>
      </c>
    </row>
    <row r="30" spans="1:17" ht="14.4" customHeight="1" x14ac:dyDescent="0.3">
      <c r="A30" s="20" t="s">
        <v>58</v>
      </c>
      <c r="B30" s="52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4">
        <v>0</v>
      </c>
      <c r="Q30" s="183">
        <v>10</v>
      </c>
    </row>
    <row r="31" spans="1:17" ht="14.4" customHeight="1" thickBot="1" x14ac:dyDescent="0.35">
      <c r="A31" s="23" t="s">
        <v>59</v>
      </c>
      <c r="B31" s="58">
        <v>0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60">
        <v>0</v>
      </c>
      <c r="Q31" s="185" t="s">
        <v>321</v>
      </c>
    </row>
    <row r="32" spans="1:17" ht="14.4" customHeight="1" x14ac:dyDescent="0.3"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</row>
    <row r="33" spans="1:17" ht="14.4" customHeight="1" x14ac:dyDescent="0.3">
      <c r="A33" s="220" t="s">
        <v>195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</row>
    <row r="34" spans="1:17" ht="14.4" customHeight="1" x14ac:dyDescent="0.3">
      <c r="A34" s="254" t="s">
        <v>317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</row>
    <row r="35" spans="1:17" ht="14.4" customHeight="1" x14ac:dyDescent="0.3">
      <c r="A35" s="255" t="s">
        <v>60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0" customWidth="1"/>
    <col min="2" max="2" width="61.109375" style="330" customWidth="1"/>
    <col min="3" max="3" width="9.5546875" style="248" customWidth="1"/>
    <col min="4" max="4" width="9.5546875" style="331" customWidth="1"/>
    <col min="5" max="5" width="2.21875" style="331" customWidth="1"/>
    <col min="6" max="6" width="9.5546875" style="332" customWidth="1"/>
    <col min="7" max="7" width="9.5546875" style="329" customWidth="1"/>
    <col min="8" max="9" width="9.5546875" style="248" customWidth="1"/>
    <col min="10" max="10" width="0" style="248" hidden="1" customWidth="1"/>
    <col min="11" max="16384" width="8.88671875" style="248"/>
  </cols>
  <sheetData>
    <row r="1" spans="1:10" ht="18.600000000000001" customHeight="1" thickBot="1" x14ac:dyDescent="0.4">
      <c r="A1" s="489" t="s">
        <v>170</v>
      </c>
      <c r="B1" s="490"/>
      <c r="C1" s="490"/>
      <c r="D1" s="490"/>
      <c r="E1" s="490"/>
      <c r="F1" s="490"/>
      <c r="G1" s="471"/>
      <c r="H1" s="491"/>
      <c r="I1" s="491"/>
    </row>
    <row r="2" spans="1:10" ht="14.4" customHeight="1" thickBot="1" x14ac:dyDescent="0.35">
      <c r="A2" s="375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5"/>
      <c r="B3" s="328"/>
      <c r="C3" s="433">
        <v>2013</v>
      </c>
      <c r="D3" s="434">
        <v>2014</v>
      </c>
      <c r="E3" s="11"/>
      <c r="F3" s="484">
        <v>2015</v>
      </c>
      <c r="G3" s="485"/>
      <c r="H3" s="485"/>
      <c r="I3" s="486"/>
    </row>
    <row r="4" spans="1:10" ht="14.4" customHeight="1" thickBot="1" x14ac:dyDescent="0.35">
      <c r="A4" s="438" t="s">
        <v>0</v>
      </c>
      <c r="B4" s="439" t="s">
        <v>283</v>
      </c>
      <c r="C4" s="487" t="s">
        <v>88</v>
      </c>
      <c r="D4" s="488"/>
      <c r="E4" s="440"/>
      <c r="F4" s="435" t="s">
        <v>88</v>
      </c>
      <c r="G4" s="436" t="s">
        <v>89</v>
      </c>
      <c r="H4" s="436" t="s">
        <v>63</v>
      </c>
      <c r="I4" s="437" t="s">
        <v>90</v>
      </c>
    </row>
    <row r="5" spans="1:10" ht="14.4" customHeight="1" x14ac:dyDescent="0.3">
      <c r="A5" s="597" t="s">
        <v>323</v>
      </c>
      <c r="B5" s="598" t="s">
        <v>324</v>
      </c>
      <c r="C5" s="599" t="s">
        <v>325</v>
      </c>
      <c r="D5" s="599" t="s">
        <v>325</v>
      </c>
      <c r="E5" s="599"/>
      <c r="F5" s="599" t="s">
        <v>325</v>
      </c>
      <c r="G5" s="599" t="s">
        <v>325</v>
      </c>
      <c r="H5" s="599" t="s">
        <v>325</v>
      </c>
      <c r="I5" s="600" t="s">
        <v>325</v>
      </c>
      <c r="J5" s="601" t="s">
        <v>68</v>
      </c>
    </row>
    <row r="6" spans="1:10" ht="14.4" customHeight="1" x14ac:dyDescent="0.3">
      <c r="A6" s="597" t="s">
        <v>323</v>
      </c>
      <c r="B6" s="598" t="s">
        <v>326</v>
      </c>
      <c r="C6" s="599">
        <v>272.55370999999997</v>
      </c>
      <c r="D6" s="599">
        <v>330.59217000000001</v>
      </c>
      <c r="E6" s="599"/>
      <c r="F6" s="599">
        <v>329.83153000000004</v>
      </c>
      <c r="G6" s="599">
        <v>362.06627200614355</v>
      </c>
      <c r="H6" s="599">
        <v>-32.234742006143506</v>
      </c>
      <c r="I6" s="600">
        <v>0.91097005024097755</v>
      </c>
      <c r="J6" s="601" t="s">
        <v>1</v>
      </c>
    </row>
    <row r="7" spans="1:10" ht="14.4" customHeight="1" x14ac:dyDescent="0.3">
      <c r="A7" s="597" t="s">
        <v>323</v>
      </c>
      <c r="B7" s="598" t="s">
        <v>327</v>
      </c>
      <c r="C7" s="599">
        <v>-1.7091800000000004</v>
      </c>
      <c r="D7" s="599">
        <v>46.49962</v>
      </c>
      <c r="E7" s="599"/>
      <c r="F7" s="599">
        <v>22.91245</v>
      </c>
      <c r="G7" s="599">
        <v>51.172768042590491</v>
      </c>
      <c r="H7" s="599">
        <v>-28.260318042590491</v>
      </c>
      <c r="I7" s="600">
        <v>0.44774693409061317</v>
      </c>
      <c r="J7" s="601" t="s">
        <v>1</v>
      </c>
    </row>
    <row r="8" spans="1:10" ht="14.4" customHeight="1" x14ac:dyDescent="0.3">
      <c r="A8" s="597" t="s">
        <v>323</v>
      </c>
      <c r="B8" s="598" t="s">
        <v>328</v>
      </c>
      <c r="C8" s="599">
        <v>0</v>
      </c>
      <c r="D8" s="599">
        <v>0</v>
      </c>
      <c r="E8" s="599"/>
      <c r="F8" s="599">
        <v>0</v>
      </c>
      <c r="G8" s="599">
        <v>17.217311066657501</v>
      </c>
      <c r="H8" s="599">
        <v>-17.217311066657501</v>
      </c>
      <c r="I8" s="600">
        <v>0</v>
      </c>
      <c r="J8" s="601" t="s">
        <v>1</v>
      </c>
    </row>
    <row r="9" spans="1:10" ht="14.4" customHeight="1" x14ac:dyDescent="0.3">
      <c r="A9" s="597" t="s">
        <v>323</v>
      </c>
      <c r="B9" s="598" t="s">
        <v>329</v>
      </c>
      <c r="C9" s="599">
        <v>396.83070999999995</v>
      </c>
      <c r="D9" s="599">
        <v>13.33797</v>
      </c>
      <c r="E9" s="599"/>
      <c r="F9" s="599">
        <v>90.292699999999996</v>
      </c>
      <c r="G9" s="599">
        <v>9.4999997007729995</v>
      </c>
      <c r="H9" s="599">
        <v>80.792700299226993</v>
      </c>
      <c r="I9" s="600">
        <v>9.5044950362106881</v>
      </c>
      <c r="J9" s="601" t="s">
        <v>1</v>
      </c>
    </row>
    <row r="10" spans="1:10" ht="14.4" customHeight="1" x14ac:dyDescent="0.3">
      <c r="A10" s="597" t="s">
        <v>323</v>
      </c>
      <c r="B10" s="598" t="s">
        <v>330</v>
      </c>
      <c r="C10" s="599">
        <v>74.639429999998995</v>
      </c>
      <c r="D10" s="599">
        <v>70.219070000000016</v>
      </c>
      <c r="E10" s="599"/>
      <c r="F10" s="599">
        <v>58.992129999999996</v>
      </c>
      <c r="G10" s="599">
        <v>111.431525185127</v>
      </c>
      <c r="H10" s="599">
        <v>-52.439395185127005</v>
      </c>
      <c r="I10" s="600">
        <v>0.52940251784217518</v>
      </c>
      <c r="J10" s="601" t="s">
        <v>1</v>
      </c>
    </row>
    <row r="11" spans="1:10" ht="14.4" customHeight="1" x14ac:dyDescent="0.3">
      <c r="A11" s="597" t="s">
        <v>323</v>
      </c>
      <c r="B11" s="598" t="s">
        <v>331</v>
      </c>
      <c r="C11" s="599">
        <v>0.81434999999900004</v>
      </c>
      <c r="D11" s="599">
        <v>2.40388</v>
      </c>
      <c r="E11" s="599"/>
      <c r="F11" s="599">
        <v>62.111820000000002</v>
      </c>
      <c r="G11" s="599">
        <v>3.826093465824</v>
      </c>
      <c r="H11" s="599">
        <v>58.285726534176</v>
      </c>
      <c r="I11" s="600">
        <v>16.233743517978436</v>
      </c>
      <c r="J11" s="601" t="s">
        <v>1</v>
      </c>
    </row>
    <row r="12" spans="1:10" ht="14.4" customHeight="1" x14ac:dyDescent="0.3">
      <c r="A12" s="597" t="s">
        <v>323</v>
      </c>
      <c r="B12" s="598" t="s">
        <v>332</v>
      </c>
      <c r="C12" s="599">
        <v>45.669819999999</v>
      </c>
      <c r="D12" s="599">
        <v>45.772379999999998</v>
      </c>
      <c r="E12" s="599"/>
      <c r="F12" s="599">
        <v>51.255409999999998</v>
      </c>
      <c r="G12" s="599">
        <v>48.092419690133497</v>
      </c>
      <c r="H12" s="599">
        <v>3.1629903098665011</v>
      </c>
      <c r="I12" s="600">
        <v>1.0657689991530082</v>
      </c>
      <c r="J12" s="601" t="s">
        <v>1</v>
      </c>
    </row>
    <row r="13" spans="1:10" ht="14.4" customHeight="1" x14ac:dyDescent="0.3">
      <c r="A13" s="597" t="s">
        <v>323</v>
      </c>
      <c r="B13" s="598" t="s">
        <v>333</v>
      </c>
      <c r="C13" s="599">
        <v>788.79883999999697</v>
      </c>
      <c r="D13" s="599">
        <v>508.82508999999999</v>
      </c>
      <c r="E13" s="599"/>
      <c r="F13" s="599">
        <v>615.39603999999997</v>
      </c>
      <c r="G13" s="599">
        <v>603.3063891572491</v>
      </c>
      <c r="H13" s="599">
        <v>12.089650842750871</v>
      </c>
      <c r="I13" s="600">
        <v>1.0200389902378437</v>
      </c>
      <c r="J13" s="601" t="s">
        <v>334</v>
      </c>
    </row>
    <row r="15" spans="1:10" ht="14.4" customHeight="1" x14ac:dyDescent="0.3">
      <c r="A15" s="597" t="s">
        <v>323</v>
      </c>
      <c r="B15" s="598" t="s">
        <v>324</v>
      </c>
      <c r="C15" s="599" t="s">
        <v>325</v>
      </c>
      <c r="D15" s="599" t="s">
        <v>325</v>
      </c>
      <c r="E15" s="599"/>
      <c r="F15" s="599" t="s">
        <v>325</v>
      </c>
      <c r="G15" s="599" t="s">
        <v>325</v>
      </c>
      <c r="H15" s="599" t="s">
        <v>325</v>
      </c>
      <c r="I15" s="600" t="s">
        <v>325</v>
      </c>
      <c r="J15" s="601" t="s">
        <v>68</v>
      </c>
    </row>
    <row r="16" spans="1:10" ht="14.4" customHeight="1" x14ac:dyDescent="0.3">
      <c r="A16" s="597" t="s">
        <v>335</v>
      </c>
      <c r="B16" s="598" t="s">
        <v>336</v>
      </c>
      <c r="C16" s="599" t="s">
        <v>325</v>
      </c>
      <c r="D16" s="599" t="s">
        <v>325</v>
      </c>
      <c r="E16" s="599"/>
      <c r="F16" s="599" t="s">
        <v>325</v>
      </c>
      <c r="G16" s="599" t="s">
        <v>325</v>
      </c>
      <c r="H16" s="599" t="s">
        <v>325</v>
      </c>
      <c r="I16" s="600" t="s">
        <v>325</v>
      </c>
      <c r="J16" s="601" t="s">
        <v>0</v>
      </c>
    </row>
    <row r="17" spans="1:10" ht="14.4" customHeight="1" x14ac:dyDescent="0.3">
      <c r="A17" s="597" t="s">
        <v>335</v>
      </c>
      <c r="B17" s="598" t="s">
        <v>326</v>
      </c>
      <c r="C17" s="599">
        <v>0</v>
      </c>
      <c r="D17" s="599" t="s">
        <v>325</v>
      </c>
      <c r="E17" s="599"/>
      <c r="F17" s="599" t="s">
        <v>325</v>
      </c>
      <c r="G17" s="599" t="s">
        <v>325</v>
      </c>
      <c r="H17" s="599" t="s">
        <v>325</v>
      </c>
      <c r="I17" s="600" t="s">
        <v>325</v>
      </c>
      <c r="J17" s="601" t="s">
        <v>1</v>
      </c>
    </row>
    <row r="18" spans="1:10" ht="14.4" customHeight="1" x14ac:dyDescent="0.3">
      <c r="A18" s="597" t="s">
        <v>335</v>
      </c>
      <c r="B18" s="598" t="s">
        <v>337</v>
      </c>
      <c r="C18" s="599">
        <v>0</v>
      </c>
      <c r="D18" s="599" t="s">
        <v>325</v>
      </c>
      <c r="E18" s="599"/>
      <c r="F18" s="599" t="s">
        <v>325</v>
      </c>
      <c r="G18" s="599" t="s">
        <v>325</v>
      </c>
      <c r="H18" s="599" t="s">
        <v>325</v>
      </c>
      <c r="I18" s="600" t="s">
        <v>325</v>
      </c>
      <c r="J18" s="601" t="s">
        <v>338</v>
      </c>
    </row>
    <row r="19" spans="1:10" ht="14.4" customHeight="1" x14ac:dyDescent="0.3">
      <c r="A19" s="597" t="s">
        <v>325</v>
      </c>
      <c r="B19" s="598" t="s">
        <v>325</v>
      </c>
      <c r="C19" s="599" t="s">
        <v>325</v>
      </c>
      <c r="D19" s="599" t="s">
        <v>325</v>
      </c>
      <c r="E19" s="599"/>
      <c r="F19" s="599" t="s">
        <v>325</v>
      </c>
      <c r="G19" s="599" t="s">
        <v>325</v>
      </c>
      <c r="H19" s="599" t="s">
        <v>325</v>
      </c>
      <c r="I19" s="600" t="s">
        <v>325</v>
      </c>
      <c r="J19" s="601" t="s">
        <v>339</v>
      </c>
    </row>
    <row r="20" spans="1:10" ht="14.4" customHeight="1" x14ac:dyDescent="0.3">
      <c r="A20" s="597" t="s">
        <v>340</v>
      </c>
      <c r="B20" s="598" t="s">
        <v>341</v>
      </c>
      <c r="C20" s="599" t="s">
        <v>325</v>
      </c>
      <c r="D20" s="599" t="s">
        <v>325</v>
      </c>
      <c r="E20" s="599"/>
      <c r="F20" s="599" t="s">
        <v>325</v>
      </c>
      <c r="G20" s="599" t="s">
        <v>325</v>
      </c>
      <c r="H20" s="599" t="s">
        <v>325</v>
      </c>
      <c r="I20" s="600" t="s">
        <v>325</v>
      </c>
      <c r="J20" s="601" t="s">
        <v>0</v>
      </c>
    </row>
    <row r="21" spans="1:10" ht="14.4" customHeight="1" x14ac:dyDescent="0.3">
      <c r="A21" s="597" t="s">
        <v>340</v>
      </c>
      <c r="B21" s="598" t="s">
        <v>326</v>
      </c>
      <c r="C21" s="599">
        <v>76.632589999999993</v>
      </c>
      <c r="D21" s="599">
        <v>82.386010000000013</v>
      </c>
      <c r="E21" s="599"/>
      <c r="F21" s="599">
        <v>82.386709999999994</v>
      </c>
      <c r="G21" s="599">
        <v>115.99999634628099</v>
      </c>
      <c r="H21" s="599">
        <v>-33.613286346281001</v>
      </c>
      <c r="I21" s="600">
        <v>0.71023028099122298</v>
      </c>
      <c r="J21" s="601" t="s">
        <v>1</v>
      </c>
    </row>
    <row r="22" spans="1:10" ht="14.4" customHeight="1" x14ac:dyDescent="0.3">
      <c r="A22" s="597" t="s">
        <v>340</v>
      </c>
      <c r="B22" s="598" t="s">
        <v>327</v>
      </c>
      <c r="C22" s="599">
        <v>-1.7091800000000004</v>
      </c>
      <c r="D22" s="599">
        <v>46.49962</v>
      </c>
      <c r="E22" s="599"/>
      <c r="F22" s="599">
        <v>22.91245</v>
      </c>
      <c r="G22" s="599">
        <v>51.172768042590491</v>
      </c>
      <c r="H22" s="599">
        <v>-28.260318042590491</v>
      </c>
      <c r="I22" s="600">
        <v>0.44774693409061317</v>
      </c>
      <c r="J22" s="601" t="s">
        <v>1</v>
      </c>
    </row>
    <row r="23" spans="1:10" ht="14.4" customHeight="1" x14ac:dyDescent="0.3">
      <c r="A23" s="597" t="s">
        <v>340</v>
      </c>
      <c r="B23" s="598" t="s">
        <v>328</v>
      </c>
      <c r="C23" s="599">
        <v>0</v>
      </c>
      <c r="D23" s="599">
        <v>0</v>
      </c>
      <c r="E23" s="599"/>
      <c r="F23" s="599">
        <v>0</v>
      </c>
      <c r="G23" s="599">
        <v>17.217311066657501</v>
      </c>
      <c r="H23" s="599">
        <v>-17.217311066657501</v>
      </c>
      <c r="I23" s="600">
        <v>0</v>
      </c>
      <c r="J23" s="601" t="s">
        <v>1</v>
      </c>
    </row>
    <row r="24" spans="1:10" ht="14.4" customHeight="1" x14ac:dyDescent="0.3">
      <c r="A24" s="597" t="s">
        <v>340</v>
      </c>
      <c r="B24" s="598" t="s">
        <v>329</v>
      </c>
      <c r="C24" s="599">
        <v>396.83070999999995</v>
      </c>
      <c r="D24" s="599">
        <v>13.33797</v>
      </c>
      <c r="E24" s="599"/>
      <c r="F24" s="599">
        <v>90.292699999999996</v>
      </c>
      <c r="G24" s="599">
        <v>9.4999997007729995</v>
      </c>
      <c r="H24" s="599">
        <v>80.792700299226993</v>
      </c>
      <c r="I24" s="600">
        <v>9.5044950362106881</v>
      </c>
      <c r="J24" s="601" t="s">
        <v>1</v>
      </c>
    </row>
    <row r="25" spans="1:10" ht="14.4" customHeight="1" x14ac:dyDescent="0.3">
      <c r="A25" s="597" t="s">
        <v>340</v>
      </c>
      <c r="B25" s="598" t="s">
        <v>330</v>
      </c>
      <c r="C25" s="599">
        <v>67.128910000000005</v>
      </c>
      <c r="D25" s="599">
        <v>64.019760000000005</v>
      </c>
      <c r="E25" s="599"/>
      <c r="F25" s="599">
        <v>53.847479999999997</v>
      </c>
      <c r="G25" s="599">
        <v>106.0834778156365</v>
      </c>
      <c r="H25" s="599">
        <v>-52.235997815636502</v>
      </c>
      <c r="I25" s="600">
        <v>0.50759534951882002</v>
      </c>
      <c r="J25" s="601" t="s">
        <v>1</v>
      </c>
    </row>
    <row r="26" spans="1:10" ht="14.4" customHeight="1" x14ac:dyDescent="0.3">
      <c r="A26" s="597" t="s">
        <v>340</v>
      </c>
      <c r="B26" s="598" t="s">
        <v>331</v>
      </c>
      <c r="C26" s="599">
        <v>0.81434999999900004</v>
      </c>
      <c r="D26" s="599">
        <v>2.40388</v>
      </c>
      <c r="E26" s="599"/>
      <c r="F26" s="599">
        <v>62.111820000000002</v>
      </c>
      <c r="G26" s="599">
        <v>3.826093465824</v>
      </c>
      <c r="H26" s="599">
        <v>58.285726534176</v>
      </c>
      <c r="I26" s="600">
        <v>16.233743517978436</v>
      </c>
      <c r="J26" s="601" t="s">
        <v>1</v>
      </c>
    </row>
    <row r="27" spans="1:10" ht="14.4" customHeight="1" x14ac:dyDescent="0.3">
      <c r="A27" s="597" t="s">
        <v>340</v>
      </c>
      <c r="B27" s="598" t="s">
        <v>332</v>
      </c>
      <c r="C27" s="599">
        <v>0</v>
      </c>
      <c r="D27" s="599">
        <v>0.95679999999999998</v>
      </c>
      <c r="E27" s="599"/>
      <c r="F27" s="599">
        <v>0</v>
      </c>
      <c r="G27" s="599">
        <v>1.7241001236835001</v>
      </c>
      <c r="H27" s="599">
        <v>-1.7241001236835001</v>
      </c>
      <c r="I27" s="600">
        <v>0</v>
      </c>
      <c r="J27" s="601" t="s">
        <v>1</v>
      </c>
    </row>
    <row r="28" spans="1:10" ht="14.4" customHeight="1" x14ac:dyDescent="0.3">
      <c r="A28" s="597" t="s">
        <v>340</v>
      </c>
      <c r="B28" s="598" t="s">
        <v>342</v>
      </c>
      <c r="C28" s="599">
        <v>539.69737999999893</v>
      </c>
      <c r="D28" s="599">
        <v>209.60404000000003</v>
      </c>
      <c r="E28" s="599"/>
      <c r="F28" s="599">
        <v>311.55115999999998</v>
      </c>
      <c r="G28" s="599">
        <v>305.52374656144599</v>
      </c>
      <c r="H28" s="599">
        <v>6.0274134385539924</v>
      </c>
      <c r="I28" s="600">
        <v>1.0197281340857798</v>
      </c>
      <c r="J28" s="601" t="s">
        <v>338</v>
      </c>
    </row>
    <row r="29" spans="1:10" ht="14.4" customHeight="1" x14ac:dyDescent="0.3">
      <c r="A29" s="597" t="s">
        <v>325</v>
      </c>
      <c r="B29" s="598" t="s">
        <v>325</v>
      </c>
      <c r="C29" s="599" t="s">
        <v>325</v>
      </c>
      <c r="D29" s="599" t="s">
        <v>325</v>
      </c>
      <c r="E29" s="599"/>
      <c r="F29" s="599" t="s">
        <v>325</v>
      </c>
      <c r="G29" s="599" t="s">
        <v>325</v>
      </c>
      <c r="H29" s="599" t="s">
        <v>325</v>
      </c>
      <c r="I29" s="600" t="s">
        <v>325</v>
      </c>
      <c r="J29" s="601" t="s">
        <v>339</v>
      </c>
    </row>
    <row r="30" spans="1:10" ht="14.4" customHeight="1" x14ac:dyDescent="0.3">
      <c r="A30" s="597" t="s">
        <v>343</v>
      </c>
      <c r="B30" s="598" t="s">
        <v>344</v>
      </c>
      <c r="C30" s="599" t="s">
        <v>325</v>
      </c>
      <c r="D30" s="599" t="s">
        <v>325</v>
      </c>
      <c r="E30" s="599"/>
      <c r="F30" s="599" t="s">
        <v>325</v>
      </c>
      <c r="G30" s="599" t="s">
        <v>325</v>
      </c>
      <c r="H30" s="599" t="s">
        <v>325</v>
      </c>
      <c r="I30" s="600" t="s">
        <v>325</v>
      </c>
      <c r="J30" s="601" t="s">
        <v>0</v>
      </c>
    </row>
    <row r="31" spans="1:10" ht="14.4" customHeight="1" x14ac:dyDescent="0.3">
      <c r="A31" s="597" t="s">
        <v>343</v>
      </c>
      <c r="B31" s="598" t="s">
        <v>326</v>
      </c>
      <c r="C31" s="599">
        <v>86.035440000000008</v>
      </c>
      <c r="D31" s="599">
        <v>101.02364</v>
      </c>
      <c r="E31" s="599"/>
      <c r="F31" s="599">
        <v>105.49926000000001</v>
      </c>
      <c r="G31" s="599">
        <v>104.020570775484</v>
      </c>
      <c r="H31" s="599">
        <v>1.4786892245160033</v>
      </c>
      <c r="I31" s="600">
        <v>1.0142153538813738</v>
      </c>
      <c r="J31" s="601" t="s">
        <v>1</v>
      </c>
    </row>
    <row r="32" spans="1:10" ht="14.4" customHeight="1" x14ac:dyDescent="0.3">
      <c r="A32" s="597" t="s">
        <v>343</v>
      </c>
      <c r="B32" s="598" t="s">
        <v>330</v>
      </c>
      <c r="C32" s="599">
        <v>2.5325999999990003</v>
      </c>
      <c r="D32" s="599">
        <v>1.6877900000000001</v>
      </c>
      <c r="E32" s="599"/>
      <c r="F32" s="599">
        <v>1.58311</v>
      </c>
      <c r="G32" s="599">
        <v>1.6274900400404997</v>
      </c>
      <c r="H32" s="599">
        <v>-4.4380040040499669E-2</v>
      </c>
      <c r="I32" s="600">
        <v>0.97273099131261331</v>
      </c>
      <c r="J32" s="601" t="s">
        <v>1</v>
      </c>
    </row>
    <row r="33" spans="1:10" ht="14.4" customHeight="1" x14ac:dyDescent="0.3">
      <c r="A33" s="597" t="s">
        <v>343</v>
      </c>
      <c r="B33" s="598" t="s">
        <v>332</v>
      </c>
      <c r="C33" s="599">
        <v>0</v>
      </c>
      <c r="D33" s="599" t="s">
        <v>325</v>
      </c>
      <c r="E33" s="599"/>
      <c r="F33" s="599">
        <v>2.0585</v>
      </c>
      <c r="G33" s="599">
        <v>0</v>
      </c>
      <c r="H33" s="599">
        <v>2.0585</v>
      </c>
      <c r="I33" s="600" t="s">
        <v>325</v>
      </c>
      <c r="J33" s="601" t="s">
        <v>1</v>
      </c>
    </row>
    <row r="34" spans="1:10" ht="14.4" customHeight="1" x14ac:dyDescent="0.3">
      <c r="A34" s="597" t="s">
        <v>343</v>
      </c>
      <c r="B34" s="598" t="s">
        <v>345</v>
      </c>
      <c r="C34" s="599">
        <v>88.568039999999002</v>
      </c>
      <c r="D34" s="599">
        <v>102.71143000000001</v>
      </c>
      <c r="E34" s="599"/>
      <c r="F34" s="599">
        <v>109.14087000000001</v>
      </c>
      <c r="G34" s="599">
        <v>105.6480608155245</v>
      </c>
      <c r="H34" s="599">
        <v>3.4928091844755045</v>
      </c>
      <c r="I34" s="600">
        <v>1.0330607978746946</v>
      </c>
      <c r="J34" s="601" t="s">
        <v>338</v>
      </c>
    </row>
    <row r="35" spans="1:10" ht="14.4" customHeight="1" x14ac:dyDescent="0.3">
      <c r="A35" s="597" t="s">
        <v>325</v>
      </c>
      <c r="B35" s="598" t="s">
        <v>325</v>
      </c>
      <c r="C35" s="599" t="s">
        <v>325</v>
      </c>
      <c r="D35" s="599" t="s">
        <v>325</v>
      </c>
      <c r="E35" s="599"/>
      <c r="F35" s="599" t="s">
        <v>325</v>
      </c>
      <c r="G35" s="599" t="s">
        <v>325</v>
      </c>
      <c r="H35" s="599" t="s">
        <v>325</v>
      </c>
      <c r="I35" s="600" t="s">
        <v>325</v>
      </c>
      <c r="J35" s="601" t="s">
        <v>339</v>
      </c>
    </row>
    <row r="36" spans="1:10" ht="14.4" customHeight="1" x14ac:dyDescent="0.3">
      <c r="A36" s="597" t="s">
        <v>346</v>
      </c>
      <c r="B36" s="598" t="s">
        <v>347</v>
      </c>
      <c r="C36" s="599" t="s">
        <v>325</v>
      </c>
      <c r="D36" s="599" t="s">
        <v>325</v>
      </c>
      <c r="E36" s="599"/>
      <c r="F36" s="599" t="s">
        <v>325</v>
      </c>
      <c r="G36" s="599" t="s">
        <v>325</v>
      </c>
      <c r="H36" s="599" t="s">
        <v>325</v>
      </c>
      <c r="I36" s="600" t="s">
        <v>325</v>
      </c>
      <c r="J36" s="601" t="s">
        <v>0</v>
      </c>
    </row>
    <row r="37" spans="1:10" ht="14.4" customHeight="1" x14ac:dyDescent="0.3">
      <c r="A37" s="597" t="s">
        <v>346</v>
      </c>
      <c r="B37" s="598" t="s">
        <v>326</v>
      </c>
      <c r="C37" s="599">
        <v>70.933540000000008</v>
      </c>
      <c r="D37" s="599">
        <v>97.284149999999997</v>
      </c>
      <c r="E37" s="599"/>
      <c r="F37" s="599">
        <v>92.217590000000001</v>
      </c>
      <c r="G37" s="599">
        <v>92.553803824092</v>
      </c>
      <c r="H37" s="599">
        <v>-0.33621382409199896</v>
      </c>
      <c r="I37" s="600">
        <v>0.9963673689227186</v>
      </c>
      <c r="J37" s="601" t="s">
        <v>1</v>
      </c>
    </row>
    <row r="38" spans="1:10" ht="14.4" customHeight="1" x14ac:dyDescent="0.3">
      <c r="A38" s="597" t="s">
        <v>346</v>
      </c>
      <c r="B38" s="598" t="s">
        <v>330</v>
      </c>
      <c r="C38" s="599">
        <v>4.9779200000000001</v>
      </c>
      <c r="D38" s="599">
        <v>3.8144900000000002</v>
      </c>
      <c r="E38" s="599"/>
      <c r="F38" s="599">
        <v>3.1336100000000005</v>
      </c>
      <c r="G38" s="599">
        <v>3.1054716807634999</v>
      </c>
      <c r="H38" s="599">
        <v>2.8138319236500564E-2</v>
      </c>
      <c r="I38" s="600">
        <v>1.0090608841841322</v>
      </c>
      <c r="J38" s="601" t="s">
        <v>1</v>
      </c>
    </row>
    <row r="39" spans="1:10" ht="14.4" customHeight="1" x14ac:dyDescent="0.3">
      <c r="A39" s="597" t="s">
        <v>346</v>
      </c>
      <c r="B39" s="598" t="s">
        <v>348</v>
      </c>
      <c r="C39" s="599">
        <v>75.911460000000005</v>
      </c>
      <c r="D39" s="599">
        <v>101.09864</v>
      </c>
      <c r="E39" s="599"/>
      <c r="F39" s="599">
        <v>95.351200000000006</v>
      </c>
      <c r="G39" s="599">
        <v>95.659275504855501</v>
      </c>
      <c r="H39" s="599">
        <v>-0.30807550485549484</v>
      </c>
      <c r="I39" s="600">
        <v>0.99677944973731425</v>
      </c>
      <c r="J39" s="601" t="s">
        <v>338</v>
      </c>
    </row>
    <row r="40" spans="1:10" ht="14.4" customHeight="1" x14ac:dyDescent="0.3">
      <c r="A40" s="597" t="s">
        <v>325</v>
      </c>
      <c r="B40" s="598" t="s">
        <v>325</v>
      </c>
      <c r="C40" s="599" t="s">
        <v>325</v>
      </c>
      <c r="D40" s="599" t="s">
        <v>325</v>
      </c>
      <c r="E40" s="599"/>
      <c r="F40" s="599" t="s">
        <v>325</v>
      </c>
      <c r="G40" s="599" t="s">
        <v>325</v>
      </c>
      <c r="H40" s="599" t="s">
        <v>325</v>
      </c>
      <c r="I40" s="600" t="s">
        <v>325</v>
      </c>
      <c r="J40" s="601" t="s">
        <v>339</v>
      </c>
    </row>
    <row r="41" spans="1:10" ht="14.4" customHeight="1" x14ac:dyDescent="0.3">
      <c r="A41" s="597" t="s">
        <v>349</v>
      </c>
      <c r="B41" s="598" t="s">
        <v>350</v>
      </c>
      <c r="C41" s="599" t="s">
        <v>325</v>
      </c>
      <c r="D41" s="599" t="s">
        <v>325</v>
      </c>
      <c r="E41" s="599"/>
      <c r="F41" s="599" t="s">
        <v>325</v>
      </c>
      <c r="G41" s="599" t="s">
        <v>325</v>
      </c>
      <c r="H41" s="599" t="s">
        <v>325</v>
      </c>
      <c r="I41" s="600" t="s">
        <v>325</v>
      </c>
      <c r="J41" s="601" t="s">
        <v>0</v>
      </c>
    </row>
    <row r="42" spans="1:10" ht="14.4" customHeight="1" x14ac:dyDescent="0.3">
      <c r="A42" s="597" t="s">
        <v>349</v>
      </c>
      <c r="B42" s="598" t="s">
        <v>326</v>
      </c>
      <c r="C42" s="599">
        <v>38.952140000000007</v>
      </c>
      <c r="D42" s="599">
        <v>49.89837</v>
      </c>
      <c r="E42" s="599"/>
      <c r="F42" s="599">
        <v>49.727969999999999</v>
      </c>
      <c r="G42" s="599">
        <v>49.491901060286501</v>
      </c>
      <c r="H42" s="599">
        <v>0.23606893971349763</v>
      </c>
      <c r="I42" s="600">
        <v>1.0047698499078856</v>
      </c>
      <c r="J42" s="601" t="s">
        <v>1</v>
      </c>
    </row>
    <row r="43" spans="1:10" ht="14.4" customHeight="1" x14ac:dyDescent="0.3">
      <c r="A43" s="597" t="s">
        <v>349</v>
      </c>
      <c r="B43" s="598" t="s">
        <v>330</v>
      </c>
      <c r="C43" s="599">
        <v>0</v>
      </c>
      <c r="D43" s="599">
        <v>0.69702999999999993</v>
      </c>
      <c r="E43" s="599"/>
      <c r="F43" s="599">
        <v>0.42793000000000003</v>
      </c>
      <c r="G43" s="599">
        <v>0.61508564868649995</v>
      </c>
      <c r="H43" s="599">
        <v>-0.18715564868649992</v>
      </c>
      <c r="I43" s="600">
        <v>0.69572424736918159</v>
      </c>
      <c r="J43" s="601" t="s">
        <v>1</v>
      </c>
    </row>
    <row r="44" spans="1:10" ht="14.4" customHeight="1" x14ac:dyDescent="0.3">
      <c r="A44" s="597" t="s">
        <v>349</v>
      </c>
      <c r="B44" s="598" t="s">
        <v>332</v>
      </c>
      <c r="C44" s="599">
        <v>45.669819999999</v>
      </c>
      <c r="D44" s="599">
        <v>44.815579999999997</v>
      </c>
      <c r="E44" s="599"/>
      <c r="F44" s="599">
        <v>49.196909999999995</v>
      </c>
      <c r="G44" s="599">
        <v>46.368319566449998</v>
      </c>
      <c r="H44" s="599">
        <v>2.8285904335499978</v>
      </c>
      <c r="I44" s="600">
        <v>1.0610026513791679</v>
      </c>
      <c r="J44" s="601" t="s">
        <v>1</v>
      </c>
    </row>
    <row r="45" spans="1:10" ht="14.4" customHeight="1" x14ac:dyDescent="0.3">
      <c r="A45" s="597" t="s">
        <v>349</v>
      </c>
      <c r="B45" s="598" t="s">
        <v>351</v>
      </c>
      <c r="C45" s="599">
        <v>84.621959999999007</v>
      </c>
      <c r="D45" s="599">
        <v>95.410979999999995</v>
      </c>
      <c r="E45" s="599"/>
      <c r="F45" s="599">
        <v>99.352810000000005</v>
      </c>
      <c r="G45" s="599">
        <v>96.475306275423009</v>
      </c>
      <c r="H45" s="599">
        <v>2.8775037245769965</v>
      </c>
      <c r="I45" s="600">
        <v>1.0298263238093501</v>
      </c>
      <c r="J45" s="601" t="s">
        <v>338</v>
      </c>
    </row>
    <row r="46" spans="1:10" ht="14.4" customHeight="1" x14ac:dyDescent="0.3">
      <c r="A46" s="597" t="s">
        <v>325</v>
      </c>
      <c r="B46" s="598" t="s">
        <v>325</v>
      </c>
      <c r="C46" s="599" t="s">
        <v>325</v>
      </c>
      <c r="D46" s="599" t="s">
        <v>325</v>
      </c>
      <c r="E46" s="599"/>
      <c r="F46" s="599" t="s">
        <v>325</v>
      </c>
      <c r="G46" s="599" t="s">
        <v>325</v>
      </c>
      <c r="H46" s="599" t="s">
        <v>325</v>
      </c>
      <c r="I46" s="600" t="s">
        <v>325</v>
      </c>
      <c r="J46" s="601" t="s">
        <v>339</v>
      </c>
    </row>
    <row r="47" spans="1:10" ht="14.4" customHeight="1" x14ac:dyDescent="0.3">
      <c r="A47" s="597" t="s">
        <v>323</v>
      </c>
      <c r="B47" s="598" t="s">
        <v>333</v>
      </c>
      <c r="C47" s="599">
        <v>788.79883999999697</v>
      </c>
      <c r="D47" s="599">
        <v>508.82509000000005</v>
      </c>
      <c r="E47" s="599"/>
      <c r="F47" s="599">
        <v>615.39603999999986</v>
      </c>
      <c r="G47" s="599">
        <v>603.30638915724899</v>
      </c>
      <c r="H47" s="599">
        <v>12.089650842750871</v>
      </c>
      <c r="I47" s="600">
        <v>1.0200389902378437</v>
      </c>
      <c r="J47" s="601" t="s">
        <v>334</v>
      </c>
    </row>
  </sheetData>
  <mergeCells count="3">
    <mergeCell ref="F3:I3"/>
    <mergeCell ref="C4:D4"/>
    <mergeCell ref="A1:I1"/>
  </mergeCells>
  <conditionalFormatting sqref="F14 F48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7">
    <cfRule type="expression" dxfId="63" priority="5">
      <formula>$H15&gt;0</formula>
    </cfRule>
  </conditionalFormatting>
  <conditionalFormatting sqref="A15:A47">
    <cfRule type="expression" dxfId="62" priority="2">
      <formula>AND($J15&lt;&gt;"mezeraKL",$J15&lt;&gt;"")</formula>
    </cfRule>
  </conditionalFormatting>
  <conditionalFormatting sqref="I15:I47">
    <cfRule type="expression" dxfId="61" priority="6">
      <formula>$I15&gt;1</formula>
    </cfRule>
  </conditionalFormatting>
  <conditionalFormatting sqref="B15:B47">
    <cfRule type="expression" dxfId="60" priority="1">
      <formula>OR($J15="NS",$J15="SumaNS",$J15="Účet")</formula>
    </cfRule>
  </conditionalFormatting>
  <conditionalFormatting sqref="A15:D47 F15:I47">
    <cfRule type="expression" dxfId="59" priority="8">
      <formula>AND($J15&lt;&gt;"",$J15&lt;&gt;"mezeraKL")</formula>
    </cfRule>
  </conditionalFormatting>
  <conditionalFormatting sqref="B15:D47 F15:I47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7 F15:I47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8" hidden="1" customWidth="1" outlineLevel="1"/>
    <col min="2" max="2" width="28.33203125" style="248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1.109375" style="329" customWidth="1"/>
    <col min="15" max="16384" width="8.88671875" style="248"/>
  </cols>
  <sheetData>
    <row r="1" spans="1:14" ht="18.600000000000001" customHeight="1" thickBot="1" x14ac:dyDescent="0.4">
      <c r="A1" s="496" t="s">
        <v>199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4" ht="14.4" customHeight="1" thickBot="1" x14ac:dyDescent="0.35">
      <c r="A2" s="375" t="s">
        <v>320</v>
      </c>
      <c r="B2" s="61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1"/>
      <c r="B3" s="61"/>
      <c r="C3" s="492"/>
      <c r="D3" s="493"/>
      <c r="E3" s="493"/>
      <c r="F3" s="493"/>
      <c r="G3" s="493"/>
      <c r="H3" s="493"/>
      <c r="I3" s="493"/>
      <c r="J3" s="494" t="s">
        <v>153</v>
      </c>
      <c r="K3" s="495"/>
      <c r="L3" s="201">
        <f>IF(M3&lt;&gt;0,N3/M3,0)</f>
        <v>155.09658430792973</v>
      </c>
      <c r="M3" s="201">
        <f>SUBTOTAL(9,M5:M1048576)</f>
        <v>3637.3500000000004</v>
      </c>
      <c r="N3" s="202">
        <f>SUBTOTAL(9,N5:N1048576)</f>
        <v>564140.56093244825</v>
      </c>
    </row>
    <row r="4" spans="1:14" s="330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177</v>
      </c>
      <c r="M4" s="605" t="s">
        <v>13</v>
      </c>
      <c r="N4" s="606" t="s">
        <v>194</v>
      </c>
    </row>
    <row r="5" spans="1:14" ht="14.4" customHeight="1" x14ac:dyDescent="0.3">
      <c r="A5" s="607" t="s">
        <v>323</v>
      </c>
      <c r="B5" s="608" t="s">
        <v>1112</v>
      </c>
      <c r="C5" s="609" t="s">
        <v>340</v>
      </c>
      <c r="D5" s="610" t="s">
        <v>1113</v>
      </c>
      <c r="E5" s="609" t="s">
        <v>352</v>
      </c>
      <c r="F5" s="610" t="s">
        <v>1117</v>
      </c>
      <c r="G5" s="609"/>
      <c r="H5" s="609" t="s">
        <v>353</v>
      </c>
      <c r="I5" s="609" t="s">
        <v>353</v>
      </c>
      <c r="J5" s="609" t="s">
        <v>354</v>
      </c>
      <c r="K5" s="609" t="s">
        <v>355</v>
      </c>
      <c r="L5" s="611">
        <v>630.66109321299382</v>
      </c>
      <c r="M5" s="611">
        <v>1</v>
      </c>
      <c r="N5" s="612">
        <v>630.66109321299382</v>
      </c>
    </row>
    <row r="6" spans="1:14" ht="14.4" customHeight="1" x14ac:dyDescent="0.3">
      <c r="A6" s="613" t="s">
        <v>323</v>
      </c>
      <c r="B6" s="614" t="s">
        <v>1112</v>
      </c>
      <c r="C6" s="615" t="s">
        <v>340</v>
      </c>
      <c r="D6" s="616" t="s">
        <v>1113</v>
      </c>
      <c r="E6" s="615" t="s">
        <v>352</v>
      </c>
      <c r="F6" s="616" t="s">
        <v>1117</v>
      </c>
      <c r="G6" s="615" t="s">
        <v>356</v>
      </c>
      <c r="H6" s="615" t="s">
        <v>357</v>
      </c>
      <c r="I6" s="615" t="s">
        <v>357</v>
      </c>
      <c r="J6" s="615" t="s">
        <v>358</v>
      </c>
      <c r="K6" s="615" t="s">
        <v>359</v>
      </c>
      <c r="L6" s="617">
        <v>171.6</v>
      </c>
      <c r="M6" s="617">
        <v>39</v>
      </c>
      <c r="N6" s="618">
        <v>6692.4</v>
      </c>
    </row>
    <row r="7" spans="1:14" ht="14.4" customHeight="1" x14ac:dyDescent="0.3">
      <c r="A7" s="613" t="s">
        <v>323</v>
      </c>
      <c r="B7" s="614" t="s">
        <v>1112</v>
      </c>
      <c r="C7" s="615" t="s">
        <v>340</v>
      </c>
      <c r="D7" s="616" t="s">
        <v>1113</v>
      </c>
      <c r="E7" s="615" t="s">
        <v>352</v>
      </c>
      <c r="F7" s="616" t="s">
        <v>1117</v>
      </c>
      <c r="G7" s="615" t="s">
        <v>356</v>
      </c>
      <c r="H7" s="615" t="s">
        <v>360</v>
      </c>
      <c r="I7" s="615" t="s">
        <v>360</v>
      </c>
      <c r="J7" s="615" t="s">
        <v>361</v>
      </c>
      <c r="K7" s="615" t="s">
        <v>362</v>
      </c>
      <c r="L7" s="617">
        <v>173.69</v>
      </c>
      <c r="M7" s="617">
        <v>2</v>
      </c>
      <c r="N7" s="618">
        <v>347.38</v>
      </c>
    </row>
    <row r="8" spans="1:14" ht="14.4" customHeight="1" x14ac:dyDescent="0.3">
      <c r="A8" s="613" t="s">
        <v>323</v>
      </c>
      <c r="B8" s="614" t="s">
        <v>1112</v>
      </c>
      <c r="C8" s="615" t="s">
        <v>340</v>
      </c>
      <c r="D8" s="616" t="s">
        <v>1113</v>
      </c>
      <c r="E8" s="615" t="s">
        <v>352</v>
      </c>
      <c r="F8" s="616" t="s">
        <v>1117</v>
      </c>
      <c r="G8" s="615" t="s">
        <v>356</v>
      </c>
      <c r="H8" s="615" t="s">
        <v>363</v>
      </c>
      <c r="I8" s="615" t="s">
        <v>363</v>
      </c>
      <c r="J8" s="615" t="s">
        <v>358</v>
      </c>
      <c r="K8" s="615" t="s">
        <v>364</v>
      </c>
      <c r="L8" s="617">
        <v>0</v>
      </c>
      <c r="M8" s="617">
        <v>0</v>
      </c>
      <c r="N8" s="618">
        <v>0</v>
      </c>
    </row>
    <row r="9" spans="1:14" ht="14.4" customHeight="1" x14ac:dyDescent="0.3">
      <c r="A9" s="613" t="s">
        <v>323</v>
      </c>
      <c r="B9" s="614" t="s">
        <v>1112</v>
      </c>
      <c r="C9" s="615" t="s">
        <v>340</v>
      </c>
      <c r="D9" s="616" t="s">
        <v>1113</v>
      </c>
      <c r="E9" s="615" t="s">
        <v>352</v>
      </c>
      <c r="F9" s="616" t="s">
        <v>1117</v>
      </c>
      <c r="G9" s="615" t="s">
        <v>356</v>
      </c>
      <c r="H9" s="615" t="s">
        <v>365</v>
      </c>
      <c r="I9" s="615" t="s">
        <v>365</v>
      </c>
      <c r="J9" s="615" t="s">
        <v>358</v>
      </c>
      <c r="K9" s="615" t="s">
        <v>366</v>
      </c>
      <c r="L9" s="617">
        <v>93.5</v>
      </c>
      <c r="M9" s="617">
        <v>27</v>
      </c>
      <c r="N9" s="618">
        <v>2524.5</v>
      </c>
    </row>
    <row r="10" spans="1:14" ht="14.4" customHeight="1" x14ac:dyDescent="0.3">
      <c r="A10" s="613" t="s">
        <v>323</v>
      </c>
      <c r="B10" s="614" t="s">
        <v>1112</v>
      </c>
      <c r="C10" s="615" t="s">
        <v>340</v>
      </c>
      <c r="D10" s="616" t="s">
        <v>1113</v>
      </c>
      <c r="E10" s="615" t="s">
        <v>352</v>
      </c>
      <c r="F10" s="616" t="s">
        <v>1117</v>
      </c>
      <c r="G10" s="615" t="s">
        <v>356</v>
      </c>
      <c r="H10" s="615" t="s">
        <v>367</v>
      </c>
      <c r="I10" s="615" t="s">
        <v>368</v>
      </c>
      <c r="J10" s="615" t="s">
        <v>369</v>
      </c>
      <c r="K10" s="615" t="s">
        <v>370</v>
      </c>
      <c r="L10" s="617">
        <v>87.029496973412691</v>
      </c>
      <c r="M10" s="617">
        <v>3</v>
      </c>
      <c r="N10" s="618">
        <v>261.08849092023809</v>
      </c>
    </row>
    <row r="11" spans="1:14" ht="14.4" customHeight="1" x14ac:dyDescent="0.3">
      <c r="A11" s="613" t="s">
        <v>323</v>
      </c>
      <c r="B11" s="614" t="s">
        <v>1112</v>
      </c>
      <c r="C11" s="615" t="s">
        <v>340</v>
      </c>
      <c r="D11" s="616" t="s">
        <v>1113</v>
      </c>
      <c r="E11" s="615" t="s">
        <v>352</v>
      </c>
      <c r="F11" s="616" t="s">
        <v>1117</v>
      </c>
      <c r="G11" s="615" t="s">
        <v>356</v>
      </c>
      <c r="H11" s="615" t="s">
        <v>371</v>
      </c>
      <c r="I11" s="615" t="s">
        <v>372</v>
      </c>
      <c r="J11" s="615" t="s">
        <v>373</v>
      </c>
      <c r="K11" s="615" t="s">
        <v>374</v>
      </c>
      <c r="L11" s="617">
        <v>96.819838465077112</v>
      </c>
      <c r="M11" s="617">
        <v>3</v>
      </c>
      <c r="N11" s="618">
        <v>290.45951539523134</v>
      </c>
    </row>
    <row r="12" spans="1:14" ht="14.4" customHeight="1" x14ac:dyDescent="0.3">
      <c r="A12" s="613" t="s">
        <v>323</v>
      </c>
      <c r="B12" s="614" t="s">
        <v>1112</v>
      </c>
      <c r="C12" s="615" t="s">
        <v>340</v>
      </c>
      <c r="D12" s="616" t="s">
        <v>1113</v>
      </c>
      <c r="E12" s="615" t="s">
        <v>352</v>
      </c>
      <c r="F12" s="616" t="s">
        <v>1117</v>
      </c>
      <c r="G12" s="615" t="s">
        <v>356</v>
      </c>
      <c r="H12" s="615" t="s">
        <v>375</v>
      </c>
      <c r="I12" s="615" t="s">
        <v>376</v>
      </c>
      <c r="J12" s="615" t="s">
        <v>377</v>
      </c>
      <c r="K12" s="615" t="s">
        <v>378</v>
      </c>
      <c r="L12" s="617">
        <v>64.540000000000006</v>
      </c>
      <c r="M12" s="617">
        <v>5</v>
      </c>
      <c r="N12" s="618">
        <v>322.70000000000005</v>
      </c>
    </row>
    <row r="13" spans="1:14" ht="14.4" customHeight="1" x14ac:dyDescent="0.3">
      <c r="A13" s="613" t="s">
        <v>323</v>
      </c>
      <c r="B13" s="614" t="s">
        <v>1112</v>
      </c>
      <c r="C13" s="615" t="s">
        <v>340</v>
      </c>
      <c r="D13" s="616" t="s">
        <v>1113</v>
      </c>
      <c r="E13" s="615" t="s">
        <v>352</v>
      </c>
      <c r="F13" s="616" t="s">
        <v>1117</v>
      </c>
      <c r="G13" s="615" t="s">
        <v>356</v>
      </c>
      <c r="H13" s="615" t="s">
        <v>379</v>
      </c>
      <c r="I13" s="615" t="s">
        <v>380</v>
      </c>
      <c r="J13" s="615" t="s">
        <v>381</v>
      </c>
      <c r="K13" s="615" t="s">
        <v>382</v>
      </c>
      <c r="L13" s="617">
        <v>43.802832063313296</v>
      </c>
      <c r="M13" s="617">
        <v>4</v>
      </c>
      <c r="N13" s="618">
        <v>175.21132825325319</v>
      </c>
    </row>
    <row r="14" spans="1:14" ht="14.4" customHeight="1" x14ac:dyDescent="0.3">
      <c r="A14" s="613" t="s">
        <v>323</v>
      </c>
      <c r="B14" s="614" t="s">
        <v>1112</v>
      </c>
      <c r="C14" s="615" t="s">
        <v>340</v>
      </c>
      <c r="D14" s="616" t="s">
        <v>1113</v>
      </c>
      <c r="E14" s="615" t="s">
        <v>352</v>
      </c>
      <c r="F14" s="616" t="s">
        <v>1117</v>
      </c>
      <c r="G14" s="615" t="s">
        <v>356</v>
      </c>
      <c r="H14" s="615" t="s">
        <v>383</v>
      </c>
      <c r="I14" s="615" t="s">
        <v>384</v>
      </c>
      <c r="J14" s="615" t="s">
        <v>385</v>
      </c>
      <c r="K14" s="615" t="s">
        <v>386</v>
      </c>
      <c r="L14" s="617">
        <v>85.97</v>
      </c>
      <c r="M14" s="617">
        <v>4</v>
      </c>
      <c r="N14" s="618">
        <v>343.88</v>
      </c>
    </row>
    <row r="15" spans="1:14" ht="14.4" customHeight="1" x14ac:dyDescent="0.3">
      <c r="A15" s="613" t="s">
        <v>323</v>
      </c>
      <c r="B15" s="614" t="s">
        <v>1112</v>
      </c>
      <c r="C15" s="615" t="s">
        <v>340</v>
      </c>
      <c r="D15" s="616" t="s">
        <v>1113</v>
      </c>
      <c r="E15" s="615" t="s">
        <v>352</v>
      </c>
      <c r="F15" s="616" t="s">
        <v>1117</v>
      </c>
      <c r="G15" s="615" t="s">
        <v>356</v>
      </c>
      <c r="H15" s="615" t="s">
        <v>387</v>
      </c>
      <c r="I15" s="615" t="s">
        <v>388</v>
      </c>
      <c r="J15" s="615" t="s">
        <v>389</v>
      </c>
      <c r="K15" s="615" t="s">
        <v>390</v>
      </c>
      <c r="L15" s="617">
        <v>64.269999999999982</v>
      </c>
      <c r="M15" s="617">
        <v>6</v>
      </c>
      <c r="N15" s="618">
        <v>385.61999999999989</v>
      </c>
    </row>
    <row r="16" spans="1:14" ht="14.4" customHeight="1" x14ac:dyDescent="0.3">
      <c r="A16" s="613" t="s">
        <v>323</v>
      </c>
      <c r="B16" s="614" t="s">
        <v>1112</v>
      </c>
      <c r="C16" s="615" t="s">
        <v>340</v>
      </c>
      <c r="D16" s="616" t="s">
        <v>1113</v>
      </c>
      <c r="E16" s="615" t="s">
        <v>352</v>
      </c>
      <c r="F16" s="616" t="s">
        <v>1117</v>
      </c>
      <c r="G16" s="615" t="s">
        <v>356</v>
      </c>
      <c r="H16" s="615" t="s">
        <v>391</v>
      </c>
      <c r="I16" s="615" t="s">
        <v>392</v>
      </c>
      <c r="J16" s="615" t="s">
        <v>393</v>
      </c>
      <c r="K16" s="615" t="s">
        <v>394</v>
      </c>
      <c r="L16" s="617">
        <v>66.029488274091037</v>
      </c>
      <c r="M16" s="617">
        <v>1</v>
      </c>
      <c r="N16" s="618">
        <v>66.029488274091037</v>
      </c>
    </row>
    <row r="17" spans="1:14" ht="14.4" customHeight="1" x14ac:dyDescent="0.3">
      <c r="A17" s="613" t="s">
        <v>323</v>
      </c>
      <c r="B17" s="614" t="s">
        <v>1112</v>
      </c>
      <c r="C17" s="615" t="s">
        <v>340</v>
      </c>
      <c r="D17" s="616" t="s">
        <v>1113</v>
      </c>
      <c r="E17" s="615" t="s">
        <v>352</v>
      </c>
      <c r="F17" s="616" t="s">
        <v>1117</v>
      </c>
      <c r="G17" s="615" t="s">
        <v>356</v>
      </c>
      <c r="H17" s="615" t="s">
        <v>395</v>
      </c>
      <c r="I17" s="615" t="s">
        <v>396</v>
      </c>
      <c r="J17" s="615" t="s">
        <v>397</v>
      </c>
      <c r="K17" s="615" t="s">
        <v>398</v>
      </c>
      <c r="L17" s="617">
        <v>40.39111094042611</v>
      </c>
      <c r="M17" s="617">
        <v>9</v>
      </c>
      <c r="N17" s="618">
        <v>363.51999846383501</v>
      </c>
    </row>
    <row r="18" spans="1:14" ht="14.4" customHeight="1" x14ac:dyDescent="0.3">
      <c r="A18" s="613" t="s">
        <v>323</v>
      </c>
      <c r="B18" s="614" t="s">
        <v>1112</v>
      </c>
      <c r="C18" s="615" t="s">
        <v>340</v>
      </c>
      <c r="D18" s="616" t="s">
        <v>1113</v>
      </c>
      <c r="E18" s="615" t="s">
        <v>352</v>
      </c>
      <c r="F18" s="616" t="s">
        <v>1117</v>
      </c>
      <c r="G18" s="615" t="s">
        <v>356</v>
      </c>
      <c r="H18" s="615" t="s">
        <v>399</v>
      </c>
      <c r="I18" s="615" t="s">
        <v>400</v>
      </c>
      <c r="J18" s="615" t="s">
        <v>397</v>
      </c>
      <c r="K18" s="615" t="s">
        <v>401</v>
      </c>
      <c r="L18" s="617">
        <v>78.179068207407823</v>
      </c>
      <c r="M18" s="617">
        <v>15</v>
      </c>
      <c r="N18" s="618">
        <v>1172.6860231111173</v>
      </c>
    </row>
    <row r="19" spans="1:14" ht="14.4" customHeight="1" x14ac:dyDescent="0.3">
      <c r="A19" s="613" t="s">
        <v>323</v>
      </c>
      <c r="B19" s="614" t="s">
        <v>1112</v>
      </c>
      <c r="C19" s="615" t="s">
        <v>340</v>
      </c>
      <c r="D19" s="616" t="s">
        <v>1113</v>
      </c>
      <c r="E19" s="615" t="s">
        <v>352</v>
      </c>
      <c r="F19" s="616" t="s">
        <v>1117</v>
      </c>
      <c r="G19" s="615" t="s">
        <v>356</v>
      </c>
      <c r="H19" s="615" t="s">
        <v>402</v>
      </c>
      <c r="I19" s="615" t="s">
        <v>403</v>
      </c>
      <c r="J19" s="615" t="s">
        <v>404</v>
      </c>
      <c r="K19" s="615" t="s">
        <v>405</v>
      </c>
      <c r="L19" s="617">
        <v>116.05500000000004</v>
      </c>
      <c r="M19" s="617">
        <v>2</v>
      </c>
      <c r="N19" s="618">
        <v>232.11000000000007</v>
      </c>
    </row>
    <row r="20" spans="1:14" ht="14.4" customHeight="1" x14ac:dyDescent="0.3">
      <c r="A20" s="613" t="s">
        <v>323</v>
      </c>
      <c r="B20" s="614" t="s">
        <v>1112</v>
      </c>
      <c r="C20" s="615" t="s">
        <v>340</v>
      </c>
      <c r="D20" s="616" t="s">
        <v>1113</v>
      </c>
      <c r="E20" s="615" t="s">
        <v>352</v>
      </c>
      <c r="F20" s="616" t="s">
        <v>1117</v>
      </c>
      <c r="G20" s="615" t="s">
        <v>356</v>
      </c>
      <c r="H20" s="615" t="s">
        <v>406</v>
      </c>
      <c r="I20" s="615" t="s">
        <v>407</v>
      </c>
      <c r="J20" s="615" t="s">
        <v>408</v>
      </c>
      <c r="K20" s="615" t="s">
        <v>409</v>
      </c>
      <c r="L20" s="617">
        <v>53.079999999999984</v>
      </c>
      <c r="M20" s="617">
        <v>3</v>
      </c>
      <c r="N20" s="618">
        <v>159.23999999999995</v>
      </c>
    </row>
    <row r="21" spans="1:14" ht="14.4" customHeight="1" x14ac:dyDescent="0.3">
      <c r="A21" s="613" t="s">
        <v>323</v>
      </c>
      <c r="B21" s="614" t="s">
        <v>1112</v>
      </c>
      <c r="C21" s="615" t="s">
        <v>340</v>
      </c>
      <c r="D21" s="616" t="s">
        <v>1113</v>
      </c>
      <c r="E21" s="615" t="s">
        <v>352</v>
      </c>
      <c r="F21" s="616" t="s">
        <v>1117</v>
      </c>
      <c r="G21" s="615" t="s">
        <v>356</v>
      </c>
      <c r="H21" s="615" t="s">
        <v>410</v>
      </c>
      <c r="I21" s="615" t="s">
        <v>411</v>
      </c>
      <c r="J21" s="615" t="s">
        <v>412</v>
      </c>
      <c r="K21" s="615" t="s">
        <v>413</v>
      </c>
      <c r="L21" s="617">
        <v>40.139999999999986</v>
      </c>
      <c r="M21" s="617">
        <v>1</v>
      </c>
      <c r="N21" s="618">
        <v>40.139999999999986</v>
      </c>
    </row>
    <row r="22" spans="1:14" ht="14.4" customHeight="1" x14ac:dyDescent="0.3">
      <c r="A22" s="613" t="s">
        <v>323</v>
      </c>
      <c r="B22" s="614" t="s">
        <v>1112</v>
      </c>
      <c r="C22" s="615" t="s">
        <v>340</v>
      </c>
      <c r="D22" s="616" t="s">
        <v>1113</v>
      </c>
      <c r="E22" s="615" t="s">
        <v>352</v>
      </c>
      <c r="F22" s="616" t="s">
        <v>1117</v>
      </c>
      <c r="G22" s="615" t="s">
        <v>356</v>
      </c>
      <c r="H22" s="615" t="s">
        <v>414</v>
      </c>
      <c r="I22" s="615" t="s">
        <v>415</v>
      </c>
      <c r="J22" s="615" t="s">
        <v>416</v>
      </c>
      <c r="K22" s="615" t="s">
        <v>386</v>
      </c>
      <c r="L22" s="617">
        <v>66.22991742916534</v>
      </c>
      <c r="M22" s="617">
        <v>7</v>
      </c>
      <c r="N22" s="618">
        <v>463.60942200415741</v>
      </c>
    </row>
    <row r="23" spans="1:14" ht="14.4" customHeight="1" x14ac:dyDescent="0.3">
      <c r="A23" s="613" t="s">
        <v>323</v>
      </c>
      <c r="B23" s="614" t="s">
        <v>1112</v>
      </c>
      <c r="C23" s="615" t="s">
        <v>340</v>
      </c>
      <c r="D23" s="616" t="s">
        <v>1113</v>
      </c>
      <c r="E23" s="615" t="s">
        <v>352</v>
      </c>
      <c r="F23" s="616" t="s">
        <v>1117</v>
      </c>
      <c r="G23" s="615" t="s">
        <v>356</v>
      </c>
      <c r="H23" s="615" t="s">
        <v>417</v>
      </c>
      <c r="I23" s="615" t="s">
        <v>418</v>
      </c>
      <c r="J23" s="615" t="s">
        <v>419</v>
      </c>
      <c r="K23" s="615" t="s">
        <v>420</v>
      </c>
      <c r="L23" s="617">
        <v>58.440000000000012</v>
      </c>
      <c r="M23" s="617">
        <v>1</v>
      </c>
      <c r="N23" s="618">
        <v>58.440000000000012</v>
      </c>
    </row>
    <row r="24" spans="1:14" ht="14.4" customHeight="1" x14ac:dyDescent="0.3">
      <c r="A24" s="613" t="s">
        <v>323</v>
      </c>
      <c r="B24" s="614" t="s">
        <v>1112</v>
      </c>
      <c r="C24" s="615" t="s">
        <v>340</v>
      </c>
      <c r="D24" s="616" t="s">
        <v>1113</v>
      </c>
      <c r="E24" s="615" t="s">
        <v>352</v>
      </c>
      <c r="F24" s="616" t="s">
        <v>1117</v>
      </c>
      <c r="G24" s="615" t="s">
        <v>356</v>
      </c>
      <c r="H24" s="615" t="s">
        <v>421</v>
      </c>
      <c r="I24" s="615" t="s">
        <v>422</v>
      </c>
      <c r="J24" s="615" t="s">
        <v>423</v>
      </c>
      <c r="K24" s="615" t="s">
        <v>424</v>
      </c>
      <c r="L24" s="617">
        <v>41.376488165967331</v>
      </c>
      <c r="M24" s="617">
        <v>3</v>
      </c>
      <c r="N24" s="618">
        <v>124.12946449790199</v>
      </c>
    </row>
    <row r="25" spans="1:14" ht="14.4" customHeight="1" x14ac:dyDescent="0.3">
      <c r="A25" s="613" t="s">
        <v>323</v>
      </c>
      <c r="B25" s="614" t="s">
        <v>1112</v>
      </c>
      <c r="C25" s="615" t="s">
        <v>340</v>
      </c>
      <c r="D25" s="616" t="s">
        <v>1113</v>
      </c>
      <c r="E25" s="615" t="s">
        <v>352</v>
      </c>
      <c r="F25" s="616" t="s">
        <v>1117</v>
      </c>
      <c r="G25" s="615" t="s">
        <v>356</v>
      </c>
      <c r="H25" s="615" t="s">
        <v>425</v>
      </c>
      <c r="I25" s="615" t="s">
        <v>425</v>
      </c>
      <c r="J25" s="615" t="s">
        <v>426</v>
      </c>
      <c r="K25" s="615" t="s">
        <v>427</v>
      </c>
      <c r="L25" s="617">
        <v>36.529878794260163</v>
      </c>
      <c r="M25" s="617">
        <v>28</v>
      </c>
      <c r="N25" s="618">
        <v>1022.8366062392845</v>
      </c>
    </row>
    <row r="26" spans="1:14" ht="14.4" customHeight="1" x14ac:dyDescent="0.3">
      <c r="A26" s="613" t="s">
        <v>323</v>
      </c>
      <c r="B26" s="614" t="s">
        <v>1112</v>
      </c>
      <c r="C26" s="615" t="s">
        <v>340</v>
      </c>
      <c r="D26" s="616" t="s">
        <v>1113</v>
      </c>
      <c r="E26" s="615" t="s">
        <v>352</v>
      </c>
      <c r="F26" s="616" t="s">
        <v>1117</v>
      </c>
      <c r="G26" s="615" t="s">
        <v>356</v>
      </c>
      <c r="H26" s="615" t="s">
        <v>428</v>
      </c>
      <c r="I26" s="615" t="s">
        <v>429</v>
      </c>
      <c r="J26" s="615" t="s">
        <v>430</v>
      </c>
      <c r="K26" s="615" t="s">
        <v>431</v>
      </c>
      <c r="L26" s="617">
        <v>70.249503099144604</v>
      </c>
      <c r="M26" s="617">
        <v>1</v>
      </c>
      <c r="N26" s="618">
        <v>70.249503099144604</v>
      </c>
    </row>
    <row r="27" spans="1:14" ht="14.4" customHeight="1" x14ac:dyDescent="0.3">
      <c r="A27" s="613" t="s">
        <v>323</v>
      </c>
      <c r="B27" s="614" t="s">
        <v>1112</v>
      </c>
      <c r="C27" s="615" t="s">
        <v>340</v>
      </c>
      <c r="D27" s="616" t="s">
        <v>1113</v>
      </c>
      <c r="E27" s="615" t="s">
        <v>352</v>
      </c>
      <c r="F27" s="616" t="s">
        <v>1117</v>
      </c>
      <c r="G27" s="615" t="s">
        <v>356</v>
      </c>
      <c r="H27" s="615" t="s">
        <v>432</v>
      </c>
      <c r="I27" s="615" t="s">
        <v>433</v>
      </c>
      <c r="J27" s="615" t="s">
        <v>430</v>
      </c>
      <c r="K27" s="615" t="s">
        <v>434</v>
      </c>
      <c r="L27" s="617">
        <v>183.31424920624895</v>
      </c>
      <c r="M27" s="617">
        <v>2</v>
      </c>
      <c r="N27" s="618">
        <v>366.62849841249789</v>
      </c>
    </row>
    <row r="28" spans="1:14" ht="14.4" customHeight="1" x14ac:dyDescent="0.3">
      <c r="A28" s="613" t="s">
        <v>323</v>
      </c>
      <c r="B28" s="614" t="s">
        <v>1112</v>
      </c>
      <c r="C28" s="615" t="s">
        <v>340</v>
      </c>
      <c r="D28" s="616" t="s">
        <v>1113</v>
      </c>
      <c r="E28" s="615" t="s">
        <v>352</v>
      </c>
      <c r="F28" s="616" t="s">
        <v>1117</v>
      </c>
      <c r="G28" s="615" t="s">
        <v>356</v>
      </c>
      <c r="H28" s="615" t="s">
        <v>435</v>
      </c>
      <c r="I28" s="615" t="s">
        <v>436</v>
      </c>
      <c r="J28" s="615" t="s">
        <v>437</v>
      </c>
      <c r="K28" s="615" t="s">
        <v>438</v>
      </c>
      <c r="L28" s="617">
        <v>174.31999999999996</v>
      </c>
      <c r="M28" s="617">
        <v>1</v>
      </c>
      <c r="N28" s="618">
        <v>174.31999999999996</v>
      </c>
    </row>
    <row r="29" spans="1:14" ht="14.4" customHeight="1" x14ac:dyDescent="0.3">
      <c r="A29" s="613" t="s">
        <v>323</v>
      </c>
      <c r="B29" s="614" t="s">
        <v>1112</v>
      </c>
      <c r="C29" s="615" t="s">
        <v>340</v>
      </c>
      <c r="D29" s="616" t="s">
        <v>1113</v>
      </c>
      <c r="E29" s="615" t="s">
        <v>352</v>
      </c>
      <c r="F29" s="616" t="s">
        <v>1117</v>
      </c>
      <c r="G29" s="615" t="s">
        <v>356</v>
      </c>
      <c r="H29" s="615" t="s">
        <v>439</v>
      </c>
      <c r="I29" s="615" t="s">
        <v>440</v>
      </c>
      <c r="J29" s="615" t="s">
        <v>441</v>
      </c>
      <c r="K29" s="615" t="s">
        <v>442</v>
      </c>
      <c r="L29" s="617">
        <v>21.548426557668343</v>
      </c>
      <c r="M29" s="617">
        <v>7</v>
      </c>
      <c r="N29" s="618">
        <v>150.83898590367841</v>
      </c>
    </row>
    <row r="30" spans="1:14" ht="14.4" customHeight="1" x14ac:dyDescent="0.3">
      <c r="A30" s="613" t="s">
        <v>323</v>
      </c>
      <c r="B30" s="614" t="s">
        <v>1112</v>
      </c>
      <c r="C30" s="615" t="s">
        <v>340</v>
      </c>
      <c r="D30" s="616" t="s">
        <v>1113</v>
      </c>
      <c r="E30" s="615" t="s">
        <v>352</v>
      </c>
      <c r="F30" s="616" t="s">
        <v>1117</v>
      </c>
      <c r="G30" s="615" t="s">
        <v>356</v>
      </c>
      <c r="H30" s="615" t="s">
        <v>443</v>
      </c>
      <c r="I30" s="615" t="s">
        <v>444</v>
      </c>
      <c r="J30" s="615" t="s">
        <v>445</v>
      </c>
      <c r="K30" s="615" t="s">
        <v>446</v>
      </c>
      <c r="L30" s="617">
        <v>100.52980998210894</v>
      </c>
      <c r="M30" s="617">
        <v>3</v>
      </c>
      <c r="N30" s="618">
        <v>301.58942994632685</v>
      </c>
    </row>
    <row r="31" spans="1:14" ht="14.4" customHeight="1" x14ac:dyDescent="0.3">
      <c r="A31" s="613" t="s">
        <v>323</v>
      </c>
      <c r="B31" s="614" t="s">
        <v>1112</v>
      </c>
      <c r="C31" s="615" t="s">
        <v>340</v>
      </c>
      <c r="D31" s="616" t="s">
        <v>1113</v>
      </c>
      <c r="E31" s="615" t="s">
        <v>352</v>
      </c>
      <c r="F31" s="616" t="s">
        <v>1117</v>
      </c>
      <c r="G31" s="615" t="s">
        <v>356</v>
      </c>
      <c r="H31" s="615" t="s">
        <v>447</v>
      </c>
      <c r="I31" s="615" t="s">
        <v>448</v>
      </c>
      <c r="J31" s="615" t="s">
        <v>449</v>
      </c>
      <c r="K31" s="615" t="s">
        <v>450</v>
      </c>
      <c r="L31" s="617">
        <v>82.569996842391291</v>
      </c>
      <c r="M31" s="617">
        <v>1</v>
      </c>
      <c r="N31" s="618">
        <v>82.569996842391291</v>
      </c>
    </row>
    <row r="32" spans="1:14" ht="14.4" customHeight="1" x14ac:dyDescent="0.3">
      <c r="A32" s="613" t="s">
        <v>323</v>
      </c>
      <c r="B32" s="614" t="s">
        <v>1112</v>
      </c>
      <c r="C32" s="615" t="s">
        <v>340</v>
      </c>
      <c r="D32" s="616" t="s">
        <v>1113</v>
      </c>
      <c r="E32" s="615" t="s">
        <v>352</v>
      </c>
      <c r="F32" s="616" t="s">
        <v>1117</v>
      </c>
      <c r="G32" s="615" t="s">
        <v>356</v>
      </c>
      <c r="H32" s="615" t="s">
        <v>451</v>
      </c>
      <c r="I32" s="615" t="s">
        <v>452</v>
      </c>
      <c r="J32" s="615" t="s">
        <v>453</v>
      </c>
      <c r="K32" s="615" t="s">
        <v>454</v>
      </c>
      <c r="L32" s="617">
        <v>224.43000000000012</v>
      </c>
      <c r="M32" s="617">
        <v>1</v>
      </c>
      <c r="N32" s="618">
        <v>224.43000000000012</v>
      </c>
    </row>
    <row r="33" spans="1:14" ht="14.4" customHeight="1" x14ac:dyDescent="0.3">
      <c r="A33" s="613" t="s">
        <v>323</v>
      </c>
      <c r="B33" s="614" t="s">
        <v>1112</v>
      </c>
      <c r="C33" s="615" t="s">
        <v>340</v>
      </c>
      <c r="D33" s="616" t="s">
        <v>1113</v>
      </c>
      <c r="E33" s="615" t="s">
        <v>352</v>
      </c>
      <c r="F33" s="616" t="s">
        <v>1117</v>
      </c>
      <c r="G33" s="615" t="s">
        <v>356</v>
      </c>
      <c r="H33" s="615" t="s">
        <v>455</v>
      </c>
      <c r="I33" s="615" t="s">
        <v>456</v>
      </c>
      <c r="J33" s="615" t="s">
        <v>457</v>
      </c>
      <c r="K33" s="615" t="s">
        <v>458</v>
      </c>
      <c r="L33" s="617">
        <v>73.543893257771273</v>
      </c>
      <c r="M33" s="617">
        <v>5</v>
      </c>
      <c r="N33" s="618">
        <v>367.71946628885638</v>
      </c>
    </row>
    <row r="34" spans="1:14" ht="14.4" customHeight="1" x14ac:dyDescent="0.3">
      <c r="A34" s="613" t="s">
        <v>323</v>
      </c>
      <c r="B34" s="614" t="s">
        <v>1112</v>
      </c>
      <c r="C34" s="615" t="s">
        <v>340</v>
      </c>
      <c r="D34" s="616" t="s">
        <v>1113</v>
      </c>
      <c r="E34" s="615" t="s">
        <v>352</v>
      </c>
      <c r="F34" s="616" t="s">
        <v>1117</v>
      </c>
      <c r="G34" s="615" t="s">
        <v>356</v>
      </c>
      <c r="H34" s="615" t="s">
        <v>459</v>
      </c>
      <c r="I34" s="615" t="s">
        <v>460</v>
      </c>
      <c r="J34" s="615" t="s">
        <v>461</v>
      </c>
      <c r="K34" s="615" t="s">
        <v>462</v>
      </c>
      <c r="L34" s="617">
        <v>107.32931682165164</v>
      </c>
      <c r="M34" s="617">
        <v>1</v>
      </c>
      <c r="N34" s="618">
        <v>107.32931682165164</v>
      </c>
    </row>
    <row r="35" spans="1:14" ht="14.4" customHeight="1" x14ac:dyDescent="0.3">
      <c r="A35" s="613" t="s">
        <v>323</v>
      </c>
      <c r="B35" s="614" t="s">
        <v>1112</v>
      </c>
      <c r="C35" s="615" t="s">
        <v>340</v>
      </c>
      <c r="D35" s="616" t="s">
        <v>1113</v>
      </c>
      <c r="E35" s="615" t="s">
        <v>352</v>
      </c>
      <c r="F35" s="616" t="s">
        <v>1117</v>
      </c>
      <c r="G35" s="615" t="s">
        <v>356</v>
      </c>
      <c r="H35" s="615" t="s">
        <v>463</v>
      </c>
      <c r="I35" s="615" t="s">
        <v>464</v>
      </c>
      <c r="J35" s="615" t="s">
        <v>465</v>
      </c>
      <c r="K35" s="615" t="s">
        <v>466</v>
      </c>
      <c r="L35" s="617">
        <v>117.45399999999998</v>
      </c>
      <c r="M35" s="617">
        <v>5</v>
      </c>
      <c r="N35" s="618">
        <v>587.26999999999987</v>
      </c>
    </row>
    <row r="36" spans="1:14" ht="14.4" customHeight="1" x14ac:dyDescent="0.3">
      <c r="A36" s="613" t="s">
        <v>323</v>
      </c>
      <c r="B36" s="614" t="s">
        <v>1112</v>
      </c>
      <c r="C36" s="615" t="s">
        <v>340</v>
      </c>
      <c r="D36" s="616" t="s">
        <v>1113</v>
      </c>
      <c r="E36" s="615" t="s">
        <v>352</v>
      </c>
      <c r="F36" s="616" t="s">
        <v>1117</v>
      </c>
      <c r="G36" s="615" t="s">
        <v>356</v>
      </c>
      <c r="H36" s="615" t="s">
        <v>467</v>
      </c>
      <c r="I36" s="615" t="s">
        <v>467</v>
      </c>
      <c r="J36" s="615" t="s">
        <v>468</v>
      </c>
      <c r="K36" s="615" t="s">
        <v>469</v>
      </c>
      <c r="L36" s="617">
        <v>95.990000000000023</v>
      </c>
      <c r="M36" s="617">
        <v>1</v>
      </c>
      <c r="N36" s="618">
        <v>95.990000000000023</v>
      </c>
    </row>
    <row r="37" spans="1:14" ht="14.4" customHeight="1" x14ac:dyDescent="0.3">
      <c r="A37" s="613" t="s">
        <v>323</v>
      </c>
      <c r="B37" s="614" t="s">
        <v>1112</v>
      </c>
      <c r="C37" s="615" t="s">
        <v>340</v>
      </c>
      <c r="D37" s="616" t="s">
        <v>1113</v>
      </c>
      <c r="E37" s="615" t="s">
        <v>352</v>
      </c>
      <c r="F37" s="616" t="s">
        <v>1117</v>
      </c>
      <c r="G37" s="615" t="s">
        <v>356</v>
      </c>
      <c r="H37" s="615" t="s">
        <v>470</v>
      </c>
      <c r="I37" s="615" t="s">
        <v>471</v>
      </c>
      <c r="J37" s="615" t="s">
        <v>472</v>
      </c>
      <c r="K37" s="615" t="s">
        <v>473</v>
      </c>
      <c r="L37" s="617">
        <v>71.759999999999991</v>
      </c>
      <c r="M37" s="617">
        <v>1</v>
      </c>
      <c r="N37" s="618">
        <v>71.759999999999991</v>
      </c>
    </row>
    <row r="38" spans="1:14" ht="14.4" customHeight="1" x14ac:dyDescent="0.3">
      <c r="A38" s="613" t="s">
        <v>323</v>
      </c>
      <c r="B38" s="614" t="s">
        <v>1112</v>
      </c>
      <c r="C38" s="615" t="s">
        <v>340</v>
      </c>
      <c r="D38" s="616" t="s">
        <v>1113</v>
      </c>
      <c r="E38" s="615" t="s">
        <v>352</v>
      </c>
      <c r="F38" s="616" t="s">
        <v>1117</v>
      </c>
      <c r="G38" s="615" t="s">
        <v>356</v>
      </c>
      <c r="H38" s="615" t="s">
        <v>474</v>
      </c>
      <c r="I38" s="615" t="s">
        <v>475</v>
      </c>
      <c r="J38" s="615" t="s">
        <v>476</v>
      </c>
      <c r="K38" s="615" t="s">
        <v>477</v>
      </c>
      <c r="L38" s="617">
        <v>73.549999999999983</v>
      </c>
      <c r="M38" s="617">
        <v>1</v>
      </c>
      <c r="N38" s="618">
        <v>73.549999999999983</v>
      </c>
    </row>
    <row r="39" spans="1:14" ht="14.4" customHeight="1" x14ac:dyDescent="0.3">
      <c r="A39" s="613" t="s">
        <v>323</v>
      </c>
      <c r="B39" s="614" t="s">
        <v>1112</v>
      </c>
      <c r="C39" s="615" t="s">
        <v>340</v>
      </c>
      <c r="D39" s="616" t="s">
        <v>1113</v>
      </c>
      <c r="E39" s="615" t="s">
        <v>352</v>
      </c>
      <c r="F39" s="616" t="s">
        <v>1117</v>
      </c>
      <c r="G39" s="615" t="s">
        <v>356</v>
      </c>
      <c r="H39" s="615" t="s">
        <v>478</v>
      </c>
      <c r="I39" s="615" t="s">
        <v>479</v>
      </c>
      <c r="J39" s="615" t="s">
        <v>480</v>
      </c>
      <c r="K39" s="615" t="s">
        <v>481</v>
      </c>
      <c r="L39" s="617">
        <v>92.849999999999909</v>
      </c>
      <c r="M39" s="617">
        <v>1</v>
      </c>
      <c r="N39" s="618">
        <v>92.849999999999909</v>
      </c>
    </row>
    <row r="40" spans="1:14" ht="14.4" customHeight="1" x14ac:dyDescent="0.3">
      <c r="A40" s="613" t="s">
        <v>323</v>
      </c>
      <c r="B40" s="614" t="s">
        <v>1112</v>
      </c>
      <c r="C40" s="615" t="s">
        <v>340</v>
      </c>
      <c r="D40" s="616" t="s">
        <v>1113</v>
      </c>
      <c r="E40" s="615" t="s">
        <v>352</v>
      </c>
      <c r="F40" s="616" t="s">
        <v>1117</v>
      </c>
      <c r="G40" s="615" t="s">
        <v>356</v>
      </c>
      <c r="H40" s="615" t="s">
        <v>482</v>
      </c>
      <c r="I40" s="615" t="s">
        <v>483</v>
      </c>
      <c r="J40" s="615" t="s">
        <v>484</v>
      </c>
      <c r="K40" s="615" t="s">
        <v>485</v>
      </c>
      <c r="L40" s="617">
        <v>63.739090909090919</v>
      </c>
      <c r="M40" s="617">
        <v>11</v>
      </c>
      <c r="N40" s="618">
        <v>701.13000000000011</v>
      </c>
    </row>
    <row r="41" spans="1:14" ht="14.4" customHeight="1" x14ac:dyDescent="0.3">
      <c r="A41" s="613" t="s">
        <v>323</v>
      </c>
      <c r="B41" s="614" t="s">
        <v>1112</v>
      </c>
      <c r="C41" s="615" t="s">
        <v>340</v>
      </c>
      <c r="D41" s="616" t="s">
        <v>1113</v>
      </c>
      <c r="E41" s="615" t="s">
        <v>352</v>
      </c>
      <c r="F41" s="616" t="s">
        <v>1117</v>
      </c>
      <c r="G41" s="615" t="s">
        <v>356</v>
      </c>
      <c r="H41" s="615" t="s">
        <v>486</v>
      </c>
      <c r="I41" s="615" t="s">
        <v>487</v>
      </c>
      <c r="J41" s="615" t="s">
        <v>488</v>
      </c>
      <c r="K41" s="615" t="s">
        <v>489</v>
      </c>
      <c r="L41" s="617">
        <v>129.44</v>
      </c>
      <c r="M41" s="617">
        <v>2</v>
      </c>
      <c r="N41" s="618">
        <v>258.88</v>
      </c>
    </row>
    <row r="42" spans="1:14" ht="14.4" customHeight="1" x14ac:dyDescent="0.3">
      <c r="A42" s="613" t="s">
        <v>323</v>
      </c>
      <c r="B42" s="614" t="s">
        <v>1112</v>
      </c>
      <c r="C42" s="615" t="s">
        <v>340</v>
      </c>
      <c r="D42" s="616" t="s">
        <v>1113</v>
      </c>
      <c r="E42" s="615" t="s">
        <v>352</v>
      </c>
      <c r="F42" s="616" t="s">
        <v>1117</v>
      </c>
      <c r="G42" s="615" t="s">
        <v>356</v>
      </c>
      <c r="H42" s="615" t="s">
        <v>490</v>
      </c>
      <c r="I42" s="615" t="s">
        <v>491</v>
      </c>
      <c r="J42" s="615" t="s">
        <v>492</v>
      </c>
      <c r="K42" s="615" t="s">
        <v>493</v>
      </c>
      <c r="L42" s="617">
        <v>88.46</v>
      </c>
      <c r="M42" s="617">
        <v>3</v>
      </c>
      <c r="N42" s="618">
        <v>265.38</v>
      </c>
    </row>
    <row r="43" spans="1:14" ht="14.4" customHeight="1" x14ac:dyDescent="0.3">
      <c r="A43" s="613" t="s">
        <v>323</v>
      </c>
      <c r="B43" s="614" t="s">
        <v>1112</v>
      </c>
      <c r="C43" s="615" t="s">
        <v>340</v>
      </c>
      <c r="D43" s="616" t="s">
        <v>1113</v>
      </c>
      <c r="E43" s="615" t="s">
        <v>352</v>
      </c>
      <c r="F43" s="616" t="s">
        <v>1117</v>
      </c>
      <c r="G43" s="615" t="s">
        <v>356</v>
      </c>
      <c r="H43" s="615" t="s">
        <v>494</v>
      </c>
      <c r="I43" s="615" t="s">
        <v>495</v>
      </c>
      <c r="J43" s="615" t="s">
        <v>496</v>
      </c>
      <c r="K43" s="615" t="s">
        <v>497</v>
      </c>
      <c r="L43" s="617">
        <v>0</v>
      </c>
      <c r="M43" s="617">
        <v>0</v>
      </c>
      <c r="N43" s="618">
        <v>0</v>
      </c>
    </row>
    <row r="44" spans="1:14" ht="14.4" customHeight="1" x14ac:dyDescent="0.3">
      <c r="A44" s="613" t="s">
        <v>323</v>
      </c>
      <c r="B44" s="614" t="s">
        <v>1112</v>
      </c>
      <c r="C44" s="615" t="s">
        <v>340</v>
      </c>
      <c r="D44" s="616" t="s">
        <v>1113</v>
      </c>
      <c r="E44" s="615" t="s">
        <v>352</v>
      </c>
      <c r="F44" s="616" t="s">
        <v>1117</v>
      </c>
      <c r="G44" s="615" t="s">
        <v>356</v>
      </c>
      <c r="H44" s="615" t="s">
        <v>498</v>
      </c>
      <c r="I44" s="615" t="s">
        <v>499</v>
      </c>
      <c r="J44" s="615" t="s">
        <v>500</v>
      </c>
      <c r="K44" s="615" t="s">
        <v>501</v>
      </c>
      <c r="L44" s="617">
        <v>37.839999999999968</v>
      </c>
      <c r="M44" s="617">
        <v>1</v>
      </c>
      <c r="N44" s="618">
        <v>37.839999999999968</v>
      </c>
    </row>
    <row r="45" spans="1:14" ht="14.4" customHeight="1" x14ac:dyDescent="0.3">
      <c r="A45" s="613" t="s">
        <v>323</v>
      </c>
      <c r="B45" s="614" t="s">
        <v>1112</v>
      </c>
      <c r="C45" s="615" t="s">
        <v>340</v>
      </c>
      <c r="D45" s="616" t="s">
        <v>1113</v>
      </c>
      <c r="E45" s="615" t="s">
        <v>352</v>
      </c>
      <c r="F45" s="616" t="s">
        <v>1117</v>
      </c>
      <c r="G45" s="615" t="s">
        <v>356</v>
      </c>
      <c r="H45" s="615" t="s">
        <v>502</v>
      </c>
      <c r="I45" s="615" t="s">
        <v>503</v>
      </c>
      <c r="J45" s="615" t="s">
        <v>504</v>
      </c>
      <c r="K45" s="615" t="s">
        <v>505</v>
      </c>
      <c r="L45" s="617">
        <v>54.53</v>
      </c>
      <c r="M45" s="617">
        <v>2</v>
      </c>
      <c r="N45" s="618">
        <v>109.06</v>
      </c>
    </row>
    <row r="46" spans="1:14" ht="14.4" customHeight="1" x14ac:dyDescent="0.3">
      <c r="A46" s="613" t="s">
        <v>323</v>
      </c>
      <c r="B46" s="614" t="s">
        <v>1112</v>
      </c>
      <c r="C46" s="615" t="s">
        <v>340</v>
      </c>
      <c r="D46" s="616" t="s">
        <v>1113</v>
      </c>
      <c r="E46" s="615" t="s">
        <v>352</v>
      </c>
      <c r="F46" s="616" t="s">
        <v>1117</v>
      </c>
      <c r="G46" s="615" t="s">
        <v>356</v>
      </c>
      <c r="H46" s="615" t="s">
        <v>506</v>
      </c>
      <c r="I46" s="615" t="s">
        <v>208</v>
      </c>
      <c r="J46" s="615" t="s">
        <v>507</v>
      </c>
      <c r="K46" s="615"/>
      <c r="L46" s="617">
        <v>97.32010104415221</v>
      </c>
      <c r="M46" s="617">
        <v>16</v>
      </c>
      <c r="N46" s="618">
        <v>1557.1216167064354</v>
      </c>
    </row>
    <row r="47" spans="1:14" ht="14.4" customHeight="1" x14ac:dyDescent="0.3">
      <c r="A47" s="613" t="s">
        <v>323</v>
      </c>
      <c r="B47" s="614" t="s">
        <v>1112</v>
      </c>
      <c r="C47" s="615" t="s">
        <v>340</v>
      </c>
      <c r="D47" s="616" t="s">
        <v>1113</v>
      </c>
      <c r="E47" s="615" t="s">
        <v>352</v>
      </c>
      <c r="F47" s="616" t="s">
        <v>1117</v>
      </c>
      <c r="G47" s="615" t="s">
        <v>356</v>
      </c>
      <c r="H47" s="615" t="s">
        <v>508</v>
      </c>
      <c r="I47" s="615" t="s">
        <v>208</v>
      </c>
      <c r="J47" s="615" t="s">
        <v>509</v>
      </c>
      <c r="K47" s="615"/>
      <c r="L47" s="617">
        <v>21.38715974456494</v>
      </c>
      <c r="M47" s="617">
        <v>18</v>
      </c>
      <c r="N47" s="618">
        <v>384.96887540216892</v>
      </c>
    </row>
    <row r="48" spans="1:14" ht="14.4" customHeight="1" x14ac:dyDescent="0.3">
      <c r="A48" s="613" t="s">
        <v>323</v>
      </c>
      <c r="B48" s="614" t="s">
        <v>1112</v>
      </c>
      <c r="C48" s="615" t="s">
        <v>340</v>
      </c>
      <c r="D48" s="616" t="s">
        <v>1113</v>
      </c>
      <c r="E48" s="615" t="s">
        <v>352</v>
      </c>
      <c r="F48" s="616" t="s">
        <v>1117</v>
      </c>
      <c r="G48" s="615" t="s">
        <v>356</v>
      </c>
      <c r="H48" s="615" t="s">
        <v>510</v>
      </c>
      <c r="I48" s="615" t="s">
        <v>511</v>
      </c>
      <c r="J48" s="615" t="s">
        <v>512</v>
      </c>
      <c r="K48" s="615" t="s">
        <v>513</v>
      </c>
      <c r="L48" s="617">
        <v>68.742199999999997</v>
      </c>
      <c r="M48" s="617">
        <v>5</v>
      </c>
      <c r="N48" s="618">
        <v>343.71100000000001</v>
      </c>
    </row>
    <row r="49" spans="1:14" ht="14.4" customHeight="1" x14ac:dyDescent="0.3">
      <c r="A49" s="613" t="s">
        <v>323</v>
      </c>
      <c r="B49" s="614" t="s">
        <v>1112</v>
      </c>
      <c r="C49" s="615" t="s">
        <v>340</v>
      </c>
      <c r="D49" s="616" t="s">
        <v>1113</v>
      </c>
      <c r="E49" s="615" t="s">
        <v>352</v>
      </c>
      <c r="F49" s="616" t="s">
        <v>1117</v>
      </c>
      <c r="G49" s="615" t="s">
        <v>356</v>
      </c>
      <c r="H49" s="615" t="s">
        <v>514</v>
      </c>
      <c r="I49" s="615" t="s">
        <v>208</v>
      </c>
      <c r="J49" s="615" t="s">
        <v>515</v>
      </c>
      <c r="K49" s="615" t="s">
        <v>516</v>
      </c>
      <c r="L49" s="617">
        <v>1377.51</v>
      </c>
      <c r="M49" s="617">
        <v>1</v>
      </c>
      <c r="N49" s="618">
        <v>1377.51</v>
      </c>
    </row>
    <row r="50" spans="1:14" ht="14.4" customHeight="1" x14ac:dyDescent="0.3">
      <c r="A50" s="613" t="s">
        <v>323</v>
      </c>
      <c r="B50" s="614" t="s">
        <v>1112</v>
      </c>
      <c r="C50" s="615" t="s">
        <v>340</v>
      </c>
      <c r="D50" s="616" t="s">
        <v>1113</v>
      </c>
      <c r="E50" s="615" t="s">
        <v>352</v>
      </c>
      <c r="F50" s="616" t="s">
        <v>1117</v>
      </c>
      <c r="G50" s="615" t="s">
        <v>356</v>
      </c>
      <c r="H50" s="615" t="s">
        <v>517</v>
      </c>
      <c r="I50" s="615" t="s">
        <v>518</v>
      </c>
      <c r="J50" s="615" t="s">
        <v>519</v>
      </c>
      <c r="K50" s="615" t="s">
        <v>520</v>
      </c>
      <c r="L50" s="617">
        <v>58.36999999999999</v>
      </c>
      <c r="M50" s="617">
        <v>1</v>
      </c>
      <c r="N50" s="618">
        <v>58.36999999999999</v>
      </c>
    </row>
    <row r="51" spans="1:14" ht="14.4" customHeight="1" x14ac:dyDescent="0.3">
      <c r="A51" s="613" t="s">
        <v>323</v>
      </c>
      <c r="B51" s="614" t="s">
        <v>1112</v>
      </c>
      <c r="C51" s="615" t="s">
        <v>340</v>
      </c>
      <c r="D51" s="616" t="s">
        <v>1113</v>
      </c>
      <c r="E51" s="615" t="s">
        <v>352</v>
      </c>
      <c r="F51" s="616" t="s">
        <v>1117</v>
      </c>
      <c r="G51" s="615" t="s">
        <v>356</v>
      </c>
      <c r="H51" s="615" t="s">
        <v>521</v>
      </c>
      <c r="I51" s="615" t="s">
        <v>522</v>
      </c>
      <c r="J51" s="615" t="s">
        <v>523</v>
      </c>
      <c r="K51" s="615" t="s">
        <v>524</v>
      </c>
      <c r="L51" s="617">
        <v>62.69</v>
      </c>
      <c r="M51" s="617">
        <v>2</v>
      </c>
      <c r="N51" s="618">
        <v>125.38</v>
      </c>
    </row>
    <row r="52" spans="1:14" ht="14.4" customHeight="1" x14ac:dyDescent="0.3">
      <c r="A52" s="613" t="s">
        <v>323</v>
      </c>
      <c r="B52" s="614" t="s">
        <v>1112</v>
      </c>
      <c r="C52" s="615" t="s">
        <v>340</v>
      </c>
      <c r="D52" s="616" t="s">
        <v>1113</v>
      </c>
      <c r="E52" s="615" t="s">
        <v>352</v>
      </c>
      <c r="F52" s="616" t="s">
        <v>1117</v>
      </c>
      <c r="G52" s="615" t="s">
        <v>356</v>
      </c>
      <c r="H52" s="615" t="s">
        <v>525</v>
      </c>
      <c r="I52" s="615" t="s">
        <v>526</v>
      </c>
      <c r="J52" s="615" t="s">
        <v>527</v>
      </c>
      <c r="K52" s="615" t="s">
        <v>528</v>
      </c>
      <c r="L52" s="617">
        <v>40.58</v>
      </c>
      <c r="M52" s="617">
        <v>2</v>
      </c>
      <c r="N52" s="618">
        <v>81.16</v>
      </c>
    </row>
    <row r="53" spans="1:14" ht="14.4" customHeight="1" x14ac:dyDescent="0.3">
      <c r="A53" s="613" t="s">
        <v>323</v>
      </c>
      <c r="B53" s="614" t="s">
        <v>1112</v>
      </c>
      <c r="C53" s="615" t="s">
        <v>340</v>
      </c>
      <c r="D53" s="616" t="s">
        <v>1113</v>
      </c>
      <c r="E53" s="615" t="s">
        <v>352</v>
      </c>
      <c r="F53" s="616" t="s">
        <v>1117</v>
      </c>
      <c r="G53" s="615" t="s">
        <v>356</v>
      </c>
      <c r="H53" s="615" t="s">
        <v>529</v>
      </c>
      <c r="I53" s="615" t="s">
        <v>530</v>
      </c>
      <c r="J53" s="615" t="s">
        <v>531</v>
      </c>
      <c r="K53" s="615" t="s">
        <v>532</v>
      </c>
      <c r="L53" s="617">
        <v>82.100000000000009</v>
      </c>
      <c r="M53" s="617">
        <v>1</v>
      </c>
      <c r="N53" s="618">
        <v>82.100000000000009</v>
      </c>
    </row>
    <row r="54" spans="1:14" ht="14.4" customHeight="1" x14ac:dyDescent="0.3">
      <c r="A54" s="613" t="s">
        <v>323</v>
      </c>
      <c r="B54" s="614" t="s">
        <v>1112</v>
      </c>
      <c r="C54" s="615" t="s">
        <v>340</v>
      </c>
      <c r="D54" s="616" t="s">
        <v>1113</v>
      </c>
      <c r="E54" s="615" t="s">
        <v>352</v>
      </c>
      <c r="F54" s="616" t="s">
        <v>1117</v>
      </c>
      <c r="G54" s="615" t="s">
        <v>356</v>
      </c>
      <c r="H54" s="615" t="s">
        <v>533</v>
      </c>
      <c r="I54" s="615" t="s">
        <v>534</v>
      </c>
      <c r="J54" s="615" t="s">
        <v>535</v>
      </c>
      <c r="K54" s="615" t="s">
        <v>536</v>
      </c>
      <c r="L54" s="617">
        <v>18.22</v>
      </c>
      <c r="M54" s="617">
        <v>2</v>
      </c>
      <c r="N54" s="618">
        <v>36.44</v>
      </c>
    </row>
    <row r="55" spans="1:14" ht="14.4" customHeight="1" x14ac:dyDescent="0.3">
      <c r="A55" s="613" t="s">
        <v>323</v>
      </c>
      <c r="B55" s="614" t="s">
        <v>1112</v>
      </c>
      <c r="C55" s="615" t="s">
        <v>340</v>
      </c>
      <c r="D55" s="616" t="s">
        <v>1113</v>
      </c>
      <c r="E55" s="615" t="s">
        <v>352</v>
      </c>
      <c r="F55" s="616" t="s">
        <v>1117</v>
      </c>
      <c r="G55" s="615" t="s">
        <v>356</v>
      </c>
      <c r="H55" s="615" t="s">
        <v>537</v>
      </c>
      <c r="I55" s="615" t="s">
        <v>538</v>
      </c>
      <c r="J55" s="615" t="s">
        <v>539</v>
      </c>
      <c r="K55" s="615" t="s">
        <v>540</v>
      </c>
      <c r="L55" s="617">
        <v>34.670000000000023</v>
      </c>
      <c r="M55" s="617">
        <v>1</v>
      </c>
      <c r="N55" s="618">
        <v>34.670000000000023</v>
      </c>
    </row>
    <row r="56" spans="1:14" ht="14.4" customHeight="1" x14ac:dyDescent="0.3">
      <c r="A56" s="613" t="s">
        <v>323</v>
      </c>
      <c r="B56" s="614" t="s">
        <v>1112</v>
      </c>
      <c r="C56" s="615" t="s">
        <v>340</v>
      </c>
      <c r="D56" s="616" t="s">
        <v>1113</v>
      </c>
      <c r="E56" s="615" t="s">
        <v>352</v>
      </c>
      <c r="F56" s="616" t="s">
        <v>1117</v>
      </c>
      <c r="G56" s="615" t="s">
        <v>356</v>
      </c>
      <c r="H56" s="615" t="s">
        <v>541</v>
      </c>
      <c r="I56" s="615" t="s">
        <v>542</v>
      </c>
      <c r="J56" s="615" t="s">
        <v>535</v>
      </c>
      <c r="K56" s="615" t="s">
        <v>543</v>
      </c>
      <c r="L56" s="617">
        <v>26.87564685350025</v>
      </c>
      <c r="M56" s="617">
        <v>7</v>
      </c>
      <c r="N56" s="618">
        <v>188.12952797450174</v>
      </c>
    </row>
    <row r="57" spans="1:14" ht="14.4" customHeight="1" x14ac:dyDescent="0.3">
      <c r="A57" s="613" t="s">
        <v>323</v>
      </c>
      <c r="B57" s="614" t="s">
        <v>1112</v>
      </c>
      <c r="C57" s="615" t="s">
        <v>340</v>
      </c>
      <c r="D57" s="616" t="s">
        <v>1113</v>
      </c>
      <c r="E57" s="615" t="s">
        <v>352</v>
      </c>
      <c r="F57" s="616" t="s">
        <v>1117</v>
      </c>
      <c r="G57" s="615" t="s">
        <v>356</v>
      </c>
      <c r="H57" s="615" t="s">
        <v>544</v>
      </c>
      <c r="I57" s="615" t="s">
        <v>545</v>
      </c>
      <c r="J57" s="615" t="s">
        <v>546</v>
      </c>
      <c r="K57" s="615" t="s">
        <v>547</v>
      </c>
      <c r="L57" s="617">
        <v>265.4733333333333</v>
      </c>
      <c r="M57" s="617">
        <v>1</v>
      </c>
      <c r="N57" s="618">
        <v>265.4733333333333</v>
      </c>
    </row>
    <row r="58" spans="1:14" ht="14.4" customHeight="1" x14ac:dyDescent="0.3">
      <c r="A58" s="613" t="s">
        <v>323</v>
      </c>
      <c r="B58" s="614" t="s">
        <v>1112</v>
      </c>
      <c r="C58" s="615" t="s">
        <v>340</v>
      </c>
      <c r="D58" s="616" t="s">
        <v>1113</v>
      </c>
      <c r="E58" s="615" t="s">
        <v>352</v>
      </c>
      <c r="F58" s="616" t="s">
        <v>1117</v>
      </c>
      <c r="G58" s="615" t="s">
        <v>356</v>
      </c>
      <c r="H58" s="615" t="s">
        <v>548</v>
      </c>
      <c r="I58" s="615" t="s">
        <v>549</v>
      </c>
      <c r="J58" s="615" t="s">
        <v>550</v>
      </c>
      <c r="K58" s="615" t="s">
        <v>551</v>
      </c>
      <c r="L58" s="617">
        <v>106.82999999999997</v>
      </c>
      <c r="M58" s="617">
        <v>3</v>
      </c>
      <c r="N58" s="618">
        <v>320.4899999999999</v>
      </c>
    </row>
    <row r="59" spans="1:14" ht="14.4" customHeight="1" x14ac:dyDescent="0.3">
      <c r="A59" s="613" t="s">
        <v>323</v>
      </c>
      <c r="B59" s="614" t="s">
        <v>1112</v>
      </c>
      <c r="C59" s="615" t="s">
        <v>340</v>
      </c>
      <c r="D59" s="616" t="s">
        <v>1113</v>
      </c>
      <c r="E59" s="615" t="s">
        <v>352</v>
      </c>
      <c r="F59" s="616" t="s">
        <v>1117</v>
      </c>
      <c r="G59" s="615" t="s">
        <v>356</v>
      </c>
      <c r="H59" s="615" t="s">
        <v>552</v>
      </c>
      <c r="I59" s="615" t="s">
        <v>553</v>
      </c>
      <c r="J59" s="615" t="s">
        <v>554</v>
      </c>
      <c r="K59" s="615" t="s">
        <v>555</v>
      </c>
      <c r="L59" s="617">
        <v>73.070000000000007</v>
      </c>
      <c r="M59" s="617">
        <v>2</v>
      </c>
      <c r="N59" s="618">
        <v>146.14000000000001</v>
      </c>
    </row>
    <row r="60" spans="1:14" ht="14.4" customHeight="1" x14ac:dyDescent="0.3">
      <c r="A60" s="613" t="s">
        <v>323</v>
      </c>
      <c r="B60" s="614" t="s">
        <v>1112</v>
      </c>
      <c r="C60" s="615" t="s">
        <v>340</v>
      </c>
      <c r="D60" s="616" t="s">
        <v>1113</v>
      </c>
      <c r="E60" s="615" t="s">
        <v>352</v>
      </c>
      <c r="F60" s="616" t="s">
        <v>1117</v>
      </c>
      <c r="G60" s="615" t="s">
        <v>356</v>
      </c>
      <c r="H60" s="615" t="s">
        <v>556</v>
      </c>
      <c r="I60" s="615" t="s">
        <v>557</v>
      </c>
      <c r="J60" s="615" t="s">
        <v>558</v>
      </c>
      <c r="K60" s="615" t="s">
        <v>559</v>
      </c>
      <c r="L60" s="617">
        <v>66.669999999999987</v>
      </c>
      <c r="M60" s="617">
        <v>2</v>
      </c>
      <c r="N60" s="618">
        <v>133.33999999999997</v>
      </c>
    </row>
    <row r="61" spans="1:14" ht="14.4" customHeight="1" x14ac:dyDescent="0.3">
      <c r="A61" s="613" t="s">
        <v>323</v>
      </c>
      <c r="B61" s="614" t="s">
        <v>1112</v>
      </c>
      <c r="C61" s="615" t="s">
        <v>340</v>
      </c>
      <c r="D61" s="616" t="s">
        <v>1113</v>
      </c>
      <c r="E61" s="615" t="s">
        <v>352</v>
      </c>
      <c r="F61" s="616" t="s">
        <v>1117</v>
      </c>
      <c r="G61" s="615" t="s">
        <v>356</v>
      </c>
      <c r="H61" s="615" t="s">
        <v>560</v>
      </c>
      <c r="I61" s="615" t="s">
        <v>561</v>
      </c>
      <c r="J61" s="615" t="s">
        <v>562</v>
      </c>
      <c r="K61" s="615" t="s">
        <v>563</v>
      </c>
      <c r="L61" s="617">
        <v>120.43490634996758</v>
      </c>
      <c r="M61" s="617">
        <v>2</v>
      </c>
      <c r="N61" s="618">
        <v>240.86981269993515</v>
      </c>
    </row>
    <row r="62" spans="1:14" ht="14.4" customHeight="1" x14ac:dyDescent="0.3">
      <c r="A62" s="613" t="s">
        <v>323</v>
      </c>
      <c r="B62" s="614" t="s">
        <v>1112</v>
      </c>
      <c r="C62" s="615" t="s">
        <v>340</v>
      </c>
      <c r="D62" s="616" t="s">
        <v>1113</v>
      </c>
      <c r="E62" s="615" t="s">
        <v>352</v>
      </c>
      <c r="F62" s="616" t="s">
        <v>1117</v>
      </c>
      <c r="G62" s="615" t="s">
        <v>356</v>
      </c>
      <c r="H62" s="615" t="s">
        <v>564</v>
      </c>
      <c r="I62" s="615" t="s">
        <v>564</v>
      </c>
      <c r="J62" s="615" t="s">
        <v>565</v>
      </c>
      <c r="K62" s="615" t="s">
        <v>566</v>
      </c>
      <c r="L62" s="617">
        <v>40.600000000000009</v>
      </c>
      <c r="M62" s="617">
        <v>1</v>
      </c>
      <c r="N62" s="618">
        <v>40.600000000000009</v>
      </c>
    </row>
    <row r="63" spans="1:14" ht="14.4" customHeight="1" x14ac:dyDescent="0.3">
      <c r="A63" s="613" t="s">
        <v>323</v>
      </c>
      <c r="B63" s="614" t="s">
        <v>1112</v>
      </c>
      <c r="C63" s="615" t="s">
        <v>340</v>
      </c>
      <c r="D63" s="616" t="s">
        <v>1113</v>
      </c>
      <c r="E63" s="615" t="s">
        <v>352</v>
      </c>
      <c r="F63" s="616" t="s">
        <v>1117</v>
      </c>
      <c r="G63" s="615" t="s">
        <v>356</v>
      </c>
      <c r="H63" s="615" t="s">
        <v>567</v>
      </c>
      <c r="I63" s="615" t="s">
        <v>568</v>
      </c>
      <c r="J63" s="615" t="s">
        <v>441</v>
      </c>
      <c r="K63" s="615" t="s">
        <v>569</v>
      </c>
      <c r="L63" s="617">
        <v>58.057468654717653</v>
      </c>
      <c r="M63" s="617">
        <v>16</v>
      </c>
      <c r="N63" s="618">
        <v>928.91949847548244</v>
      </c>
    </row>
    <row r="64" spans="1:14" ht="14.4" customHeight="1" x14ac:dyDescent="0.3">
      <c r="A64" s="613" t="s">
        <v>323</v>
      </c>
      <c r="B64" s="614" t="s">
        <v>1112</v>
      </c>
      <c r="C64" s="615" t="s">
        <v>340</v>
      </c>
      <c r="D64" s="616" t="s">
        <v>1113</v>
      </c>
      <c r="E64" s="615" t="s">
        <v>352</v>
      </c>
      <c r="F64" s="616" t="s">
        <v>1117</v>
      </c>
      <c r="G64" s="615" t="s">
        <v>356</v>
      </c>
      <c r="H64" s="615" t="s">
        <v>570</v>
      </c>
      <c r="I64" s="615" t="s">
        <v>571</v>
      </c>
      <c r="J64" s="615" t="s">
        <v>572</v>
      </c>
      <c r="K64" s="615" t="s">
        <v>573</v>
      </c>
      <c r="L64" s="617">
        <v>469.14929024026088</v>
      </c>
      <c r="M64" s="617">
        <v>1</v>
      </c>
      <c r="N64" s="618">
        <v>469.14929024026088</v>
      </c>
    </row>
    <row r="65" spans="1:14" ht="14.4" customHeight="1" x14ac:dyDescent="0.3">
      <c r="A65" s="613" t="s">
        <v>323</v>
      </c>
      <c r="B65" s="614" t="s">
        <v>1112</v>
      </c>
      <c r="C65" s="615" t="s">
        <v>340</v>
      </c>
      <c r="D65" s="616" t="s">
        <v>1113</v>
      </c>
      <c r="E65" s="615" t="s">
        <v>352</v>
      </c>
      <c r="F65" s="616" t="s">
        <v>1117</v>
      </c>
      <c r="G65" s="615" t="s">
        <v>356</v>
      </c>
      <c r="H65" s="615" t="s">
        <v>574</v>
      </c>
      <c r="I65" s="615" t="s">
        <v>575</v>
      </c>
      <c r="J65" s="615" t="s">
        <v>576</v>
      </c>
      <c r="K65" s="615" t="s">
        <v>577</v>
      </c>
      <c r="L65" s="617">
        <v>63.320000000000007</v>
      </c>
      <c r="M65" s="617">
        <v>1</v>
      </c>
      <c r="N65" s="618">
        <v>63.320000000000007</v>
      </c>
    </row>
    <row r="66" spans="1:14" ht="14.4" customHeight="1" x14ac:dyDescent="0.3">
      <c r="A66" s="613" t="s">
        <v>323</v>
      </c>
      <c r="B66" s="614" t="s">
        <v>1112</v>
      </c>
      <c r="C66" s="615" t="s">
        <v>340</v>
      </c>
      <c r="D66" s="616" t="s">
        <v>1113</v>
      </c>
      <c r="E66" s="615" t="s">
        <v>352</v>
      </c>
      <c r="F66" s="616" t="s">
        <v>1117</v>
      </c>
      <c r="G66" s="615" t="s">
        <v>356</v>
      </c>
      <c r="H66" s="615" t="s">
        <v>578</v>
      </c>
      <c r="I66" s="615" t="s">
        <v>579</v>
      </c>
      <c r="J66" s="615" t="s">
        <v>453</v>
      </c>
      <c r="K66" s="615" t="s">
        <v>580</v>
      </c>
      <c r="L66" s="617">
        <v>79.430000000000007</v>
      </c>
      <c r="M66" s="617">
        <v>1</v>
      </c>
      <c r="N66" s="618">
        <v>79.430000000000007</v>
      </c>
    </row>
    <row r="67" spans="1:14" ht="14.4" customHeight="1" x14ac:dyDescent="0.3">
      <c r="A67" s="613" t="s">
        <v>323</v>
      </c>
      <c r="B67" s="614" t="s">
        <v>1112</v>
      </c>
      <c r="C67" s="615" t="s">
        <v>340</v>
      </c>
      <c r="D67" s="616" t="s">
        <v>1113</v>
      </c>
      <c r="E67" s="615" t="s">
        <v>352</v>
      </c>
      <c r="F67" s="616" t="s">
        <v>1117</v>
      </c>
      <c r="G67" s="615" t="s">
        <v>356</v>
      </c>
      <c r="H67" s="615" t="s">
        <v>581</v>
      </c>
      <c r="I67" s="615" t="s">
        <v>582</v>
      </c>
      <c r="J67" s="615" t="s">
        <v>583</v>
      </c>
      <c r="K67" s="615" t="s">
        <v>584</v>
      </c>
      <c r="L67" s="617">
        <v>65.789538402705062</v>
      </c>
      <c r="M67" s="617">
        <v>4</v>
      </c>
      <c r="N67" s="618">
        <v>263.15815361082025</v>
      </c>
    </row>
    <row r="68" spans="1:14" ht="14.4" customHeight="1" x14ac:dyDescent="0.3">
      <c r="A68" s="613" t="s">
        <v>323</v>
      </c>
      <c r="B68" s="614" t="s">
        <v>1112</v>
      </c>
      <c r="C68" s="615" t="s">
        <v>340</v>
      </c>
      <c r="D68" s="616" t="s">
        <v>1113</v>
      </c>
      <c r="E68" s="615" t="s">
        <v>352</v>
      </c>
      <c r="F68" s="616" t="s">
        <v>1117</v>
      </c>
      <c r="G68" s="615" t="s">
        <v>356</v>
      </c>
      <c r="H68" s="615" t="s">
        <v>585</v>
      </c>
      <c r="I68" s="615" t="s">
        <v>586</v>
      </c>
      <c r="J68" s="615" t="s">
        <v>587</v>
      </c>
      <c r="K68" s="615" t="s">
        <v>588</v>
      </c>
      <c r="L68" s="617">
        <v>52.169655642797558</v>
      </c>
      <c r="M68" s="617">
        <v>3</v>
      </c>
      <c r="N68" s="618">
        <v>156.50896692839268</v>
      </c>
    </row>
    <row r="69" spans="1:14" ht="14.4" customHeight="1" x14ac:dyDescent="0.3">
      <c r="A69" s="613" t="s">
        <v>323</v>
      </c>
      <c r="B69" s="614" t="s">
        <v>1112</v>
      </c>
      <c r="C69" s="615" t="s">
        <v>340</v>
      </c>
      <c r="D69" s="616" t="s">
        <v>1113</v>
      </c>
      <c r="E69" s="615" t="s">
        <v>352</v>
      </c>
      <c r="F69" s="616" t="s">
        <v>1117</v>
      </c>
      <c r="G69" s="615" t="s">
        <v>356</v>
      </c>
      <c r="H69" s="615" t="s">
        <v>589</v>
      </c>
      <c r="I69" s="615" t="s">
        <v>208</v>
      </c>
      <c r="J69" s="615" t="s">
        <v>590</v>
      </c>
      <c r="K69" s="615"/>
      <c r="L69" s="617">
        <v>137.88999999999996</v>
      </c>
      <c r="M69" s="617">
        <v>1</v>
      </c>
      <c r="N69" s="618">
        <v>137.88999999999996</v>
      </c>
    </row>
    <row r="70" spans="1:14" ht="14.4" customHeight="1" x14ac:dyDescent="0.3">
      <c r="A70" s="613" t="s">
        <v>323</v>
      </c>
      <c r="B70" s="614" t="s">
        <v>1112</v>
      </c>
      <c r="C70" s="615" t="s">
        <v>340</v>
      </c>
      <c r="D70" s="616" t="s">
        <v>1113</v>
      </c>
      <c r="E70" s="615" t="s">
        <v>352</v>
      </c>
      <c r="F70" s="616" t="s">
        <v>1117</v>
      </c>
      <c r="G70" s="615" t="s">
        <v>356</v>
      </c>
      <c r="H70" s="615" t="s">
        <v>591</v>
      </c>
      <c r="I70" s="615" t="s">
        <v>592</v>
      </c>
      <c r="J70" s="615" t="s">
        <v>565</v>
      </c>
      <c r="K70" s="615" t="s">
        <v>593</v>
      </c>
      <c r="L70" s="617">
        <v>103.71999926191468</v>
      </c>
      <c r="M70" s="617">
        <v>2</v>
      </c>
      <c r="N70" s="618">
        <v>207.43999852382936</v>
      </c>
    </row>
    <row r="71" spans="1:14" ht="14.4" customHeight="1" x14ac:dyDescent="0.3">
      <c r="A71" s="613" t="s">
        <v>323</v>
      </c>
      <c r="B71" s="614" t="s">
        <v>1112</v>
      </c>
      <c r="C71" s="615" t="s">
        <v>340</v>
      </c>
      <c r="D71" s="616" t="s">
        <v>1113</v>
      </c>
      <c r="E71" s="615" t="s">
        <v>352</v>
      </c>
      <c r="F71" s="616" t="s">
        <v>1117</v>
      </c>
      <c r="G71" s="615" t="s">
        <v>356</v>
      </c>
      <c r="H71" s="615" t="s">
        <v>594</v>
      </c>
      <c r="I71" s="615" t="s">
        <v>595</v>
      </c>
      <c r="J71" s="615" t="s">
        <v>596</v>
      </c>
      <c r="K71" s="615" t="s">
        <v>597</v>
      </c>
      <c r="L71" s="617">
        <v>169.45902204456965</v>
      </c>
      <c r="M71" s="617">
        <v>1</v>
      </c>
      <c r="N71" s="618">
        <v>169.45902204456965</v>
      </c>
    </row>
    <row r="72" spans="1:14" ht="14.4" customHeight="1" x14ac:dyDescent="0.3">
      <c r="A72" s="613" t="s">
        <v>323</v>
      </c>
      <c r="B72" s="614" t="s">
        <v>1112</v>
      </c>
      <c r="C72" s="615" t="s">
        <v>340</v>
      </c>
      <c r="D72" s="616" t="s">
        <v>1113</v>
      </c>
      <c r="E72" s="615" t="s">
        <v>352</v>
      </c>
      <c r="F72" s="616" t="s">
        <v>1117</v>
      </c>
      <c r="G72" s="615" t="s">
        <v>356</v>
      </c>
      <c r="H72" s="615" t="s">
        <v>598</v>
      </c>
      <c r="I72" s="615" t="s">
        <v>599</v>
      </c>
      <c r="J72" s="615" t="s">
        <v>600</v>
      </c>
      <c r="K72" s="615" t="s">
        <v>601</v>
      </c>
      <c r="L72" s="617">
        <v>47.684716009425244</v>
      </c>
      <c r="M72" s="617">
        <v>6</v>
      </c>
      <c r="N72" s="618">
        <v>286.10829605655147</v>
      </c>
    </row>
    <row r="73" spans="1:14" ht="14.4" customHeight="1" x14ac:dyDescent="0.3">
      <c r="A73" s="613" t="s">
        <v>323</v>
      </c>
      <c r="B73" s="614" t="s">
        <v>1112</v>
      </c>
      <c r="C73" s="615" t="s">
        <v>340</v>
      </c>
      <c r="D73" s="616" t="s">
        <v>1113</v>
      </c>
      <c r="E73" s="615" t="s">
        <v>352</v>
      </c>
      <c r="F73" s="616" t="s">
        <v>1117</v>
      </c>
      <c r="G73" s="615" t="s">
        <v>356</v>
      </c>
      <c r="H73" s="615" t="s">
        <v>602</v>
      </c>
      <c r="I73" s="615" t="s">
        <v>603</v>
      </c>
      <c r="J73" s="615" t="s">
        <v>604</v>
      </c>
      <c r="K73" s="615" t="s">
        <v>605</v>
      </c>
      <c r="L73" s="617">
        <v>33.189981413638662</v>
      </c>
      <c r="M73" s="617">
        <v>1</v>
      </c>
      <c r="N73" s="618">
        <v>33.189981413638662</v>
      </c>
    </row>
    <row r="74" spans="1:14" ht="14.4" customHeight="1" x14ac:dyDescent="0.3">
      <c r="A74" s="613" t="s">
        <v>323</v>
      </c>
      <c r="B74" s="614" t="s">
        <v>1112</v>
      </c>
      <c r="C74" s="615" t="s">
        <v>340</v>
      </c>
      <c r="D74" s="616" t="s">
        <v>1113</v>
      </c>
      <c r="E74" s="615" t="s">
        <v>352</v>
      </c>
      <c r="F74" s="616" t="s">
        <v>1117</v>
      </c>
      <c r="G74" s="615" t="s">
        <v>356</v>
      </c>
      <c r="H74" s="615" t="s">
        <v>606</v>
      </c>
      <c r="I74" s="615" t="s">
        <v>607</v>
      </c>
      <c r="J74" s="615" t="s">
        <v>608</v>
      </c>
      <c r="K74" s="615" t="s">
        <v>609</v>
      </c>
      <c r="L74" s="617">
        <v>69.849458669472341</v>
      </c>
      <c r="M74" s="617">
        <v>1</v>
      </c>
      <c r="N74" s="618">
        <v>69.849458669472341</v>
      </c>
    </row>
    <row r="75" spans="1:14" ht="14.4" customHeight="1" x14ac:dyDescent="0.3">
      <c r="A75" s="613" t="s">
        <v>323</v>
      </c>
      <c r="B75" s="614" t="s">
        <v>1112</v>
      </c>
      <c r="C75" s="615" t="s">
        <v>340</v>
      </c>
      <c r="D75" s="616" t="s">
        <v>1113</v>
      </c>
      <c r="E75" s="615" t="s">
        <v>352</v>
      </c>
      <c r="F75" s="616" t="s">
        <v>1117</v>
      </c>
      <c r="G75" s="615" t="s">
        <v>356</v>
      </c>
      <c r="H75" s="615" t="s">
        <v>610</v>
      </c>
      <c r="I75" s="615" t="s">
        <v>611</v>
      </c>
      <c r="J75" s="615" t="s">
        <v>612</v>
      </c>
      <c r="K75" s="615" t="s">
        <v>390</v>
      </c>
      <c r="L75" s="617">
        <v>40.780000000000022</v>
      </c>
      <c r="M75" s="617">
        <v>1</v>
      </c>
      <c r="N75" s="618">
        <v>40.780000000000022</v>
      </c>
    </row>
    <row r="76" spans="1:14" ht="14.4" customHeight="1" x14ac:dyDescent="0.3">
      <c r="A76" s="613" t="s">
        <v>323</v>
      </c>
      <c r="B76" s="614" t="s">
        <v>1112</v>
      </c>
      <c r="C76" s="615" t="s">
        <v>340</v>
      </c>
      <c r="D76" s="616" t="s">
        <v>1113</v>
      </c>
      <c r="E76" s="615" t="s">
        <v>352</v>
      </c>
      <c r="F76" s="616" t="s">
        <v>1117</v>
      </c>
      <c r="G76" s="615" t="s">
        <v>356</v>
      </c>
      <c r="H76" s="615" t="s">
        <v>613</v>
      </c>
      <c r="I76" s="615" t="s">
        <v>614</v>
      </c>
      <c r="J76" s="615" t="s">
        <v>615</v>
      </c>
      <c r="K76" s="615" t="s">
        <v>616</v>
      </c>
      <c r="L76" s="617">
        <v>152.20999987968992</v>
      </c>
      <c r="M76" s="617">
        <v>36</v>
      </c>
      <c r="N76" s="618">
        <v>5479.5599956688375</v>
      </c>
    </row>
    <row r="77" spans="1:14" ht="14.4" customHeight="1" x14ac:dyDescent="0.3">
      <c r="A77" s="613" t="s">
        <v>323</v>
      </c>
      <c r="B77" s="614" t="s">
        <v>1112</v>
      </c>
      <c r="C77" s="615" t="s">
        <v>340</v>
      </c>
      <c r="D77" s="616" t="s">
        <v>1113</v>
      </c>
      <c r="E77" s="615" t="s">
        <v>352</v>
      </c>
      <c r="F77" s="616" t="s">
        <v>1117</v>
      </c>
      <c r="G77" s="615" t="s">
        <v>356</v>
      </c>
      <c r="H77" s="615" t="s">
        <v>617</v>
      </c>
      <c r="I77" s="615" t="s">
        <v>208</v>
      </c>
      <c r="J77" s="615" t="s">
        <v>618</v>
      </c>
      <c r="K77" s="615"/>
      <c r="L77" s="617">
        <v>44.719535013412909</v>
      </c>
      <c r="M77" s="617">
        <v>5</v>
      </c>
      <c r="N77" s="618">
        <v>223.59767506706456</v>
      </c>
    </row>
    <row r="78" spans="1:14" ht="14.4" customHeight="1" x14ac:dyDescent="0.3">
      <c r="A78" s="613" t="s">
        <v>323</v>
      </c>
      <c r="B78" s="614" t="s">
        <v>1112</v>
      </c>
      <c r="C78" s="615" t="s">
        <v>340</v>
      </c>
      <c r="D78" s="616" t="s">
        <v>1113</v>
      </c>
      <c r="E78" s="615" t="s">
        <v>352</v>
      </c>
      <c r="F78" s="616" t="s">
        <v>1117</v>
      </c>
      <c r="G78" s="615" t="s">
        <v>356</v>
      </c>
      <c r="H78" s="615" t="s">
        <v>619</v>
      </c>
      <c r="I78" s="615" t="s">
        <v>208</v>
      </c>
      <c r="J78" s="615" t="s">
        <v>620</v>
      </c>
      <c r="K78" s="615"/>
      <c r="L78" s="617">
        <v>51.676584321467317</v>
      </c>
      <c r="M78" s="617">
        <v>1</v>
      </c>
      <c r="N78" s="618">
        <v>51.676584321467317</v>
      </c>
    </row>
    <row r="79" spans="1:14" ht="14.4" customHeight="1" x14ac:dyDescent="0.3">
      <c r="A79" s="613" t="s">
        <v>323</v>
      </c>
      <c r="B79" s="614" t="s">
        <v>1112</v>
      </c>
      <c r="C79" s="615" t="s">
        <v>340</v>
      </c>
      <c r="D79" s="616" t="s">
        <v>1113</v>
      </c>
      <c r="E79" s="615" t="s">
        <v>352</v>
      </c>
      <c r="F79" s="616" t="s">
        <v>1117</v>
      </c>
      <c r="G79" s="615" t="s">
        <v>356</v>
      </c>
      <c r="H79" s="615" t="s">
        <v>621</v>
      </c>
      <c r="I79" s="615" t="s">
        <v>622</v>
      </c>
      <c r="J79" s="615" t="s">
        <v>623</v>
      </c>
      <c r="K79" s="615" t="s">
        <v>624</v>
      </c>
      <c r="L79" s="617">
        <v>122.60000000000002</v>
      </c>
      <c r="M79" s="617">
        <v>2</v>
      </c>
      <c r="N79" s="618">
        <v>245.20000000000005</v>
      </c>
    </row>
    <row r="80" spans="1:14" ht="14.4" customHeight="1" x14ac:dyDescent="0.3">
      <c r="A80" s="613" t="s">
        <v>323</v>
      </c>
      <c r="B80" s="614" t="s">
        <v>1112</v>
      </c>
      <c r="C80" s="615" t="s">
        <v>340</v>
      </c>
      <c r="D80" s="616" t="s">
        <v>1113</v>
      </c>
      <c r="E80" s="615" t="s">
        <v>352</v>
      </c>
      <c r="F80" s="616" t="s">
        <v>1117</v>
      </c>
      <c r="G80" s="615" t="s">
        <v>356</v>
      </c>
      <c r="H80" s="615" t="s">
        <v>625</v>
      </c>
      <c r="I80" s="615" t="s">
        <v>626</v>
      </c>
      <c r="J80" s="615" t="s">
        <v>627</v>
      </c>
      <c r="K80" s="615" t="s">
        <v>628</v>
      </c>
      <c r="L80" s="617">
        <v>103.62242507137802</v>
      </c>
      <c r="M80" s="617">
        <v>8</v>
      </c>
      <c r="N80" s="618">
        <v>828.97940057102414</v>
      </c>
    </row>
    <row r="81" spans="1:14" ht="14.4" customHeight="1" x14ac:dyDescent="0.3">
      <c r="A81" s="613" t="s">
        <v>323</v>
      </c>
      <c r="B81" s="614" t="s">
        <v>1112</v>
      </c>
      <c r="C81" s="615" t="s">
        <v>340</v>
      </c>
      <c r="D81" s="616" t="s">
        <v>1113</v>
      </c>
      <c r="E81" s="615" t="s">
        <v>352</v>
      </c>
      <c r="F81" s="616" t="s">
        <v>1117</v>
      </c>
      <c r="G81" s="615" t="s">
        <v>356</v>
      </c>
      <c r="H81" s="615" t="s">
        <v>629</v>
      </c>
      <c r="I81" s="615" t="s">
        <v>630</v>
      </c>
      <c r="J81" s="615" t="s">
        <v>631</v>
      </c>
      <c r="K81" s="615" t="s">
        <v>632</v>
      </c>
      <c r="L81" s="617">
        <v>814.47999999999979</v>
      </c>
      <c r="M81" s="617">
        <v>1</v>
      </c>
      <c r="N81" s="618">
        <v>814.47999999999979</v>
      </c>
    </row>
    <row r="82" spans="1:14" ht="14.4" customHeight="1" x14ac:dyDescent="0.3">
      <c r="A82" s="613" t="s">
        <v>323</v>
      </c>
      <c r="B82" s="614" t="s">
        <v>1112</v>
      </c>
      <c r="C82" s="615" t="s">
        <v>340</v>
      </c>
      <c r="D82" s="616" t="s">
        <v>1113</v>
      </c>
      <c r="E82" s="615" t="s">
        <v>352</v>
      </c>
      <c r="F82" s="616" t="s">
        <v>1117</v>
      </c>
      <c r="G82" s="615" t="s">
        <v>356</v>
      </c>
      <c r="H82" s="615" t="s">
        <v>633</v>
      </c>
      <c r="I82" s="615" t="s">
        <v>634</v>
      </c>
      <c r="J82" s="615" t="s">
        <v>635</v>
      </c>
      <c r="K82" s="615" t="s">
        <v>636</v>
      </c>
      <c r="L82" s="617">
        <v>53.46</v>
      </c>
      <c r="M82" s="617">
        <v>9</v>
      </c>
      <c r="N82" s="618">
        <v>481.14</v>
      </c>
    </row>
    <row r="83" spans="1:14" ht="14.4" customHeight="1" x14ac:dyDescent="0.3">
      <c r="A83" s="613" t="s">
        <v>323</v>
      </c>
      <c r="B83" s="614" t="s">
        <v>1112</v>
      </c>
      <c r="C83" s="615" t="s">
        <v>340</v>
      </c>
      <c r="D83" s="616" t="s">
        <v>1113</v>
      </c>
      <c r="E83" s="615" t="s">
        <v>352</v>
      </c>
      <c r="F83" s="616" t="s">
        <v>1117</v>
      </c>
      <c r="G83" s="615" t="s">
        <v>356</v>
      </c>
      <c r="H83" s="615" t="s">
        <v>637</v>
      </c>
      <c r="I83" s="615" t="s">
        <v>208</v>
      </c>
      <c r="J83" s="615" t="s">
        <v>638</v>
      </c>
      <c r="K83" s="615" t="s">
        <v>639</v>
      </c>
      <c r="L83" s="617">
        <v>23.700246115576292</v>
      </c>
      <c r="M83" s="617">
        <v>102</v>
      </c>
      <c r="N83" s="618">
        <v>2417.4251037887816</v>
      </c>
    </row>
    <row r="84" spans="1:14" ht="14.4" customHeight="1" x14ac:dyDescent="0.3">
      <c r="A84" s="613" t="s">
        <v>323</v>
      </c>
      <c r="B84" s="614" t="s">
        <v>1112</v>
      </c>
      <c r="C84" s="615" t="s">
        <v>340</v>
      </c>
      <c r="D84" s="616" t="s">
        <v>1113</v>
      </c>
      <c r="E84" s="615" t="s">
        <v>352</v>
      </c>
      <c r="F84" s="616" t="s">
        <v>1117</v>
      </c>
      <c r="G84" s="615" t="s">
        <v>356</v>
      </c>
      <c r="H84" s="615" t="s">
        <v>640</v>
      </c>
      <c r="I84" s="615" t="s">
        <v>641</v>
      </c>
      <c r="J84" s="615" t="s">
        <v>642</v>
      </c>
      <c r="K84" s="615" t="s">
        <v>643</v>
      </c>
      <c r="L84" s="617">
        <v>77.42000000000003</v>
      </c>
      <c r="M84" s="617">
        <v>2</v>
      </c>
      <c r="N84" s="618">
        <v>154.84000000000006</v>
      </c>
    </row>
    <row r="85" spans="1:14" ht="14.4" customHeight="1" x14ac:dyDescent="0.3">
      <c r="A85" s="613" t="s">
        <v>323</v>
      </c>
      <c r="B85" s="614" t="s">
        <v>1112</v>
      </c>
      <c r="C85" s="615" t="s">
        <v>340</v>
      </c>
      <c r="D85" s="616" t="s">
        <v>1113</v>
      </c>
      <c r="E85" s="615" t="s">
        <v>352</v>
      </c>
      <c r="F85" s="616" t="s">
        <v>1117</v>
      </c>
      <c r="G85" s="615" t="s">
        <v>356</v>
      </c>
      <c r="H85" s="615" t="s">
        <v>644</v>
      </c>
      <c r="I85" s="615" t="s">
        <v>645</v>
      </c>
      <c r="J85" s="615" t="s">
        <v>646</v>
      </c>
      <c r="K85" s="615" t="s">
        <v>647</v>
      </c>
      <c r="L85" s="617">
        <v>37.819612966172862</v>
      </c>
      <c r="M85" s="617">
        <v>1</v>
      </c>
      <c r="N85" s="618">
        <v>37.819612966172862</v>
      </c>
    </row>
    <row r="86" spans="1:14" ht="14.4" customHeight="1" x14ac:dyDescent="0.3">
      <c r="A86" s="613" t="s">
        <v>323</v>
      </c>
      <c r="B86" s="614" t="s">
        <v>1112</v>
      </c>
      <c r="C86" s="615" t="s">
        <v>340</v>
      </c>
      <c r="D86" s="616" t="s">
        <v>1113</v>
      </c>
      <c r="E86" s="615" t="s">
        <v>352</v>
      </c>
      <c r="F86" s="616" t="s">
        <v>1117</v>
      </c>
      <c r="G86" s="615" t="s">
        <v>356</v>
      </c>
      <c r="H86" s="615" t="s">
        <v>648</v>
      </c>
      <c r="I86" s="615" t="s">
        <v>208</v>
      </c>
      <c r="J86" s="615" t="s">
        <v>649</v>
      </c>
      <c r="K86" s="615"/>
      <c r="L86" s="617">
        <v>30.087821825310389</v>
      </c>
      <c r="M86" s="617">
        <v>1</v>
      </c>
      <c r="N86" s="618">
        <v>30.087821825310389</v>
      </c>
    </row>
    <row r="87" spans="1:14" ht="14.4" customHeight="1" x14ac:dyDescent="0.3">
      <c r="A87" s="613" t="s">
        <v>323</v>
      </c>
      <c r="B87" s="614" t="s">
        <v>1112</v>
      </c>
      <c r="C87" s="615" t="s">
        <v>340</v>
      </c>
      <c r="D87" s="616" t="s">
        <v>1113</v>
      </c>
      <c r="E87" s="615" t="s">
        <v>352</v>
      </c>
      <c r="F87" s="616" t="s">
        <v>1117</v>
      </c>
      <c r="G87" s="615" t="s">
        <v>356</v>
      </c>
      <c r="H87" s="615" t="s">
        <v>650</v>
      </c>
      <c r="I87" s="615" t="s">
        <v>650</v>
      </c>
      <c r="J87" s="615" t="s">
        <v>651</v>
      </c>
      <c r="K87" s="615" t="s">
        <v>652</v>
      </c>
      <c r="L87" s="617">
        <v>48.103333333333346</v>
      </c>
      <c r="M87" s="617">
        <v>3</v>
      </c>
      <c r="N87" s="618">
        <v>144.31000000000003</v>
      </c>
    </row>
    <row r="88" spans="1:14" ht="14.4" customHeight="1" x14ac:dyDescent="0.3">
      <c r="A88" s="613" t="s">
        <v>323</v>
      </c>
      <c r="B88" s="614" t="s">
        <v>1112</v>
      </c>
      <c r="C88" s="615" t="s">
        <v>340</v>
      </c>
      <c r="D88" s="616" t="s">
        <v>1113</v>
      </c>
      <c r="E88" s="615" t="s">
        <v>352</v>
      </c>
      <c r="F88" s="616" t="s">
        <v>1117</v>
      </c>
      <c r="G88" s="615" t="s">
        <v>356</v>
      </c>
      <c r="H88" s="615" t="s">
        <v>653</v>
      </c>
      <c r="I88" s="615" t="s">
        <v>208</v>
      </c>
      <c r="J88" s="615" t="s">
        <v>654</v>
      </c>
      <c r="K88" s="615"/>
      <c r="L88" s="617">
        <v>123.97640809322706</v>
      </c>
      <c r="M88" s="617">
        <v>1</v>
      </c>
      <c r="N88" s="618">
        <v>123.97640809322706</v>
      </c>
    </row>
    <row r="89" spans="1:14" ht="14.4" customHeight="1" x14ac:dyDescent="0.3">
      <c r="A89" s="613" t="s">
        <v>323</v>
      </c>
      <c r="B89" s="614" t="s">
        <v>1112</v>
      </c>
      <c r="C89" s="615" t="s">
        <v>340</v>
      </c>
      <c r="D89" s="616" t="s">
        <v>1113</v>
      </c>
      <c r="E89" s="615" t="s">
        <v>352</v>
      </c>
      <c r="F89" s="616" t="s">
        <v>1117</v>
      </c>
      <c r="G89" s="615" t="s">
        <v>356</v>
      </c>
      <c r="H89" s="615" t="s">
        <v>655</v>
      </c>
      <c r="I89" s="615" t="s">
        <v>656</v>
      </c>
      <c r="J89" s="615" t="s">
        <v>657</v>
      </c>
      <c r="K89" s="615" t="s">
        <v>658</v>
      </c>
      <c r="L89" s="617">
        <v>48.896484907008777</v>
      </c>
      <c r="M89" s="617">
        <v>53</v>
      </c>
      <c r="N89" s="618">
        <v>2591.5137000714653</v>
      </c>
    </row>
    <row r="90" spans="1:14" ht="14.4" customHeight="1" x14ac:dyDescent="0.3">
      <c r="A90" s="613" t="s">
        <v>323</v>
      </c>
      <c r="B90" s="614" t="s">
        <v>1112</v>
      </c>
      <c r="C90" s="615" t="s">
        <v>340</v>
      </c>
      <c r="D90" s="616" t="s">
        <v>1113</v>
      </c>
      <c r="E90" s="615" t="s">
        <v>352</v>
      </c>
      <c r="F90" s="616" t="s">
        <v>1117</v>
      </c>
      <c r="G90" s="615" t="s">
        <v>356</v>
      </c>
      <c r="H90" s="615" t="s">
        <v>659</v>
      </c>
      <c r="I90" s="615" t="s">
        <v>660</v>
      </c>
      <c r="J90" s="615" t="s">
        <v>661</v>
      </c>
      <c r="K90" s="615" t="s">
        <v>662</v>
      </c>
      <c r="L90" s="617">
        <v>567.6400000000001</v>
      </c>
      <c r="M90" s="617">
        <v>1</v>
      </c>
      <c r="N90" s="618">
        <v>567.6400000000001</v>
      </c>
    </row>
    <row r="91" spans="1:14" ht="14.4" customHeight="1" x14ac:dyDescent="0.3">
      <c r="A91" s="613" t="s">
        <v>323</v>
      </c>
      <c r="B91" s="614" t="s">
        <v>1112</v>
      </c>
      <c r="C91" s="615" t="s">
        <v>340</v>
      </c>
      <c r="D91" s="616" t="s">
        <v>1113</v>
      </c>
      <c r="E91" s="615" t="s">
        <v>352</v>
      </c>
      <c r="F91" s="616" t="s">
        <v>1117</v>
      </c>
      <c r="G91" s="615" t="s">
        <v>356</v>
      </c>
      <c r="H91" s="615" t="s">
        <v>663</v>
      </c>
      <c r="I91" s="615" t="s">
        <v>664</v>
      </c>
      <c r="J91" s="615" t="s">
        <v>665</v>
      </c>
      <c r="K91" s="615" t="s">
        <v>666</v>
      </c>
      <c r="L91" s="617">
        <v>328.11558472410462</v>
      </c>
      <c r="M91" s="617">
        <v>5</v>
      </c>
      <c r="N91" s="618">
        <v>1640.5779236205231</v>
      </c>
    </row>
    <row r="92" spans="1:14" ht="14.4" customHeight="1" x14ac:dyDescent="0.3">
      <c r="A92" s="613" t="s">
        <v>323</v>
      </c>
      <c r="B92" s="614" t="s">
        <v>1112</v>
      </c>
      <c r="C92" s="615" t="s">
        <v>340</v>
      </c>
      <c r="D92" s="616" t="s">
        <v>1113</v>
      </c>
      <c r="E92" s="615" t="s">
        <v>352</v>
      </c>
      <c r="F92" s="616" t="s">
        <v>1117</v>
      </c>
      <c r="G92" s="615" t="s">
        <v>356</v>
      </c>
      <c r="H92" s="615" t="s">
        <v>667</v>
      </c>
      <c r="I92" s="615" t="s">
        <v>208</v>
      </c>
      <c r="J92" s="615" t="s">
        <v>668</v>
      </c>
      <c r="K92" s="615"/>
      <c r="L92" s="617">
        <v>88.499679250051159</v>
      </c>
      <c r="M92" s="617">
        <v>1</v>
      </c>
      <c r="N92" s="618">
        <v>88.499679250051159</v>
      </c>
    </row>
    <row r="93" spans="1:14" ht="14.4" customHeight="1" x14ac:dyDescent="0.3">
      <c r="A93" s="613" t="s">
        <v>323</v>
      </c>
      <c r="B93" s="614" t="s">
        <v>1112</v>
      </c>
      <c r="C93" s="615" t="s">
        <v>340</v>
      </c>
      <c r="D93" s="616" t="s">
        <v>1113</v>
      </c>
      <c r="E93" s="615" t="s">
        <v>352</v>
      </c>
      <c r="F93" s="616" t="s">
        <v>1117</v>
      </c>
      <c r="G93" s="615" t="s">
        <v>356</v>
      </c>
      <c r="H93" s="615" t="s">
        <v>669</v>
      </c>
      <c r="I93" s="615" t="s">
        <v>208</v>
      </c>
      <c r="J93" s="615" t="s">
        <v>670</v>
      </c>
      <c r="K93" s="615"/>
      <c r="L93" s="617">
        <v>103.52722890299951</v>
      </c>
      <c r="M93" s="617">
        <v>11</v>
      </c>
      <c r="N93" s="618">
        <v>1138.7995179329946</v>
      </c>
    </row>
    <row r="94" spans="1:14" ht="14.4" customHeight="1" x14ac:dyDescent="0.3">
      <c r="A94" s="613" t="s">
        <v>323</v>
      </c>
      <c r="B94" s="614" t="s">
        <v>1112</v>
      </c>
      <c r="C94" s="615" t="s">
        <v>340</v>
      </c>
      <c r="D94" s="616" t="s">
        <v>1113</v>
      </c>
      <c r="E94" s="615" t="s">
        <v>352</v>
      </c>
      <c r="F94" s="616" t="s">
        <v>1117</v>
      </c>
      <c r="G94" s="615" t="s">
        <v>356</v>
      </c>
      <c r="H94" s="615" t="s">
        <v>671</v>
      </c>
      <c r="I94" s="615" t="s">
        <v>672</v>
      </c>
      <c r="J94" s="615" t="s">
        <v>673</v>
      </c>
      <c r="K94" s="615" t="s">
        <v>674</v>
      </c>
      <c r="L94" s="617">
        <v>136.16999999999993</v>
      </c>
      <c r="M94" s="617">
        <v>1</v>
      </c>
      <c r="N94" s="618">
        <v>136.16999999999993</v>
      </c>
    </row>
    <row r="95" spans="1:14" ht="14.4" customHeight="1" x14ac:dyDescent="0.3">
      <c r="A95" s="613" t="s">
        <v>323</v>
      </c>
      <c r="B95" s="614" t="s">
        <v>1112</v>
      </c>
      <c r="C95" s="615" t="s">
        <v>340</v>
      </c>
      <c r="D95" s="616" t="s">
        <v>1113</v>
      </c>
      <c r="E95" s="615" t="s">
        <v>352</v>
      </c>
      <c r="F95" s="616" t="s">
        <v>1117</v>
      </c>
      <c r="G95" s="615" t="s">
        <v>356</v>
      </c>
      <c r="H95" s="615" t="s">
        <v>675</v>
      </c>
      <c r="I95" s="615" t="s">
        <v>676</v>
      </c>
      <c r="J95" s="615" t="s">
        <v>677</v>
      </c>
      <c r="K95" s="615" t="s">
        <v>678</v>
      </c>
      <c r="L95" s="617">
        <v>0</v>
      </c>
      <c r="M95" s="617">
        <v>0</v>
      </c>
      <c r="N95" s="618">
        <v>0</v>
      </c>
    </row>
    <row r="96" spans="1:14" ht="14.4" customHeight="1" x14ac:dyDescent="0.3">
      <c r="A96" s="613" t="s">
        <v>323</v>
      </c>
      <c r="B96" s="614" t="s">
        <v>1112</v>
      </c>
      <c r="C96" s="615" t="s">
        <v>340</v>
      </c>
      <c r="D96" s="616" t="s">
        <v>1113</v>
      </c>
      <c r="E96" s="615" t="s">
        <v>352</v>
      </c>
      <c r="F96" s="616" t="s">
        <v>1117</v>
      </c>
      <c r="G96" s="615" t="s">
        <v>356</v>
      </c>
      <c r="H96" s="615" t="s">
        <v>679</v>
      </c>
      <c r="I96" s="615" t="s">
        <v>680</v>
      </c>
      <c r="J96" s="615" t="s">
        <v>681</v>
      </c>
      <c r="K96" s="615" t="s">
        <v>682</v>
      </c>
      <c r="L96" s="617">
        <v>111.85929749372637</v>
      </c>
      <c r="M96" s="617">
        <v>1</v>
      </c>
      <c r="N96" s="618">
        <v>111.85929749372637</v>
      </c>
    </row>
    <row r="97" spans="1:14" ht="14.4" customHeight="1" x14ac:dyDescent="0.3">
      <c r="A97" s="613" t="s">
        <v>323</v>
      </c>
      <c r="B97" s="614" t="s">
        <v>1112</v>
      </c>
      <c r="C97" s="615" t="s">
        <v>340</v>
      </c>
      <c r="D97" s="616" t="s">
        <v>1113</v>
      </c>
      <c r="E97" s="615" t="s">
        <v>352</v>
      </c>
      <c r="F97" s="616" t="s">
        <v>1117</v>
      </c>
      <c r="G97" s="615" t="s">
        <v>356</v>
      </c>
      <c r="H97" s="615" t="s">
        <v>683</v>
      </c>
      <c r="I97" s="615" t="s">
        <v>684</v>
      </c>
      <c r="J97" s="615" t="s">
        <v>685</v>
      </c>
      <c r="K97" s="615" t="s">
        <v>686</v>
      </c>
      <c r="L97" s="617">
        <v>71.27369683897507</v>
      </c>
      <c r="M97" s="617">
        <v>5</v>
      </c>
      <c r="N97" s="618">
        <v>356.36848419487535</v>
      </c>
    </row>
    <row r="98" spans="1:14" ht="14.4" customHeight="1" x14ac:dyDescent="0.3">
      <c r="A98" s="613" t="s">
        <v>323</v>
      </c>
      <c r="B98" s="614" t="s">
        <v>1112</v>
      </c>
      <c r="C98" s="615" t="s">
        <v>340</v>
      </c>
      <c r="D98" s="616" t="s">
        <v>1113</v>
      </c>
      <c r="E98" s="615" t="s">
        <v>352</v>
      </c>
      <c r="F98" s="616" t="s">
        <v>1117</v>
      </c>
      <c r="G98" s="615" t="s">
        <v>356</v>
      </c>
      <c r="H98" s="615" t="s">
        <v>687</v>
      </c>
      <c r="I98" s="615" t="s">
        <v>688</v>
      </c>
      <c r="J98" s="615" t="s">
        <v>689</v>
      </c>
      <c r="K98" s="615" t="s">
        <v>690</v>
      </c>
      <c r="L98" s="617">
        <v>636.15213553764056</v>
      </c>
      <c r="M98" s="617">
        <v>2</v>
      </c>
      <c r="N98" s="618">
        <v>1272.3042710752811</v>
      </c>
    </row>
    <row r="99" spans="1:14" ht="14.4" customHeight="1" x14ac:dyDescent="0.3">
      <c r="A99" s="613" t="s">
        <v>323</v>
      </c>
      <c r="B99" s="614" t="s">
        <v>1112</v>
      </c>
      <c r="C99" s="615" t="s">
        <v>340</v>
      </c>
      <c r="D99" s="616" t="s">
        <v>1113</v>
      </c>
      <c r="E99" s="615" t="s">
        <v>352</v>
      </c>
      <c r="F99" s="616" t="s">
        <v>1117</v>
      </c>
      <c r="G99" s="615" t="s">
        <v>356</v>
      </c>
      <c r="H99" s="615" t="s">
        <v>691</v>
      </c>
      <c r="I99" s="615" t="s">
        <v>208</v>
      </c>
      <c r="J99" s="615" t="s">
        <v>692</v>
      </c>
      <c r="K99" s="615"/>
      <c r="L99" s="617">
        <v>116.04638614989044</v>
      </c>
      <c r="M99" s="617">
        <v>1</v>
      </c>
      <c r="N99" s="618">
        <v>116.04638614989044</v>
      </c>
    </row>
    <row r="100" spans="1:14" ht="14.4" customHeight="1" x14ac:dyDescent="0.3">
      <c r="A100" s="613" t="s">
        <v>323</v>
      </c>
      <c r="B100" s="614" t="s">
        <v>1112</v>
      </c>
      <c r="C100" s="615" t="s">
        <v>340</v>
      </c>
      <c r="D100" s="616" t="s">
        <v>1113</v>
      </c>
      <c r="E100" s="615" t="s">
        <v>352</v>
      </c>
      <c r="F100" s="616" t="s">
        <v>1117</v>
      </c>
      <c r="G100" s="615" t="s">
        <v>356</v>
      </c>
      <c r="H100" s="615" t="s">
        <v>693</v>
      </c>
      <c r="I100" s="615" t="s">
        <v>208</v>
      </c>
      <c r="J100" s="615" t="s">
        <v>694</v>
      </c>
      <c r="K100" s="615"/>
      <c r="L100" s="617">
        <v>117.3027571223317</v>
      </c>
      <c r="M100" s="617">
        <v>1</v>
      </c>
      <c r="N100" s="618">
        <v>117.3027571223317</v>
      </c>
    </row>
    <row r="101" spans="1:14" ht="14.4" customHeight="1" x14ac:dyDescent="0.3">
      <c r="A101" s="613" t="s">
        <v>323</v>
      </c>
      <c r="B101" s="614" t="s">
        <v>1112</v>
      </c>
      <c r="C101" s="615" t="s">
        <v>340</v>
      </c>
      <c r="D101" s="616" t="s">
        <v>1113</v>
      </c>
      <c r="E101" s="615" t="s">
        <v>352</v>
      </c>
      <c r="F101" s="616" t="s">
        <v>1117</v>
      </c>
      <c r="G101" s="615" t="s">
        <v>356</v>
      </c>
      <c r="H101" s="615" t="s">
        <v>695</v>
      </c>
      <c r="I101" s="615" t="s">
        <v>208</v>
      </c>
      <c r="J101" s="615" t="s">
        <v>696</v>
      </c>
      <c r="K101" s="615"/>
      <c r="L101" s="617">
        <v>40.153764925546824</v>
      </c>
      <c r="M101" s="617">
        <v>2</v>
      </c>
      <c r="N101" s="618">
        <v>80.307529851093648</v>
      </c>
    </row>
    <row r="102" spans="1:14" ht="14.4" customHeight="1" x14ac:dyDescent="0.3">
      <c r="A102" s="613" t="s">
        <v>323</v>
      </c>
      <c r="B102" s="614" t="s">
        <v>1112</v>
      </c>
      <c r="C102" s="615" t="s">
        <v>340</v>
      </c>
      <c r="D102" s="616" t="s">
        <v>1113</v>
      </c>
      <c r="E102" s="615" t="s">
        <v>352</v>
      </c>
      <c r="F102" s="616" t="s">
        <v>1117</v>
      </c>
      <c r="G102" s="615" t="s">
        <v>356</v>
      </c>
      <c r="H102" s="615" t="s">
        <v>697</v>
      </c>
      <c r="I102" s="615" t="s">
        <v>380</v>
      </c>
      <c r="J102" s="615" t="s">
        <v>698</v>
      </c>
      <c r="K102" s="615"/>
      <c r="L102" s="617">
        <v>85.635354562018065</v>
      </c>
      <c r="M102" s="617">
        <v>6</v>
      </c>
      <c r="N102" s="618">
        <v>513.81212737210842</v>
      </c>
    </row>
    <row r="103" spans="1:14" ht="14.4" customHeight="1" x14ac:dyDescent="0.3">
      <c r="A103" s="613" t="s">
        <v>323</v>
      </c>
      <c r="B103" s="614" t="s">
        <v>1112</v>
      </c>
      <c r="C103" s="615" t="s">
        <v>340</v>
      </c>
      <c r="D103" s="616" t="s">
        <v>1113</v>
      </c>
      <c r="E103" s="615" t="s">
        <v>352</v>
      </c>
      <c r="F103" s="616" t="s">
        <v>1117</v>
      </c>
      <c r="G103" s="615" t="s">
        <v>356</v>
      </c>
      <c r="H103" s="615" t="s">
        <v>699</v>
      </c>
      <c r="I103" s="615" t="s">
        <v>208</v>
      </c>
      <c r="J103" s="615" t="s">
        <v>700</v>
      </c>
      <c r="K103" s="615"/>
      <c r="L103" s="617">
        <v>99.881874270087394</v>
      </c>
      <c r="M103" s="617">
        <v>4</v>
      </c>
      <c r="N103" s="618">
        <v>399.52749708034958</v>
      </c>
    </row>
    <row r="104" spans="1:14" ht="14.4" customHeight="1" x14ac:dyDescent="0.3">
      <c r="A104" s="613" t="s">
        <v>323</v>
      </c>
      <c r="B104" s="614" t="s">
        <v>1112</v>
      </c>
      <c r="C104" s="615" t="s">
        <v>340</v>
      </c>
      <c r="D104" s="616" t="s">
        <v>1113</v>
      </c>
      <c r="E104" s="615" t="s">
        <v>352</v>
      </c>
      <c r="F104" s="616" t="s">
        <v>1117</v>
      </c>
      <c r="G104" s="615" t="s">
        <v>356</v>
      </c>
      <c r="H104" s="615" t="s">
        <v>701</v>
      </c>
      <c r="I104" s="615" t="s">
        <v>702</v>
      </c>
      <c r="J104" s="615" t="s">
        <v>703</v>
      </c>
      <c r="K104" s="615" t="s">
        <v>704</v>
      </c>
      <c r="L104" s="617">
        <v>30.649999999999995</v>
      </c>
      <c r="M104" s="617">
        <v>24</v>
      </c>
      <c r="N104" s="618">
        <v>735.59999999999991</v>
      </c>
    </row>
    <row r="105" spans="1:14" ht="14.4" customHeight="1" x14ac:dyDescent="0.3">
      <c r="A105" s="613" t="s">
        <v>323</v>
      </c>
      <c r="B105" s="614" t="s">
        <v>1112</v>
      </c>
      <c r="C105" s="615" t="s">
        <v>340</v>
      </c>
      <c r="D105" s="616" t="s">
        <v>1113</v>
      </c>
      <c r="E105" s="615" t="s">
        <v>352</v>
      </c>
      <c r="F105" s="616" t="s">
        <v>1117</v>
      </c>
      <c r="G105" s="615" t="s">
        <v>356</v>
      </c>
      <c r="H105" s="615" t="s">
        <v>705</v>
      </c>
      <c r="I105" s="615" t="s">
        <v>706</v>
      </c>
      <c r="J105" s="615" t="s">
        <v>707</v>
      </c>
      <c r="K105" s="615" t="s">
        <v>708</v>
      </c>
      <c r="L105" s="617">
        <v>307.37</v>
      </c>
      <c r="M105" s="617">
        <v>1</v>
      </c>
      <c r="N105" s="618">
        <v>307.37</v>
      </c>
    </row>
    <row r="106" spans="1:14" ht="14.4" customHeight="1" x14ac:dyDescent="0.3">
      <c r="A106" s="613" t="s">
        <v>323</v>
      </c>
      <c r="B106" s="614" t="s">
        <v>1112</v>
      </c>
      <c r="C106" s="615" t="s">
        <v>340</v>
      </c>
      <c r="D106" s="616" t="s">
        <v>1113</v>
      </c>
      <c r="E106" s="615" t="s">
        <v>352</v>
      </c>
      <c r="F106" s="616" t="s">
        <v>1117</v>
      </c>
      <c r="G106" s="615" t="s">
        <v>356</v>
      </c>
      <c r="H106" s="615" t="s">
        <v>709</v>
      </c>
      <c r="I106" s="615" t="s">
        <v>208</v>
      </c>
      <c r="J106" s="615" t="s">
        <v>710</v>
      </c>
      <c r="K106" s="615" t="s">
        <v>711</v>
      </c>
      <c r="L106" s="617">
        <v>135.50832275152882</v>
      </c>
      <c r="M106" s="617">
        <v>22</v>
      </c>
      <c r="N106" s="618">
        <v>2981.1831005336344</v>
      </c>
    </row>
    <row r="107" spans="1:14" ht="14.4" customHeight="1" x14ac:dyDescent="0.3">
      <c r="A107" s="613" t="s">
        <v>323</v>
      </c>
      <c r="B107" s="614" t="s">
        <v>1112</v>
      </c>
      <c r="C107" s="615" t="s">
        <v>340</v>
      </c>
      <c r="D107" s="616" t="s">
        <v>1113</v>
      </c>
      <c r="E107" s="615" t="s">
        <v>352</v>
      </c>
      <c r="F107" s="616" t="s">
        <v>1117</v>
      </c>
      <c r="G107" s="615" t="s">
        <v>356</v>
      </c>
      <c r="H107" s="615" t="s">
        <v>712</v>
      </c>
      <c r="I107" s="615" t="s">
        <v>713</v>
      </c>
      <c r="J107" s="615" t="s">
        <v>714</v>
      </c>
      <c r="K107" s="615" t="s">
        <v>715</v>
      </c>
      <c r="L107" s="617">
        <v>107.35644960510987</v>
      </c>
      <c r="M107" s="617">
        <v>41</v>
      </c>
      <c r="N107" s="618">
        <v>4401.6144338095046</v>
      </c>
    </row>
    <row r="108" spans="1:14" ht="14.4" customHeight="1" x14ac:dyDescent="0.3">
      <c r="A108" s="613" t="s">
        <v>323</v>
      </c>
      <c r="B108" s="614" t="s">
        <v>1112</v>
      </c>
      <c r="C108" s="615" t="s">
        <v>340</v>
      </c>
      <c r="D108" s="616" t="s">
        <v>1113</v>
      </c>
      <c r="E108" s="615" t="s">
        <v>352</v>
      </c>
      <c r="F108" s="616" t="s">
        <v>1117</v>
      </c>
      <c r="G108" s="615" t="s">
        <v>356</v>
      </c>
      <c r="H108" s="615" t="s">
        <v>716</v>
      </c>
      <c r="I108" s="615" t="s">
        <v>716</v>
      </c>
      <c r="J108" s="615" t="s">
        <v>717</v>
      </c>
      <c r="K108" s="615" t="s">
        <v>718</v>
      </c>
      <c r="L108" s="617">
        <v>147.31000000000003</v>
      </c>
      <c r="M108" s="617">
        <v>1</v>
      </c>
      <c r="N108" s="618">
        <v>147.31000000000003</v>
      </c>
    </row>
    <row r="109" spans="1:14" ht="14.4" customHeight="1" x14ac:dyDescent="0.3">
      <c r="A109" s="613" t="s">
        <v>323</v>
      </c>
      <c r="B109" s="614" t="s">
        <v>1112</v>
      </c>
      <c r="C109" s="615" t="s">
        <v>340</v>
      </c>
      <c r="D109" s="616" t="s">
        <v>1113</v>
      </c>
      <c r="E109" s="615" t="s">
        <v>352</v>
      </c>
      <c r="F109" s="616" t="s">
        <v>1117</v>
      </c>
      <c r="G109" s="615" t="s">
        <v>356</v>
      </c>
      <c r="H109" s="615" t="s">
        <v>719</v>
      </c>
      <c r="I109" s="615" t="s">
        <v>720</v>
      </c>
      <c r="J109" s="615" t="s">
        <v>721</v>
      </c>
      <c r="K109" s="615" t="s">
        <v>722</v>
      </c>
      <c r="L109" s="617">
        <v>31.239999999999991</v>
      </c>
      <c r="M109" s="617">
        <v>3</v>
      </c>
      <c r="N109" s="618">
        <v>93.71999999999997</v>
      </c>
    </row>
    <row r="110" spans="1:14" ht="14.4" customHeight="1" x14ac:dyDescent="0.3">
      <c r="A110" s="613" t="s">
        <v>323</v>
      </c>
      <c r="B110" s="614" t="s">
        <v>1112</v>
      </c>
      <c r="C110" s="615" t="s">
        <v>340</v>
      </c>
      <c r="D110" s="616" t="s">
        <v>1113</v>
      </c>
      <c r="E110" s="615" t="s">
        <v>352</v>
      </c>
      <c r="F110" s="616" t="s">
        <v>1117</v>
      </c>
      <c r="G110" s="615" t="s">
        <v>356</v>
      </c>
      <c r="H110" s="615" t="s">
        <v>723</v>
      </c>
      <c r="I110" s="615" t="s">
        <v>724</v>
      </c>
      <c r="J110" s="615" t="s">
        <v>725</v>
      </c>
      <c r="K110" s="615" t="s">
        <v>726</v>
      </c>
      <c r="L110" s="617">
        <v>192.04999888513018</v>
      </c>
      <c r="M110" s="617">
        <v>6</v>
      </c>
      <c r="N110" s="618">
        <v>1152.299993310781</v>
      </c>
    </row>
    <row r="111" spans="1:14" ht="14.4" customHeight="1" x14ac:dyDescent="0.3">
      <c r="A111" s="613" t="s">
        <v>323</v>
      </c>
      <c r="B111" s="614" t="s">
        <v>1112</v>
      </c>
      <c r="C111" s="615" t="s">
        <v>340</v>
      </c>
      <c r="D111" s="616" t="s">
        <v>1113</v>
      </c>
      <c r="E111" s="615" t="s">
        <v>352</v>
      </c>
      <c r="F111" s="616" t="s">
        <v>1117</v>
      </c>
      <c r="G111" s="615" t="s">
        <v>356</v>
      </c>
      <c r="H111" s="615" t="s">
        <v>727</v>
      </c>
      <c r="I111" s="615" t="s">
        <v>208</v>
      </c>
      <c r="J111" s="615" t="s">
        <v>728</v>
      </c>
      <c r="K111" s="615"/>
      <c r="L111" s="617">
        <v>161.77049380647662</v>
      </c>
      <c r="M111" s="617">
        <v>2</v>
      </c>
      <c r="N111" s="618">
        <v>323.54098761295324</v>
      </c>
    </row>
    <row r="112" spans="1:14" ht="14.4" customHeight="1" x14ac:dyDescent="0.3">
      <c r="A112" s="613" t="s">
        <v>323</v>
      </c>
      <c r="B112" s="614" t="s">
        <v>1112</v>
      </c>
      <c r="C112" s="615" t="s">
        <v>340</v>
      </c>
      <c r="D112" s="616" t="s">
        <v>1113</v>
      </c>
      <c r="E112" s="615" t="s">
        <v>352</v>
      </c>
      <c r="F112" s="616" t="s">
        <v>1117</v>
      </c>
      <c r="G112" s="615" t="s">
        <v>356</v>
      </c>
      <c r="H112" s="615" t="s">
        <v>729</v>
      </c>
      <c r="I112" s="615" t="s">
        <v>208</v>
      </c>
      <c r="J112" s="615" t="s">
        <v>730</v>
      </c>
      <c r="K112" s="615"/>
      <c r="L112" s="617">
        <v>223.49775576564684</v>
      </c>
      <c r="M112" s="617">
        <v>2</v>
      </c>
      <c r="N112" s="618">
        <v>446.99551153129369</v>
      </c>
    </row>
    <row r="113" spans="1:14" ht="14.4" customHeight="1" x14ac:dyDescent="0.3">
      <c r="A113" s="613" t="s">
        <v>323</v>
      </c>
      <c r="B113" s="614" t="s">
        <v>1112</v>
      </c>
      <c r="C113" s="615" t="s">
        <v>340</v>
      </c>
      <c r="D113" s="616" t="s">
        <v>1113</v>
      </c>
      <c r="E113" s="615" t="s">
        <v>352</v>
      </c>
      <c r="F113" s="616" t="s">
        <v>1117</v>
      </c>
      <c r="G113" s="615" t="s">
        <v>356</v>
      </c>
      <c r="H113" s="615" t="s">
        <v>731</v>
      </c>
      <c r="I113" s="615" t="s">
        <v>731</v>
      </c>
      <c r="J113" s="615" t="s">
        <v>732</v>
      </c>
      <c r="K113" s="615" t="s">
        <v>733</v>
      </c>
      <c r="L113" s="617">
        <v>117.78000000000004</v>
      </c>
      <c r="M113" s="617">
        <v>6</v>
      </c>
      <c r="N113" s="618">
        <v>706.68000000000029</v>
      </c>
    </row>
    <row r="114" spans="1:14" ht="14.4" customHeight="1" x14ac:dyDescent="0.3">
      <c r="A114" s="613" t="s">
        <v>323</v>
      </c>
      <c r="B114" s="614" t="s">
        <v>1112</v>
      </c>
      <c r="C114" s="615" t="s">
        <v>340</v>
      </c>
      <c r="D114" s="616" t="s">
        <v>1113</v>
      </c>
      <c r="E114" s="615" t="s">
        <v>352</v>
      </c>
      <c r="F114" s="616" t="s">
        <v>1117</v>
      </c>
      <c r="G114" s="615" t="s">
        <v>356</v>
      </c>
      <c r="H114" s="615" t="s">
        <v>734</v>
      </c>
      <c r="I114" s="615" t="s">
        <v>734</v>
      </c>
      <c r="J114" s="615" t="s">
        <v>735</v>
      </c>
      <c r="K114" s="615" t="s">
        <v>736</v>
      </c>
      <c r="L114" s="617">
        <v>95.211114532163307</v>
      </c>
      <c r="M114" s="617">
        <v>9</v>
      </c>
      <c r="N114" s="618">
        <v>856.90003078946972</v>
      </c>
    </row>
    <row r="115" spans="1:14" ht="14.4" customHeight="1" x14ac:dyDescent="0.3">
      <c r="A115" s="613" t="s">
        <v>323</v>
      </c>
      <c r="B115" s="614" t="s">
        <v>1112</v>
      </c>
      <c r="C115" s="615" t="s">
        <v>340</v>
      </c>
      <c r="D115" s="616" t="s">
        <v>1113</v>
      </c>
      <c r="E115" s="615" t="s">
        <v>352</v>
      </c>
      <c r="F115" s="616" t="s">
        <v>1117</v>
      </c>
      <c r="G115" s="615" t="s">
        <v>356</v>
      </c>
      <c r="H115" s="615" t="s">
        <v>737</v>
      </c>
      <c r="I115" s="615" t="s">
        <v>737</v>
      </c>
      <c r="J115" s="615" t="s">
        <v>389</v>
      </c>
      <c r="K115" s="615" t="s">
        <v>738</v>
      </c>
      <c r="L115" s="617">
        <v>58.040525701482906</v>
      </c>
      <c r="M115" s="617">
        <v>14</v>
      </c>
      <c r="N115" s="618">
        <v>812.56735982076066</v>
      </c>
    </row>
    <row r="116" spans="1:14" ht="14.4" customHeight="1" x14ac:dyDescent="0.3">
      <c r="A116" s="613" t="s">
        <v>323</v>
      </c>
      <c r="B116" s="614" t="s">
        <v>1112</v>
      </c>
      <c r="C116" s="615" t="s">
        <v>340</v>
      </c>
      <c r="D116" s="616" t="s">
        <v>1113</v>
      </c>
      <c r="E116" s="615" t="s">
        <v>352</v>
      </c>
      <c r="F116" s="616" t="s">
        <v>1117</v>
      </c>
      <c r="G116" s="615" t="s">
        <v>356</v>
      </c>
      <c r="H116" s="615" t="s">
        <v>739</v>
      </c>
      <c r="I116" s="615" t="s">
        <v>208</v>
      </c>
      <c r="J116" s="615" t="s">
        <v>740</v>
      </c>
      <c r="K116" s="615"/>
      <c r="L116" s="617">
        <v>30.26</v>
      </c>
      <c r="M116" s="617">
        <v>2</v>
      </c>
      <c r="N116" s="618">
        <v>60.52</v>
      </c>
    </row>
    <row r="117" spans="1:14" ht="14.4" customHeight="1" x14ac:dyDescent="0.3">
      <c r="A117" s="613" t="s">
        <v>323</v>
      </c>
      <c r="B117" s="614" t="s">
        <v>1112</v>
      </c>
      <c r="C117" s="615" t="s">
        <v>340</v>
      </c>
      <c r="D117" s="616" t="s">
        <v>1113</v>
      </c>
      <c r="E117" s="615" t="s">
        <v>352</v>
      </c>
      <c r="F117" s="616" t="s">
        <v>1117</v>
      </c>
      <c r="G117" s="615" t="s">
        <v>356</v>
      </c>
      <c r="H117" s="615" t="s">
        <v>741</v>
      </c>
      <c r="I117" s="615" t="s">
        <v>208</v>
      </c>
      <c r="J117" s="615" t="s">
        <v>742</v>
      </c>
      <c r="K117" s="615"/>
      <c r="L117" s="617">
        <v>37.059909260780906</v>
      </c>
      <c r="M117" s="617">
        <v>1</v>
      </c>
      <c r="N117" s="618">
        <v>37.059909260780906</v>
      </c>
    </row>
    <row r="118" spans="1:14" ht="14.4" customHeight="1" x14ac:dyDescent="0.3">
      <c r="A118" s="613" t="s">
        <v>323</v>
      </c>
      <c r="B118" s="614" t="s">
        <v>1112</v>
      </c>
      <c r="C118" s="615" t="s">
        <v>340</v>
      </c>
      <c r="D118" s="616" t="s">
        <v>1113</v>
      </c>
      <c r="E118" s="615" t="s">
        <v>352</v>
      </c>
      <c r="F118" s="616" t="s">
        <v>1117</v>
      </c>
      <c r="G118" s="615" t="s">
        <v>356</v>
      </c>
      <c r="H118" s="615" t="s">
        <v>743</v>
      </c>
      <c r="I118" s="615" t="s">
        <v>208</v>
      </c>
      <c r="J118" s="615" t="s">
        <v>744</v>
      </c>
      <c r="K118" s="615" t="s">
        <v>745</v>
      </c>
      <c r="L118" s="617">
        <v>73.398384077348695</v>
      </c>
      <c r="M118" s="617">
        <v>2</v>
      </c>
      <c r="N118" s="618">
        <v>146.79676815469739</v>
      </c>
    </row>
    <row r="119" spans="1:14" ht="14.4" customHeight="1" x14ac:dyDescent="0.3">
      <c r="A119" s="613" t="s">
        <v>323</v>
      </c>
      <c r="B119" s="614" t="s">
        <v>1112</v>
      </c>
      <c r="C119" s="615" t="s">
        <v>340</v>
      </c>
      <c r="D119" s="616" t="s">
        <v>1113</v>
      </c>
      <c r="E119" s="615" t="s">
        <v>352</v>
      </c>
      <c r="F119" s="616" t="s">
        <v>1117</v>
      </c>
      <c r="G119" s="615" t="s">
        <v>356</v>
      </c>
      <c r="H119" s="615" t="s">
        <v>746</v>
      </c>
      <c r="I119" s="615" t="s">
        <v>746</v>
      </c>
      <c r="J119" s="615" t="s">
        <v>523</v>
      </c>
      <c r="K119" s="615" t="s">
        <v>747</v>
      </c>
      <c r="L119" s="617">
        <v>124.27891311444225</v>
      </c>
      <c r="M119" s="617">
        <v>1</v>
      </c>
      <c r="N119" s="618">
        <v>124.27891311444225</v>
      </c>
    </row>
    <row r="120" spans="1:14" ht="14.4" customHeight="1" x14ac:dyDescent="0.3">
      <c r="A120" s="613" t="s">
        <v>323</v>
      </c>
      <c r="B120" s="614" t="s">
        <v>1112</v>
      </c>
      <c r="C120" s="615" t="s">
        <v>340</v>
      </c>
      <c r="D120" s="616" t="s">
        <v>1113</v>
      </c>
      <c r="E120" s="615" t="s">
        <v>352</v>
      </c>
      <c r="F120" s="616" t="s">
        <v>1117</v>
      </c>
      <c r="G120" s="615" t="s">
        <v>356</v>
      </c>
      <c r="H120" s="615" t="s">
        <v>748</v>
      </c>
      <c r="I120" s="615" t="s">
        <v>748</v>
      </c>
      <c r="J120" s="615" t="s">
        <v>749</v>
      </c>
      <c r="K120" s="615" t="s">
        <v>750</v>
      </c>
      <c r="L120" s="617">
        <v>44</v>
      </c>
      <c r="M120" s="617">
        <v>6</v>
      </c>
      <c r="N120" s="618">
        <v>264</v>
      </c>
    </row>
    <row r="121" spans="1:14" ht="14.4" customHeight="1" x14ac:dyDescent="0.3">
      <c r="A121" s="613" t="s">
        <v>323</v>
      </c>
      <c r="B121" s="614" t="s">
        <v>1112</v>
      </c>
      <c r="C121" s="615" t="s">
        <v>340</v>
      </c>
      <c r="D121" s="616" t="s">
        <v>1113</v>
      </c>
      <c r="E121" s="615" t="s">
        <v>352</v>
      </c>
      <c r="F121" s="616" t="s">
        <v>1117</v>
      </c>
      <c r="G121" s="615" t="s">
        <v>356</v>
      </c>
      <c r="H121" s="615" t="s">
        <v>751</v>
      </c>
      <c r="I121" s="615" t="s">
        <v>208</v>
      </c>
      <c r="J121" s="615" t="s">
        <v>752</v>
      </c>
      <c r="K121" s="615"/>
      <c r="L121" s="617">
        <v>38.609714186214163</v>
      </c>
      <c r="M121" s="617">
        <v>2</v>
      </c>
      <c r="N121" s="618">
        <v>77.219428372428325</v>
      </c>
    </row>
    <row r="122" spans="1:14" ht="14.4" customHeight="1" x14ac:dyDescent="0.3">
      <c r="A122" s="613" t="s">
        <v>323</v>
      </c>
      <c r="B122" s="614" t="s">
        <v>1112</v>
      </c>
      <c r="C122" s="615" t="s">
        <v>340</v>
      </c>
      <c r="D122" s="616" t="s">
        <v>1113</v>
      </c>
      <c r="E122" s="615" t="s">
        <v>352</v>
      </c>
      <c r="F122" s="616" t="s">
        <v>1117</v>
      </c>
      <c r="G122" s="615" t="s">
        <v>356</v>
      </c>
      <c r="H122" s="615" t="s">
        <v>753</v>
      </c>
      <c r="I122" s="615" t="s">
        <v>753</v>
      </c>
      <c r="J122" s="615" t="s">
        <v>754</v>
      </c>
      <c r="K122" s="615" t="s">
        <v>755</v>
      </c>
      <c r="L122" s="617">
        <v>115.74666666666666</v>
      </c>
      <c r="M122" s="617">
        <v>3</v>
      </c>
      <c r="N122" s="618">
        <v>347.23999999999995</v>
      </c>
    </row>
    <row r="123" spans="1:14" ht="14.4" customHeight="1" x14ac:dyDescent="0.3">
      <c r="A123" s="613" t="s">
        <v>323</v>
      </c>
      <c r="B123" s="614" t="s">
        <v>1112</v>
      </c>
      <c r="C123" s="615" t="s">
        <v>340</v>
      </c>
      <c r="D123" s="616" t="s">
        <v>1113</v>
      </c>
      <c r="E123" s="615" t="s">
        <v>352</v>
      </c>
      <c r="F123" s="616" t="s">
        <v>1117</v>
      </c>
      <c r="G123" s="615" t="s">
        <v>356</v>
      </c>
      <c r="H123" s="615" t="s">
        <v>756</v>
      </c>
      <c r="I123" s="615" t="s">
        <v>756</v>
      </c>
      <c r="J123" s="615" t="s">
        <v>757</v>
      </c>
      <c r="K123" s="615" t="s">
        <v>758</v>
      </c>
      <c r="L123" s="617">
        <v>350.19999999999993</v>
      </c>
      <c r="M123" s="617">
        <v>1</v>
      </c>
      <c r="N123" s="618">
        <v>350.19999999999993</v>
      </c>
    </row>
    <row r="124" spans="1:14" ht="14.4" customHeight="1" x14ac:dyDescent="0.3">
      <c r="A124" s="613" t="s">
        <v>323</v>
      </c>
      <c r="B124" s="614" t="s">
        <v>1112</v>
      </c>
      <c r="C124" s="615" t="s">
        <v>340</v>
      </c>
      <c r="D124" s="616" t="s">
        <v>1113</v>
      </c>
      <c r="E124" s="615" t="s">
        <v>352</v>
      </c>
      <c r="F124" s="616" t="s">
        <v>1117</v>
      </c>
      <c r="G124" s="615" t="s">
        <v>356</v>
      </c>
      <c r="H124" s="615" t="s">
        <v>759</v>
      </c>
      <c r="I124" s="615" t="s">
        <v>208</v>
      </c>
      <c r="J124" s="615" t="s">
        <v>760</v>
      </c>
      <c r="K124" s="615"/>
      <c r="L124" s="617">
        <v>39.079940877308736</v>
      </c>
      <c r="M124" s="617">
        <v>1</v>
      </c>
      <c r="N124" s="618">
        <v>39.079940877308736</v>
      </c>
    </row>
    <row r="125" spans="1:14" ht="14.4" customHeight="1" x14ac:dyDescent="0.3">
      <c r="A125" s="613" t="s">
        <v>323</v>
      </c>
      <c r="B125" s="614" t="s">
        <v>1112</v>
      </c>
      <c r="C125" s="615" t="s">
        <v>340</v>
      </c>
      <c r="D125" s="616" t="s">
        <v>1113</v>
      </c>
      <c r="E125" s="615" t="s">
        <v>352</v>
      </c>
      <c r="F125" s="616" t="s">
        <v>1117</v>
      </c>
      <c r="G125" s="615" t="s">
        <v>356</v>
      </c>
      <c r="H125" s="615" t="s">
        <v>761</v>
      </c>
      <c r="I125" s="615" t="s">
        <v>761</v>
      </c>
      <c r="J125" s="615" t="s">
        <v>762</v>
      </c>
      <c r="K125" s="615" t="s">
        <v>763</v>
      </c>
      <c r="L125" s="617">
        <v>387.5790433252576</v>
      </c>
      <c r="M125" s="617">
        <v>1</v>
      </c>
      <c r="N125" s="618">
        <v>387.5790433252576</v>
      </c>
    </row>
    <row r="126" spans="1:14" ht="14.4" customHeight="1" x14ac:dyDescent="0.3">
      <c r="A126" s="613" t="s">
        <v>323</v>
      </c>
      <c r="B126" s="614" t="s">
        <v>1112</v>
      </c>
      <c r="C126" s="615" t="s">
        <v>340</v>
      </c>
      <c r="D126" s="616" t="s">
        <v>1113</v>
      </c>
      <c r="E126" s="615" t="s">
        <v>352</v>
      </c>
      <c r="F126" s="616" t="s">
        <v>1117</v>
      </c>
      <c r="G126" s="615" t="s">
        <v>356</v>
      </c>
      <c r="H126" s="615" t="s">
        <v>764</v>
      </c>
      <c r="I126" s="615" t="s">
        <v>765</v>
      </c>
      <c r="J126" s="615" t="s">
        <v>766</v>
      </c>
      <c r="K126" s="615" t="s">
        <v>767</v>
      </c>
      <c r="L126" s="617">
        <v>1392.1092204200215</v>
      </c>
      <c r="M126" s="617">
        <v>1</v>
      </c>
      <c r="N126" s="618">
        <v>1392.1092204200215</v>
      </c>
    </row>
    <row r="127" spans="1:14" ht="14.4" customHeight="1" x14ac:dyDescent="0.3">
      <c r="A127" s="613" t="s">
        <v>323</v>
      </c>
      <c r="B127" s="614" t="s">
        <v>1112</v>
      </c>
      <c r="C127" s="615" t="s">
        <v>340</v>
      </c>
      <c r="D127" s="616" t="s">
        <v>1113</v>
      </c>
      <c r="E127" s="615" t="s">
        <v>352</v>
      </c>
      <c r="F127" s="616" t="s">
        <v>1117</v>
      </c>
      <c r="G127" s="615" t="s">
        <v>356</v>
      </c>
      <c r="H127" s="615" t="s">
        <v>768</v>
      </c>
      <c r="I127" s="615" t="s">
        <v>768</v>
      </c>
      <c r="J127" s="615" t="s">
        <v>769</v>
      </c>
      <c r="K127" s="615" t="s">
        <v>547</v>
      </c>
      <c r="L127" s="617">
        <v>93.267500000000013</v>
      </c>
      <c r="M127" s="617">
        <v>2</v>
      </c>
      <c r="N127" s="618">
        <v>186.53500000000003</v>
      </c>
    </row>
    <row r="128" spans="1:14" ht="14.4" customHeight="1" x14ac:dyDescent="0.3">
      <c r="A128" s="613" t="s">
        <v>323</v>
      </c>
      <c r="B128" s="614" t="s">
        <v>1112</v>
      </c>
      <c r="C128" s="615" t="s">
        <v>340</v>
      </c>
      <c r="D128" s="616" t="s">
        <v>1113</v>
      </c>
      <c r="E128" s="615" t="s">
        <v>352</v>
      </c>
      <c r="F128" s="616" t="s">
        <v>1117</v>
      </c>
      <c r="G128" s="615" t="s">
        <v>770</v>
      </c>
      <c r="H128" s="615" t="s">
        <v>771</v>
      </c>
      <c r="I128" s="615" t="s">
        <v>772</v>
      </c>
      <c r="J128" s="615" t="s">
        <v>773</v>
      </c>
      <c r="K128" s="615" t="s">
        <v>774</v>
      </c>
      <c r="L128" s="617">
        <v>34.76773162955643</v>
      </c>
      <c r="M128" s="617">
        <v>149</v>
      </c>
      <c r="N128" s="618">
        <v>5180.3920128039081</v>
      </c>
    </row>
    <row r="129" spans="1:14" ht="14.4" customHeight="1" x14ac:dyDescent="0.3">
      <c r="A129" s="613" t="s">
        <v>323</v>
      </c>
      <c r="B129" s="614" t="s">
        <v>1112</v>
      </c>
      <c r="C129" s="615" t="s">
        <v>340</v>
      </c>
      <c r="D129" s="616" t="s">
        <v>1113</v>
      </c>
      <c r="E129" s="615" t="s">
        <v>352</v>
      </c>
      <c r="F129" s="616" t="s">
        <v>1117</v>
      </c>
      <c r="G129" s="615" t="s">
        <v>770</v>
      </c>
      <c r="H129" s="615" t="s">
        <v>775</v>
      </c>
      <c r="I129" s="615" t="s">
        <v>776</v>
      </c>
      <c r="J129" s="615" t="s">
        <v>714</v>
      </c>
      <c r="K129" s="615" t="s">
        <v>777</v>
      </c>
      <c r="L129" s="617">
        <v>105.05953241591195</v>
      </c>
      <c r="M129" s="617">
        <v>9</v>
      </c>
      <c r="N129" s="618">
        <v>945.53579174320748</v>
      </c>
    </row>
    <row r="130" spans="1:14" ht="14.4" customHeight="1" x14ac:dyDescent="0.3">
      <c r="A130" s="613" t="s">
        <v>323</v>
      </c>
      <c r="B130" s="614" t="s">
        <v>1112</v>
      </c>
      <c r="C130" s="615" t="s">
        <v>340</v>
      </c>
      <c r="D130" s="616" t="s">
        <v>1113</v>
      </c>
      <c r="E130" s="615" t="s">
        <v>352</v>
      </c>
      <c r="F130" s="616" t="s">
        <v>1117</v>
      </c>
      <c r="G130" s="615" t="s">
        <v>770</v>
      </c>
      <c r="H130" s="615" t="s">
        <v>778</v>
      </c>
      <c r="I130" s="615" t="s">
        <v>779</v>
      </c>
      <c r="J130" s="615" t="s">
        <v>354</v>
      </c>
      <c r="K130" s="615" t="s">
        <v>355</v>
      </c>
      <c r="L130" s="617">
        <v>630.66000000000008</v>
      </c>
      <c r="M130" s="617">
        <v>5</v>
      </c>
      <c r="N130" s="618">
        <v>3153.3</v>
      </c>
    </row>
    <row r="131" spans="1:14" ht="14.4" customHeight="1" x14ac:dyDescent="0.3">
      <c r="A131" s="613" t="s">
        <v>323</v>
      </c>
      <c r="B131" s="614" t="s">
        <v>1112</v>
      </c>
      <c r="C131" s="615" t="s">
        <v>340</v>
      </c>
      <c r="D131" s="616" t="s">
        <v>1113</v>
      </c>
      <c r="E131" s="615" t="s">
        <v>352</v>
      </c>
      <c r="F131" s="616" t="s">
        <v>1117</v>
      </c>
      <c r="G131" s="615" t="s">
        <v>770</v>
      </c>
      <c r="H131" s="615" t="s">
        <v>780</v>
      </c>
      <c r="I131" s="615" t="s">
        <v>781</v>
      </c>
      <c r="J131" s="615" t="s">
        <v>354</v>
      </c>
      <c r="K131" s="615" t="s">
        <v>782</v>
      </c>
      <c r="L131" s="617">
        <v>721.2</v>
      </c>
      <c r="M131" s="617">
        <v>2</v>
      </c>
      <c r="N131" s="618">
        <v>1442.4</v>
      </c>
    </row>
    <row r="132" spans="1:14" ht="14.4" customHeight="1" x14ac:dyDescent="0.3">
      <c r="A132" s="613" t="s">
        <v>323</v>
      </c>
      <c r="B132" s="614" t="s">
        <v>1112</v>
      </c>
      <c r="C132" s="615" t="s">
        <v>340</v>
      </c>
      <c r="D132" s="616" t="s">
        <v>1113</v>
      </c>
      <c r="E132" s="615" t="s">
        <v>352</v>
      </c>
      <c r="F132" s="616" t="s">
        <v>1117</v>
      </c>
      <c r="G132" s="615" t="s">
        <v>770</v>
      </c>
      <c r="H132" s="615" t="s">
        <v>783</v>
      </c>
      <c r="I132" s="615" t="s">
        <v>784</v>
      </c>
      <c r="J132" s="615" t="s">
        <v>785</v>
      </c>
      <c r="K132" s="615" t="s">
        <v>563</v>
      </c>
      <c r="L132" s="617">
        <v>48.91</v>
      </c>
      <c r="M132" s="617">
        <v>1</v>
      </c>
      <c r="N132" s="618">
        <v>48.91</v>
      </c>
    </row>
    <row r="133" spans="1:14" ht="14.4" customHeight="1" x14ac:dyDescent="0.3">
      <c r="A133" s="613" t="s">
        <v>323</v>
      </c>
      <c r="B133" s="614" t="s">
        <v>1112</v>
      </c>
      <c r="C133" s="615" t="s">
        <v>340</v>
      </c>
      <c r="D133" s="616" t="s">
        <v>1113</v>
      </c>
      <c r="E133" s="615" t="s">
        <v>352</v>
      </c>
      <c r="F133" s="616" t="s">
        <v>1117</v>
      </c>
      <c r="G133" s="615" t="s">
        <v>770</v>
      </c>
      <c r="H133" s="615" t="s">
        <v>786</v>
      </c>
      <c r="I133" s="615" t="s">
        <v>787</v>
      </c>
      <c r="J133" s="615" t="s">
        <v>788</v>
      </c>
      <c r="K133" s="615" t="s">
        <v>789</v>
      </c>
      <c r="L133" s="617">
        <v>49.320015801629992</v>
      </c>
      <c r="M133" s="617">
        <v>1</v>
      </c>
      <c r="N133" s="618">
        <v>49.320015801629992</v>
      </c>
    </row>
    <row r="134" spans="1:14" ht="14.4" customHeight="1" x14ac:dyDescent="0.3">
      <c r="A134" s="613" t="s">
        <v>323</v>
      </c>
      <c r="B134" s="614" t="s">
        <v>1112</v>
      </c>
      <c r="C134" s="615" t="s">
        <v>340</v>
      </c>
      <c r="D134" s="616" t="s">
        <v>1113</v>
      </c>
      <c r="E134" s="615" t="s">
        <v>352</v>
      </c>
      <c r="F134" s="616" t="s">
        <v>1117</v>
      </c>
      <c r="G134" s="615" t="s">
        <v>770</v>
      </c>
      <c r="H134" s="615" t="s">
        <v>790</v>
      </c>
      <c r="I134" s="615" t="s">
        <v>791</v>
      </c>
      <c r="J134" s="615" t="s">
        <v>792</v>
      </c>
      <c r="K134" s="615" t="s">
        <v>793</v>
      </c>
      <c r="L134" s="617">
        <v>168.22000000000006</v>
      </c>
      <c r="M134" s="617">
        <v>2</v>
      </c>
      <c r="N134" s="618">
        <v>336.44000000000011</v>
      </c>
    </row>
    <row r="135" spans="1:14" ht="14.4" customHeight="1" x14ac:dyDescent="0.3">
      <c r="A135" s="613" t="s">
        <v>323</v>
      </c>
      <c r="B135" s="614" t="s">
        <v>1112</v>
      </c>
      <c r="C135" s="615" t="s">
        <v>340</v>
      </c>
      <c r="D135" s="616" t="s">
        <v>1113</v>
      </c>
      <c r="E135" s="615" t="s">
        <v>352</v>
      </c>
      <c r="F135" s="616" t="s">
        <v>1117</v>
      </c>
      <c r="G135" s="615" t="s">
        <v>770</v>
      </c>
      <c r="H135" s="615" t="s">
        <v>794</v>
      </c>
      <c r="I135" s="615" t="s">
        <v>795</v>
      </c>
      <c r="J135" s="615" t="s">
        <v>796</v>
      </c>
      <c r="K135" s="615" t="s">
        <v>797</v>
      </c>
      <c r="L135" s="617">
        <v>57.81</v>
      </c>
      <c r="M135" s="617">
        <v>1</v>
      </c>
      <c r="N135" s="618">
        <v>57.81</v>
      </c>
    </row>
    <row r="136" spans="1:14" ht="14.4" customHeight="1" x14ac:dyDescent="0.3">
      <c r="A136" s="613" t="s">
        <v>323</v>
      </c>
      <c r="B136" s="614" t="s">
        <v>1112</v>
      </c>
      <c r="C136" s="615" t="s">
        <v>340</v>
      </c>
      <c r="D136" s="616" t="s">
        <v>1113</v>
      </c>
      <c r="E136" s="615" t="s">
        <v>352</v>
      </c>
      <c r="F136" s="616" t="s">
        <v>1117</v>
      </c>
      <c r="G136" s="615" t="s">
        <v>770</v>
      </c>
      <c r="H136" s="615" t="s">
        <v>798</v>
      </c>
      <c r="I136" s="615" t="s">
        <v>799</v>
      </c>
      <c r="J136" s="615" t="s">
        <v>796</v>
      </c>
      <c r="K136" s="615" t="s">
        <v>800</v>
      </c>
      <c r="L136" s="617">
        <v>51.840000000000032</v>
      </c>
      <c r="M136" s="617">
        <v>1</v>
      </c>
      <c r="N136" s="618">
        <v>51.840000000000032</v>
      </c>
    </row>
    <row r="137" spans="1:14" ht="14.4" customHeight="1" x14ac:dyDescent="0.3">
      <c r="A137" s="613" t="s">
        <v>323</v>
      </c>
      <c r="B137" s="614" t="s">
        <v>1112</v>
      </c>
      <c r="C137" s="615" t="s">
        <v>340</v>
      </c>
      <c r="D137" s="616" t="s">
        <v>1113</v>
      </c>
      <c r="E137" s="615" t="s">
        <v>352</v>
      </c>
      <c r="F137" s="616" t="s">
        <v>1117</v>
      </c>
      <c r="G137" s="615" t="s">
        <v>770</v>
      </c>
      <c r="H137" s="615" t="s">
        <v>801</v>
      </c>
      <c r="I137" s="615" t="s">
        <v>802</v>
      </c>
      <c r="J137" s="615" t="s">
        <v>803</v>
      </c>
      <c r="K137" s="615" t="s">
        <v>800</v>
      </c>
      <c r="L137" s="617">
        <v>46.829927100548225</v>
      </c>
      <c r="M137" s="617">
        <v>1</v>
      </c>
      <c r="N137" s="618">
        <v>46.829927100548225</v>
      </c>
    </row>
    <row r="138" spans="1:14" ht="14.4" customHeight="1" x14ac:dyDescent="0.3">
      <c r="A138" s="613" t="s">
        <v>323</v>
      </c>
      <c r="B138" s="614" t="s">
        <v>1112</v>
      </c>
      <c r="C138" s="615" t="s">
        <v>340</v>
      </c>
      <c r="D138" s="616" t="s">
        <v>1113</v>
      </c>
      <c r="E138" s="615" t="s">
        <v>352</v>
      </c>
      <c r="F138" s="616" t="s">
        <v>1117</v>
      </c>
      <c r="G138" s="615" t="s">
        <v>770</v>
      </c>
      <c r="H138" s="615" t="s">
        <v>804</v>
      </c>
      <c r="I138" s="615" t="s">
        <v>805</v>
      </c>
      <c r="J138" s="615" t="s">
        <v>806</v>
      </c>
      <c r="K138" s="615" t="s">
        <v>563</v>
      </c>
      <c r="L138" s="617">
        <v>87.15000000000002</v>
      </c>
      <c r="M138" s="617">
        <v>3</v>
      </c>
      <c r="N138" s="618">
        <v>261.45000000000005</v>
      </c>
    </row>
    <row r="139" spans="1:14" ht="14.4" customHeight="1" x14ac:dyDescent="0.3">
      <c r="A139" s="613" t="s">
        <v>323</v>
      </c>
      <c r="B139" s="614" t="s">
        <v>1112</v>
      </c>
      <c r="C139" s="615" t="s">
        <v>340</v>
      </c>
      <c r="D139" s="616" t="s">
        <v>1113</v>
      </c>
      <c r="E139" s="615" t="s">
        <v>352</v>
      </c>
      <c r="F139" s="616" t="s">
        <v>1117</v>
      </c>
      <c r="G139" s="615" t="s">
        <v>770</v>
      </c>
      <c r="H139" s="615" t="s">
        <v>807</v>
      </c>
      <c r="I139" s="615" t="s">
        <v>808</v>
      </c>
      <c r="J139" s="615" t="s">
        <v>809</v>
      </c>
      <c r="K139" s="615" t="s">
        <v>563</v>
      </c>
      <c r="L139" s="617">
        <v>85.37</v>
      </c>
      <c r="M139" s="617">
        <v>1</v>
      </c>
      <c r="N139" s="618">
        <v>85.37</v>
      </c>
    </row>
    <row r="140" spans="1:14" ht="14.4" customHeight="1" x14ac:dyDescent="0.3">
      <c r="A140" s="613" t="s">
        <v>323</v>
      </c>
      <c r="B140" s="614" t="s">
        <v>1112</v>
      </c>
      <c r="C140" s="615" t="s">
        <v>340</v>
      </c>
      <c r="D140" s="616" t="s">
        <v>1113</v>
      </c>
      <c r="E140" s="615" t="s">
        <v>352</v>
      </c>
      <c r="F140" s="616" t="s">
        <v>1117</v>
      </c>
      <c r="G140" s="615" t="s">
        <v>770</v>
      </c>
      <c r="H140" s="615" t="s">
        <v>810</v>
      </c>
      <c r="I140" s="615" t="s">
        <v>811</v>
      </c>
      <c r="J140" s="615" t="s">
        <v>812</v>
      </c>
      <c r="K140" s="615" t="s">
        <v>813</v>
      </c>
      <c r="L140" s="617">
        <v>129.58000000000004</v>
      </c>
      <c r="M140" s="617">
        <v>1</v>
      </c>
      <c r="N140" s="618">
        <v>129.58000000000004</v>
      </c>
    </row>
    <row r="141" spans="1:14" ht="14.4" customHeight="1" x14ac:dyDescent="0.3">
      <c r="A141" s="613" t="s">
        <v>323</v>
      </c>
      <c r="B141" s="614" t="s">
        <v>1112</v>
      </c>
      <c r="C141" s="615" t="s">
        <v>340</v>
      </c>
      <c r="D141" s="616" t="s">
        <v>1113</v>
      </c>
      <c r="E141" s="615" t="s">
        <v>352</v>
      </c>
      <c r="F141" s="616" t="s">
        <v>1117</v>
      </c>
      <c r="G141" s="615" t="s">
        <v>770</v>
      </c>
      <c r="H141" s="615" t="s">
        <v>814</v>
      </c>
      <c r="I141" s="615" t="s">
        <v>815</v>
      </c>
      <c r="J141" s="615" t="s">
        <v>816</v>
      </c>
      <c r="K141" s="615" t="s">
        <v>817</v>
      </c>
      <c r="L141" s="617">
        <v>50.460000000000022</v>
      </c>
      <c r="M141" s="617">
        <v>1</v>
      </c>
      <c r="N141" s="618">
        <v>50.460000000000022</v>
      </c>
    </row>
    <row r="142" spans="1:14" ht="14.4" customHeight="1" x14ac:dyDescent="0.3">
      <c r="A142" s="613" t="s">
        <v>323</v>
      </c>
      <c r="B142" s="614" t="s">
        <v>1112</v>
      </c>
      <c r="C142" s="615" t="s">
        <v>340</v>
      </c>
      <c r="D142" s="616" t="s">
        <v>1113</v>
      </c>
      <c r="E142" s="615" t="s">
        <v>352</v>
      </c>
      <c r="F142" s="616" t="s">
        <v>1117</v>
      </c>
      <c r="G142" s="615" t="s">
        <v>770</v>
      </c>
      <c r="H142" s="615" t="s">
        <v>818</v>
      </c>
      <c r="I142" s="615" t="s">
        <v>819</v>
      </c>
      <c r="J142" s="615" t="s">
        <v>820</v>
      </c>
      <c r="K142" s="615" t="s">
        <v>821</v>
      </c>
      <c r="L142" s="617">
        <v>466.32300000000004</v>
      </c>
      <c r="M142" s="617">
        <v>1</v>
      </c>
      <c r="N142" s="618">
        <v>466.32300000000004</v>
      </c>
    </row>
    <row r="143" spans="1:14" ht="14.4" customHeight="1" x14ac:dyDescent="0.3">
      <c r="A143" s="613" t="s">
        <v>323</v>
      </c>
      <c r="B143" s="614" t="s">
        <v>1112</v>
      </c>
      <c r="C143" s="615" t="s">
        <v>340</v>
      </c>
      <c r="D143" s="616" t="s">
        <v>1113</v>
      </c>
      <c r="E143" s="615" t="s">
        <v>352</v>
      </c>
      <c r="F143" s="616" t="s">
        <v>1117</v>
      </c>
      <c r="G143" s="615" t="s">
        <v>770</v>
      </c>
      <c r="H143" s="615" t="s">
        <v>822</v>
      </c>
      <c r="I143" s="615" t="s">
        <v>823</v>
      </c>
      <c r="J143" s="615" t="s">
        <v>824</v>
      </c>
      <c r="K143" s="615" t="s">
        <v>825</v>
      </c>
      <c r="L143" s="617">
        <v>67.95999999999998</v>
      </c>
      <c r="M143" s="617">
        <v>20</v>
      </c>
      <c r="N143" s="618">
        <v>1359.1999999999996</v>
      </c>
    </row>
    <row r="144" spans="1:14" ht="14.4" customHeight="1" x14ac:dyDescent="0.3">
      <c r="A144" s="613" t="s">
        <v>323</v>
      </c>
      <c r="B144" s="614" t="s">
        <v>1112</v>
      </c>
      <c r="C144" s="615" t="s">
        <v>340</v>
      </c>
      <c r="D144" s="616" t="s">
        <v>1113</v>
      </c>
      <c r="E144" s="615" t="s">
        <v>352</v>
      </c>
      <c r="F144" s="616" t="s">
        <v>1117</v>
      </c>
      <c r="G144" s="615" t="s">
        <v>770</v>
      </c>
      <c r="H144" s="615" t="s">
        <v>826</v>
      </c>
      <c r="I144" s="615" t="s">
        <v>827</v>
      </c>
      <c r="J144" s="615" t="s">
        <v>828</v>
      </c>
      <c r="K144" s="615" t="s">
        <v>829</v>
      </c>
      <c r="L144" s="617">
        <v>21.74</v>
      </c>
      <c r="M144" s="617">
        <v>1</v>
      </c>
      <c r="N144" s="618">
        <v>21.74</v>
      </c>
    </row>
    <row r="145" spans="1:14" ht="14.4" customHeight="1" x14ac:dyDescent="0.3">
      <c r="A145" s="613" t="s">
        <v>323</v>
      </c>
      <c r="B145" s="614" t="s">
        <v>1112</v>
      </c>
      <c r="C145" s="615" t="s">
        <v>340</v>
      </c>
      <c r="D145" s="616" t="s">
        <v>1113</v>
      </c>
      <c r="E145" s="615" t="s">
        <v>352</v>
      </c>
      <c r="F145" s="616" t="s">
        <v>1117</v>
      </c>
      <c r="G145" s="615" t="s">
        <v>770</v>
      </c>
      <c r="H145" s="615" t="s">
        <v>830</v>
      </c>
      <c r="I145" s="615" t="s">
        <v>606</v>
      </c>
      <c r="J145" s="615" t="s">
        <v>831</v>
      </c>
      <c r="K145" s="615" t="s">
        <v>832</v>
      </c>
      <c r="L145" s="617">
        <v>77.809362645597943</v>
      </c>
      <c r="M145" s="617">
        <v>1</v>
      </c>
      <c r="N145" s="618">
        <v>77.809362645597943</v>
      </c>
    </row>
    <row r="146" spans="1:14" ht="14.4" customHeight="1" x14ac:dyDescent="0.3">
      <c r="A146" s="613" t="s">
        <v>323</v>
      </c>
      <c r="B146" s="614" t="s">
        <v>1112</v>
      </c>
      <c r="C146" s="615" t="s">
        <v>340</v>
      </c>
      <c r="D146" s="616" t="s">
        <v>1113</v>
      </c>
      <c r="E146" s="615" t="s">
        <v>352</v>
      </c>
      <c r="F146" s="616" t="s">
        <v>1117</v>
      </c>
      <c r="G146" s="615" t="s">
        <v>770</v>
      </c>
      <c r="H146" s="615" t="s">
        <v>833</v>
      </c>
      <c r="I146" s="615" t="s">
        <v>834</v>
      </c>
      <c r="J146" s="615" t="s">
        <v>835</v>
      </c>
      <c r="K146" s="615" t="s">
        <v>836</v>
      </c>
      <c r="L146" s="617">
        <v>628.59555370992598</v>
      </c>
      <c r="M146" s="617">
        <v>1</v>
      </c>
      <c r="N146" s="618">
        <v>628.59555370992598</v>
      </c>
    </row>
    <row r="147" spans="1:14" ht="14.4" customHeight="1" x14ac:dyDescent="0.3">
      <c r="A147" s="613" t="s">
        <v>323</v>
      </c>
      <c r="B147" s="614" t="s">
        <v>1112</v>
      </c>
      <c r="C147" s="615" t="s">
        <v>340</v>
      </c>
      <c r="D147" s="616" t="s">
        <v>1113</v>
      </c>
      <c r="E147" s="615" t="s">
        <v>352</v>
      </c>
      <c r="F147" s="616" t="s">
        <v>1117</v>
      </c>
      <c r="G147" s="615" t="s">
        <v>770</v>
      </c>
      <c r="H147" s="615" t="s">
        <v>837</v>
      </c>
      <c r="I147" s="615" t="s">
        <v>838</v>
      </c>
      <c r="J147" s="615" t="s">
        <v>354</v>
      </c>
      <c r="K147" s="615" t="s">
        <v>839</v>
      </c>
      <c r="L147" s="617">
        <v>408.94999999999993</v>
      </c>
      <c r="M147" s="617">
        <v>2</v>
      </c>
      <c r="N147" s="618">
        <v>817.89999999999986</v>
      </c>
    </row>
    <row r="148" spans="1:14" ht="14.4" customHeight="1" x14ac:dyDescent="0.3">
      <c r="A148" s="613" t="s">
        <v>323</v>
      </c>
      <c r="B148" s="614" t="s">
        <v>1112</v>
      </c>
      <c r="C148" s="615" t="s">
        <v>340</v>
      </c>
      <c r="D148" s="616" t="s">
        <v>1113</v>
      </c>
      <c r="E148" s="615" t="s">
        <v>352</v>
      </c>
      <c r="F148" s="616" t="s">
        <v>1117</v>
      </c>
      <c r="G148" s="615" t="s">
        <v>770</v>
      </c>
      <c r="H148" s="615" t="s">
        <v>840</v>
      </c>
      <c r="I148" s="615" t="s">
        <v>841</v>
      </c>
      <c r="J148" s="615" t="s">
        <v>842</v>
      </c>
      <c r="K148" s="615" t="s">
        <v>843</v>
      </c>
      <c r="L148" s="617">
        <v>76.62</v>
      </c>
      <c r="M148" s="617">
        <v>2</v>
      </c>
      <c r="N148" s="618">
        <v>153.24</v>
      </c>
    </row>
    <row r="149" spans="1:14" ht="14.4" customHeight="1" x14ac:dyDescent="0.3">
      <c r="A149" s="613" t="s">
        <v>323</v>
      </c>
      <c r="B149" s="614" t="s">
        <v>1112</v>
      </c>
      <c r="C149" s="615" t="s">
        <v>340</v>
      </c>
      <c r="D149" s="616" t="s">
        <v>1113</v>
      </c>
      <c r="E149" s="615" t="s">
        <v>352</v>
      </c>
      <c r="F149" s="616" t="s">
        <v>1117</v>
      </c>
      <c r="G149" s="615" t="s">
        <v>770</v>
      </c>
      <c r="H149" s="615" t="s">
        <v>844</v>
      </c>
      <c r="I149" s="615" t="s">
        <v>845</v>
      </c>
      <c r="J149" s="615" t="s">
        <v>846</v>
      </c>
      <c r="K149" s="615" t="s">
        <v>847</v>
      </c>
      <c r="L149" s="617">
        <v>92.359831959169625</v>
      </c>
      <c r="M149" s="617">
        <v>1</v>
      </c>
      <c r="N149" s="618">
        <v>92.359831959169625</v>
      </c>
    </row>
    <row r="150" spans="1:14" ht="14.4" customHeight="1" x14ac:dyDescent="0.3">
      <c r="A150" s="613" t="s">
        <v>323</v>
      </c>
      <c r="B150" s="614" t="s">
        <v>1112</v>
      </c>
      <c r="C150" s="615" t="s">
        <v>340</v>
      </c>
      <c r="D150" s="616" t="s">
        <v>1113</v>
      </c>
      <c r="E150" s="615" t="s">
        <v>352</v>
      </c>
      <c r="F150" s="616" t="s">
        <v>1117</v>
      </c>
      <c r="G150" s="615" t="s">
        <v>770</v>
      </c>
      <c r="H150" s="615" t="s">
        <v>848</v>
      </c>
      <c r="I150" s="615" t="s">
        <v>849</v>
      </c>
      <c r="J150" s="615" t="s">
        <v>850</v>
      </c>
      <c r="K150" s="615" t="s">
        <v>851</v>
      </c>
      <c r="L150" s="617">
        <v>80.519874655907387</v>
      </c>
      <c r="M150" s="617">
        <v>1</v>
      </c>
      <c r="N150" s="618">
        <v>80.519874655907387</v>
      </c>
    </row>
    <row r="151" spans="1:14" ht="14.4" customHeight="1" x14ac:dyDescent="0.3">
      <c r="A151" s="613" t="s">
        <v>323</v>
      </c>
      <c r="B151" s="614" t="s">
        <v>1112</v>
      </c>
      <c r="C151" s="615" t="s">
        <v>340</v>
      </c>
      <c r="D151" s="616" t="s">
        <v>1113</v>
      </c>
      <c r="E151" s="615" t="s">
        <v>352</v>
      </c>
      <c r="F151" s="616" t="s">
        <v>1117</v>
      </c>
      <c r="G151" s="615" t="s">
        <v>770</v>
      </c>
      <c r="H151" s="615" t="s">
        <v>852</v>
      </c>
      <c r="I151" s="615" t="s">
        <v>853</v>
      </c>
      <c r="J151" s="615" t="s">
        <v>854</v>
      </c>
      <c r="K151" s="615" t="s">
        <v>855</v>
      </c>
      <c r="L151" s="617">
        <v>79.640000000000015</v>
      </c>
      <c r="M151" s="617">
        <v>2</v>
      </c>
      <c r="N151" s="618">
        <v>159.28000000000003</v>
      </c>
    </row>
    <row r="152" spans="1:14" ht="14.4" customHeight="1" x14ac:dyDescent="0.3">
      <c r="A152" s="613" t="s">
        <v>323</v>
      </c>
      <c r="B152" s="614" t="s">
        <v>1112</v>
      </c>
      <c r="C152" s="615" t="s">
        <v>340</v>
      </c>
      <c r="D152" s="616" t="s">
        <v>1113</v>
      </c>
      <c r="E152" s="615" t="s">
        <v>352</v>
      </c>
      <c r="F152" s="616" t="s">
        <v>1117</v>
      </c>
      <c r="G152" s="615" t="s">
        <v>770</v>
      </c>
      <c r="H152" s="615" t="s">
        <v>856</v>
      </c>
      <c r="I152" s="615" t="s">
        <v>857</v>
      </c>
      <c r="J152" s="615" t="s">
        <v>858</v>
      </c>
      <c r="K152" s="615" t="s">
        <v>859</v>
      </c>
      <c r="L152" s="617">
        <v>102.05000000000001</v>
      </c>
      <c r="M152" s="617">
        <v>2</v>
      </c>
      <c r="N152" s="618">
        <v>204.10000000000002</v>
      </c>
    </row>
    <row r="153" spans="1:14" ht="14.4" customHeight="1" x14ac:dyDescent="0.3">
      <c r="A153" s="613" t="s">
        <v>323</v>
      </c>
      <c r="B153" s="614" t="s">
        <v>1112</v>
      </c>
      <c r="C153" s="615" t="s">
        <v>340</v>
      </c>
      <c r="D153" s="616" t="s">
        <v>1113</v>
      </c>
      <c r="E153" s="615" t="s">
        <v>352</v>
      </c>
      <c r="F153" s="616" t="s">
        <v>1117</v>
      </c>
      <c r="G153" s="615" t="s">
        <v>770</v>
      </c>
      <c r="H153" s="615" t="s">
        <v>860</v>
      </c>
      <c r="I153" s="615" t="s">
        <v>860</v>
      </c>
      <c r="J153" s="615" t="s">
        <v>861</v>
      </c>
      <c r="K153" s="615" t="s">
        <v>862</v>
      </c>
      <c r="L153" s="617">
        <v>52.264905565003062</v>
      </c>
      <c r="M153" s="617">
        <v>2</v>
      </c>
      <c r="N153" s="618">
        <v>104.52981113000612</v>
      </c>
    </row>
    <row r="154" spans="1:14" ht="14.4" customHeight="1" x14ac:dyDescent="0.3">
      <c r="A154" s="613" t="s">
        <v>323</v>
      </c>
      <c r="B154" s="614" t="s">
        <v>1112</v>
      </c>
      <c r="C154" s="615" t="s">
        <v>340</v>
      </c>
      <c r="D154" s="616" t="s">
        <v>1113</v>
      </c>
      <c r="E154" s="615" t="s">
        <v>352</v>
      </c>
      <c r="F154" s="616" t="s">
        <v>1117</v>
      </c>
      <c r="G154" s="615" t="s">
        <v>770</v>
      </c>
      <c r="H154" s="615" t="s">
        <v>863</v>
      </c>
      <c r="I154" s="615" t="s">
        <v>863</v>
      </c>
      <c r="J154" s="615" t="s">
        <v>864</v>
      </c>
      <c r="K154" s="615" t="s">
        <v>865</v>
      </c>
      <c r="L154" s="617">
        <v>176.72000000000003</v>
      </c>
      <c r="M154" s="617">
        <v>5</v>
      </c>
      <c r="N154" s="618">
        <v>883.60000000000014</v>
      </c>
    </row>
    <row r="155" spans="1:14" ht="14.4" customHeight="1" x14ac:dyDescent="0.3">
      <c r="A155" s="613" t="s">
        <v>323</v>
      </c>
      <c r="B155" s="614" t="s">
        <v>1112</v>
      </c>
      <c r="C155" s="615" t="s">
        <v>340</v>
      </c>
      <c r="D155" s="616" t="s">
        <v>1113</v>
      </c>
      <c r="E155" s="615" t="s">
        <v>352</v>
      </c>
      <c r="F155" s="616" t="s">
        <v>1117</v>
      </c>
      <c r="G155" s="615" t="s">
        <v>770</v>
      </c>
      <c r="H155" s="615" t="s">
        <v>866</v>
      </c>
      <c r="I155" s="615" t="s">
        <v>866</v>
      </c>
      <c r="J155" s="615" t="s">
        <v>354</v>
      </c>
      <c r="K155" s="615" t="s">
        <v>839</v>
      </c>
      <c r="L155" s="617">
        <v>408.95</v>
      </c>
      <c r="M155" s="617">
        <v>2</v>
      </c>
      <c r="N155" s="618">
        <v>817.9</v>
      </c>
    </row>
    <row r="156" spans="1:14" ht="14.4" customHeight="1" x14ac:dyDescent="0.3">
      <c r="A156" s="613" t="s">
        <v>323</v>
      </c>
      <c r="B156" s="614" t="s">
        <v>1112</v>
      </c>
      <c r="C156" s="615" t="s">
        <v>340</v>
      </c>
      <c r="D156" s="616" t="s">
        <v>1113</v>
      </c>
      <c r="E156" s="615" t="s">
        <v>867</v>
      </c>
      <c r="F156" s="616" t="s">
        <v>1118</v>
      </c>
      <c r="G156" s="615" t="s">
        <v>356</v>
      </c>
      <c r="H156" s="615" t="s">
        <v>868</v>
      </c>
      <c r="I156" s="615" t="s">
        <v>869</v>
      </c>
      <c r="J156" s="615" t="s">
        <v>870</v>
      </c>
      <c r="K156" s="615" t="s">
        <v>871</v>
      </c>
      <c r="L156" s="617">
        <v>2296.58</v>
      </c>
      <c r="M156" s="617">
        <v>0.80000000000000648</v>
      </c>
      <c r="N156" s="618">
        <v>1837.2640000000147</v>
      </c>
    </row>
    <row r="157" spans="1:14" ht="14.4" customHeight="1" x14ac:dyDescent="0.3">
      <c r="A157" s="613" t="s">
        <v>323</v>
      </c>
      <c r="B157" s="614" t="s">
        <v>1112</v>
      </c>
      <c r="C157" s="615" t="s">
        <v>340</v>
      </c>
      <c r="D157" s="616" t="s">
        <v>1113</v>
      </c>
      <c r="E157" s="615" t="s">
        <v>867</v>
      </c>
      <c r="F157" s="616" t="s">
        <v>1118</v>
      </c>
      <c r="G157" s="615" t="s">
        <v>356</v>
      </c>
      <c r="H157" s="615" t="s">
        <v>872</v>
      </c>
      <c r="I157" s="615" t="s">
        <v>208</v>
      </c>
      <c r="J157" s="615" t="s">
        <v>873</v>
      </c>
      <c r="K157" s="615"/>
      <c r="L157" s="617">
        <v>254.56090909090909</v>
      </c>
      <c r="M157" s="617">
        <v>11</v>
      </c>
      <c r="N157" s="618">
        <v>2800.17</v>
      </c>
    </row>
    <row r="158" spans="1:14" ht="14.4" customHeight="1" x14ac:dyDescent="0.3">
      <c r="A158" s="613" t="s">
        <v>323</v>
      </c>
      <c r="B158" s="614" t="s">
        <v>1112</v>
      </c>
      <c r="C158" s="615" t="s">
        <v>340</v>
      </c>
      <c r="D158" s="616" t="s">
        <v>1113</v>
      </c>
      <c r="E158" s="615" t="s">
        <v>867</v>
      </c>
      <c r="F158" s="616" t="s">
        <v>1118</v>
      </c>
      <c r="G158" s="615" t="s">
        <v>770</v>
      </c>
      <c r="H158" s="615" t="s">
        <v>874</v>
      </c>
      <c r="I158" s="615" t="s">
        <v>874</v>
      </c>
      <c r="J158" s="615" t="s">
        <v>875</v>
      </c>
      <c r="K158" s="615" t="s">
        <v>876</v>
      </c>
      <c r="L158" s="617">
        <v>253.29891657587373</v>
      </c>
      <c r="M158" s="617">
        <v>12</v>
      </c>
      <c r="N158" s="618">
        <v>3039.5869989104849</v>
      </c>
    </row>
    <row r="159" spans="1:14" ht="14.4" customHeight="1" x14ac:dyDescent="0.3">
      <c r="A159" s="613" t="s">
        <v>323</v>
      </c>
      <c r="B159" s="614" t="s">
        <v>1112</v>
      </c>
      <c r="C159" s="615" t="s">
        <v>340</v>
      </c>
      <c r="D159" s="616" t="s">
        <v>1113</v>
      </c>
      <c r="E159" s="615" t="s">
        <v>867</v>
      </c>
      <c r="F159" s="616" t="s">
        <v>1118</v>
      </c>
      <c r="G159" s="615" t="s">
        <v>770</v>
      </c>
      <c r="H159" s="615" t="s">
        <v>877</v>
      </c>
      <c r="I159" s="615" t="s">
        <v>878</v>
      </c>
      <c r="J159" s="615" t="s">
        <v>879</v>
      </c>
      <c r="K159" s="615" t="s">
        <v>880</v>
      </c>
      <c r="L159" s="617">
        <v>198.88999999999996</v>
      </c>
      <c r="M159" s="617">
        <v>1</v>
      </c>
      <c r="N159" s="618">
        <v>198.88999999999996</v>
      </c>
    </row>
    <row r="160" spans="1:14" ht="14.4" customHeight="1" x14ac:dyDescent="0.3">
      <c r="A160" s="613" t="s">
        <v>323</v>
      </c>
      <c r="B160" s="614" t="s">
        <v>1112</v>
      </c>
      <c r="C160" s="615" t="s">
        <v>340</v>
      </c>
      <c r="D160" s="616" t="s">
        <v>1113</v>
      </c>
      <c r="E160" s="615" t="s">
        <v>867</v>
      </c>
      <c r="F160" s="616" t="s">
        <v>1118</v>
      </c>
      <c r="G160" s="615" t="s">
        <v>770</v>
      </c>
      <c r="H160" s="615" t="s">
        <v>881</v>
      </c>
      <c r="I160" s="615" t="s">
        <v>881</v>
      </c>
      <c r="J160" s="615" t="s">
        <v>875</v>
      </c>
      <c r="K160" s="615" t="s">
        <v>882</v>
      </c>
      <c r="L160" s="617">
        <v>278.4543081228195</v>
      </c>
      <c r="M160" s="617">
        <v>54</v>
      </c>
      <c r="N160" s="618">
        <v>15036.532638632252</v>
      </c>
    </row>
    <row r="161" spans="1:14" ht="14.4" customHeight="1" x14ac:dyDescent="0.3">
      <c r="A161" s="613" t="s">
        <v>323</v>
      </c>
      <c r="B161" s="614" t="s">
        <v>1112</v>
      </c>
      <c r="C161" s="615" t="s">
        <v>340</v>
      </c>
      <c r="D161" s="616" t="s">
        <v>1113</v>
      </c>
      <c r="E161" s="615" t="s">
        <v>883</v>
      </c>
      <c r="F161" s="616" t="s">
        <v>1119</v>
      </c>
      <c r="G161" s="615"/>
      <c r="H161" s="615" t="s">
        <v>884</v>
      </c>
      <c r="I161" s="615" t="s">
        <v>885</v>
      </c>
      <c r="J161" s="615" t="s">
        <v>886</v>
      </c>
      <c r="K161" s="615" t="s">
        <v>887</v>
      </c>
      <c r="L161" s="617">
        <v>84.74</v>
      </c>
      <c r="M161" s="617">
        <v>22</v>
      </c>
      <c r="N161" s="618">
        <v>1864.28</v>
      </c>
    </row>
    <row r="162" spans="1:14" ht="14.4" customHeight="1" x14ac:dyDescent="0.3">
      <c r="A162" s="613" t="s">
        <v>323</v>
      </c>
      <c r="B162" s="614" t="s">
        <v>1112</v>
      </c>
      <c r="C162" s="615" t="s">
        <v>340</v>
      </c>
      <c r="D162" s="616" t="s">
        <v>1113</v>
      </c>
      <c r="E162" s="615" t="s">
        <v>883</v>
      </c>
      <c r="F162" s="616" t="s">
        <v>1119</v>
      </c>
      <c r="G162" s="615"/>
      <c r="H162" s="615" t="s">
        <v>888</v>
      </c>
      <c r="I162" s="615" t="s">
        <v>889</v>
      </c>
      <c r="J162" s="615" t="s">
        <v>890</v>
      </c>
      <c r="K162" s="615" t="s">
        <v>891</v>
      </c>
      <c r="L162" s="617">
        <v>431.70600000000007</v>
      </c>
      <c r="M162" s="617">
        <v>0.2</v>
      </c>
      <c r="N162" s="618">
        <v>86.341200000000015</v>
      </c>
    </row>
    <row r="163" spans="1:14" ht="14.4" customHeight="1" x14ac:dyDescent="0.3">
      <c r="A163" s="613" t="s">
        <v>323</v>
      </c>
      <c r="B163" s="614" t="s">
        <v>1112</v>
      </c>
      <c r="C163" s="615" t="s">
        <v>340</v>
      </c>
      <c r="D163" s="616" t="s">
        <v>1113</v>
      </c>
      <c r="E163" s="615" t="s">
        <v>883</v>
      </c>
      <c r="F163" s="616" t="s">
        <v>1119</v>
      </c>
      <c r="G163" s="615"/>
      <c r="H163" s="615" t="s">
        <v>892</v>
      </c>
      <c r="I163" s="615" t="s">
        <v>893</v>
      </c>
      <c r="J163" s="615" t="s">
        <v>894</v>
      </c>
      <c r="K163" s="615" t="s">
        <v>895</v>
      </c>
      <c r="L163" s="617">
        <v>605.26800000000003</v>
      </c>
      <c r="M163" s="617">
        <v>0.25</v>
      </c>
      <c r="N163" s="618">
        <v>151.31700000000001</v>
      </c>
    </row>
    <row r="164" spans="1:14" ht="14.4" customHeight="1" x14ac:dyDescent="0.3">
      <c r="A164" s="613" t="s">
        <v>323</v>
      </c>
      <c r="B164" s="614" t="s">
        <v>1112</v>
      </c>
      <c r="C164" s="615" t="s">
        <v>340</v>
      </c>
      <c r="D164" s="616" t="s">
        <v>1113</v>
      </c>
      <c r="E164" s="615" t="s">
        <v>883</v>
      </c>
      <c r="F164" s="616" t="s">
        <v>1119</v>
      </c>
      <c r="G164" s="615"/>
      <c r="H164" s="615" t="s">
        <v>896</v>
      </c>
      <c r="I164" s="615" t="s">
        <v>896</v>
      </c>
      <c r="J164" s="615" t="s">
        <v>897</v>
      </c>
      <c r="K164" s="615" t="s">
        <v>898</v>
      </c>
      <c r="L164" s="617">
        <v>1771</v>
      </c>
      <c r="M164" s="617">
        <v>2.1</v>
      </c>
      <c r="N164" s="618">
        <v>3719.1000000000004</v>
      </c>
    </row>
    <row r="165" spans="1:14" ht="14.4" customHeight="1" x14ac:dyDescent="0.3">
      <c r="A165" s="613" t="s">
        <v>323</v>
      </c>
      <c r="B165" s="614" t="s">
        <v>1112</v>
      </c>
      <c r="C165" s="615" t="s">
        <v>340</v>
      </c>
      <c r="D165" s="616" t="s">
        <v>1113</v>
      </c>
      <c r="E165" s="615" t="s">
        <v>883</v>
      </c>
      <c r="F165" s="616" t="s">
        <v>1119</v>
      </c>
      <c r="G165" s="615" t="s">
        <v>356</v>
      </c>
      <c r="H165" s="615" t="s">
        <v>899</v>
      </c>
      <c r="I165" s="615" t="s">
        <v>900</v>
      </c>
      <c r="J165" s="615" t="s">
        <v>901</v>
      </c>
      <c r="K165" s="615" t="s">
        <v>902</v>
      </c>
      <c r="L165" s="617">
        <v>40.249895810979126</v>
      </c>
      <c r="M165" s="617">
        <v>21</v>
      </c>
      <c r="N165" s="618">
        <v>845.24781203056159</v>
      </c>
    </row>
    <row r="166" spans="1:14" ht="14.4" customHeight="1" x14ac:dyDescent="0.3">
      <c r="A166" s="613" t="s">
        <v>323</v>
      </c>
      <c r="B166" s="614" t="s">
        <v>1112</v>
      </c>
      <c r="C166" s="615" t="s">
        <v>340</v>
      </c>
      <c r="D166" s="616" t="s">
        <v>1113</v>
      </c>
      <c r="E166" s="615" t="s">
        <v>883</v>
      </c>
      <c r="F166" s="616" t="s">
        <v>1119</v>
      </c>
      <c r="G166" s="615" t="s">
        <v>356</v>
      </c>
      <c r="H166" s="615" t="s">
        <v>903</v>
      </c>
      <c r="I166" s="615" t="s">
        <v>904</v>
      </c>
      <c r="J166" s="615" t="s">
        <v>905</v>
      </c>
      <c r="K166" s="615" t="s">
        <v>390</v>
      </c>
      <c r="L166" s="617">
        <v>67.984545024609034</v>
      </c>
      <c r="M166" s="617">
        <v>11</v>
      </c>
      <c r="N166" s="618">
        <v>747.82999527069933</v>
      </c>
    </row>
    <row r="167" spans="1:14" ht="14.4" customHeight="1" x14ac:dyDescent="0.3">
      <c r="A167" s="613" t="s">
        <v>323</v>
      </c>
      <c r="B167" s="614" t="s">
        <v>1112</v>
      </c>
      <c r="C167" s="615" t="s">
        <v>340</v>
      </c>
      <c r="D167" s="616" t="s">
        <v>1113</v>
      </c>
      <c r="E167" s="615" t="s">
        <v>883</v>
      </c>
      <c r="F167" s="616" t="s">
        <v>1119</v>
      </c>
      <c r="G167" s="615" t="s">
        <v>356</v>
      </c>
      <c r="H167" s="615" t="s">
        <v>906</v>
      </c>
      <c r="I167" s="615" t="s">
        <v>907</v>
      </c>
      <c r="J167" s="615" t="s">
        <v>908</v>
      </c>
      <c r="K167" s="615" t="s">
        <v>909</v>
      </c>
      <c r="L167" s="617">
        <v>25.644964679886382</v>
      </c>
      <c r="M167" s="617">
        <v>4</v>
      </c>
      <c r="N167" s="618">
        <v>102.57985871954553</v>
      </c>
    </row>
    <row r="168" spans="1:14" ht="14.4" customHeight="1" x14ac:dyDescent="0.3">
      <c r="A168" s="613" t="s">
        <v>323</v>
      </c>
      <c r="B168" s="614" t="s">
        <v>1112</v>
      </c>
      <c r="C168" s="615" t="s">
        <v>340</v>
      </c>
      <c r="D168" s="616" t="s">
        <v>1113</v>
      </c>
      <c r="E168" s="615" t="s">
        <v>883</v>
      </c>
      <c r="F168" s="616" t="s">
        <v>1119</v>
      </c>
      <c r="G168" s="615" t="s">
        <v>356</v>
      </c>
      <c r="H168" s="615" t="s">
        <v>910</v>
      </c>
      <c r="I168" s="615" t="s">
        <v>911</v>
      </c>
      <c r="J168" s="615" t="s">
        <v>912</v>
      </c>
      <c r="K168" s="615" t="s">
        <v>913</v>
      </c>
      <c r="L168" s="617">
        <v>31.931918805338569</v>
      </c>
      <c r="M168" s="617">
        <v>5</v>
      </c>
      <c r="N168" s="618">
        <v>159.65959402669284</v>
      </c>
    </row>
    <row r="169" spans="1:14" ht="14.4" customHeight="1" x14ac:dyDescent="0.3">
      <c r="A169" s="613" t="s">
        <v>323</v>
      </c>
      <c r="B169" s="614" t="s">
        <v>1112</v>
      </c>
      <c r="C169" s="615" t="s">
        <v>340</v>
      </c>
      <c r="D169" s="616" t="s">
        <v>1113</v>
      </c>
      <c r="E169" s="615" t="s">
        <v>883</v>
      </c>
      <c r="F169" s="616" t="s">
        <v>1119</v>
      </c>
      <c r="G169" s="615" t="s">
        <v>356</v>
      </c>
      <c r="H169" s="615" t="s">
        <v>914</v>
      </c>
      <c r="I169" s="615" t="s">
        <v>915</v>
      </c>
      <c r="J169" s="615" t="s">
        <v>916</v>
      </c>
      <c r="K169" s="615" t="s">
        <v>917</v>
      </c>
      <c r="L169" s="617">
        <v>174.46958058104917</v>
      </c>
      <c r="M169" s="617">
        <v>2</v>
      </c>
      <c r="N169" s="618">
        <v>348.93916116209834</v>
      </c>
    </row>
    <row r="170" spans="1:14" ht="14.4" customHeight="1" x14ac:dyDescent="0.3">
      <c r="A170" s="613" t="s">
        <v>323</v>
      </c>
      <c r="B170" s="614" t="s">
        <v>1112</v>
      </c>
      <c r="C170" s="615" t="s">
        <v>340</v>
      </c>
      <c r="D170" s="616" t="s">
        <v>1113</v>
      </c>
      <c r="E170" s="615" t="s">
        <v>883</v>
      </c>
      <c r="F170" s="616" t="s">
        <v>1119</v>
      </c>
      <c r="G170" s="615" t="s">
        <v>356</v>
      </c>
      <c r="H170" s="615" t="s">
        <v>918</v>
      </c>
      <c r="I170" s="615" t="s">
        <v>919</v>
      </c>
      <c r="J170" s="615" t="s">
        <v>920</v>
      </c>
      <c r="K170" s="615" t="s">
        <v>921</v>
      </c>
      <c r="L170" s="617">
        <v>127.83000000000006</v>
      </c>
      <c r="M170" s="617">
        <v>6</v>
      </c>
      <c r="N170" s="618">
        <v>766.98000000000036</v>
      </c>
    </row>
    <row r="171" spans="1:14" ht="14.4" customHeight="1" x14ac:dyDescent="0.3">
      <c r="A171" s="613" t="s">
        <v>323</v>
      </c>
      <c r="B171" s="614" t="s">
        <v>1112</v>
      </c>
      <c r="C171" s="615" t="s">
        <v>340</v>
      </c>
      <c r="D171" s="616" t="s">
        <v>1113</v>
      </c>
      <c r="E171" s="615" t="s">
        <v>883</v>
      </c>
      <c r="F171" s="616" t="s">
        <v>1119</v>
      </c>
      <c r="G171" s="615" t="s">
        <v>356</v>
      </c>
      <c r="H171" s="615" t="s">
        <v>922</v>
      </c>
      <c r="I171" s="615" t="s">
        <v>923</v>
      </c>
      <c r="J171" s="615" t="s">
        <v>924</v>
      </c>
      <c r="K171" s="615" t="s">
        <v>921</v>
      </c>
      <c r="L171" s="617">
        <v>54.88000000000001</v>
      </c>
      <c r="M171" s="617">
        <v>2</v>
      </c>
      <c r="N171" s="618">
        <v>109.76000000000002</v>
      </c>
    </row>
    <row r="172" spans="1:14" ht="14.4" customHeight="1" x14ac:dyDescent="0.3">
      <c r="A172" s="613" t="s">
        <v>323</v>
      </c>
      <c r="B172" s="614" t="s">
        <v>1112</v>
      </c>
      <c r="C172" s="615" t="s">
        <v>340</v>
      </c>
      <c r="D172" s="616" t="s">
        <v>1113</v>
      </c>
      <c r="E172" s="615" t="s">
        <v>883</v>
      </c>
      <c r="F172" s="616" t="s">
        <v>1119</v>
      </c>
      <c r="G172" s="615" t="s">
        <v>356</v>
      </c>
      <c r="H172" s="615" t="s">
        <v>925</v>
      </c>
      <c r="I172" s="615" t="s">
        <v>926</v>
      </c>
      <c r="J172" s="615" t="s">
        <v>927</v>
      </c>
      <c r="K172" s="615" t="s">
        <v>928</v>
      </c>
      <c r="L172" s="617">
        <v>82.889898810863883</v>
      </c>
      <c r="M172" s="617">
        <v>8</v>
      </c>
      <c r="N172" s="618">
        <v>663.11919048691107</v>
      </c>
    </row>
    <row r="173" spans="1:14" ht="14.4" customHeight="1" x14ac:dyDescent="0.3">
      <c r="A173" s="613" t="s">
        <v>323</v>
      </c>
      <c r="B173" s="614" t="s">
        <v>1112</v>
      </c>
      <c r="C173" s="615" t="s">
        <v>340</v>
      </c>
      <c r="D173" s="616" t="s">
        <v>1113</v>
      </c>
      <c r="E173" s="615" t="s">
        <v>883</v>
      </c>
      <c r="F173" s="616" t="s">
        <v>1119</v>
      </c>
      <c r="G173" s="615" t="s">
        <v>356</v>
      </c>
      <c r="H173" s="615" t="s">
        <v>929</v>
      </c>
      <c r="I173" s="615" t="s">
        <v>930</v>
      </c>
      <c r="J173" s="615" t="s">
        <v>931</v>
      </c>
      <c r="K173" s="615" t="s">
        <v>932</v>
      </c>
      <c r="L173" s="617">
        <v>99.52048878683064</v>
      </c>
      <c r="M173" s="617">
        <v>32</v>
      </c>
      <c r="N173" s="618">
        <v>3184.6556411785805</v>
      </c>
    </row>
    <row r="174" spans="1:14" ht="14.4" customHeight="1" x14ac:dyDescent="0.3">
      <c r="A174" s="613" t="s">
        <v>323</v>
      </c>
      <c r="B174" s="614" t="s">
        <v>1112</v>
      </c>
      <c r="C174" s="615" t="s">
        <v>340</v>
      </c>
      <c r="D174" s="616" t="s">
        <v>1113</v>
      </c>
      <c r="E174" s="615" t="s">
        <v>883</v>
      </c>
      <c r="F174" s="616" t="s">
        <v>1119</v>
      </c>
      <c r="G174" s="615" t="s">
        <v>356</v>
      </c>
      <c r="H174" s="615" t="s">
        <v>933</v>
      </c>
      <c r="I174" s="615" t="s">
        <v>934</v>
      </c>
      <c r="J174" s="615" t="s">
        <v>935</v>
      </c>
      <c r="K174" s="615" t="s">
        <v>662</v>
      </c>
      <c r="L174" s="617">
        <v>73.53299003439902</v>
      </c>
      <c r="M174" s="617">
        <v>3</v>
      </c>
      <c r="N174" s="618">
        <v>220.59897010319708</v>
      </c>
    </row>
    <row r="175" spans="1:14" ht="14.4" customHeight="1" x14ac:dyDescent="0.3">
      <c r="A175" s="613" t="s">
        <v>323</v>
      </c>
      <c r="B175" s="614" t="s">
        <v>1112</v>
      </c>
      <c r="C175" s="615" t="s">
        <v>340</v>
      </c>
      <c r="D175" s="616" t="s">
        <v>1113</v>
      </c>
      <c r="E175" s="615" t="s">
        <v>883</v>
      </c>
      <c r="F175" s="616" t="s">
        <v>1119</v>
      </c>
      <c r="G175" s="615" t="s">
        <v>356</v>
      </c>
      <c r="H175" s="615" t="s">
        <v>936</v>
      </c>
      <c r="I175" s="615" t="s">
        <v>937</v>
      </c>
      <c r="J175" s="615" t="s">
        <v>938</v>
      </c>
      <c r="K175" s="615" t="s">
        <v>386</v>
      </c>
      <c r="L175" s="617">
        <v>73.439999999999984</v>
      </c>
      <c r="M175" s="617">
        <v>1</v>
      </c>
      <c r="N175" s="618">
        <v>73.439999999999984</v>
      </c>
    </row>
    <row r="176" spans="1:14" ht="14.4" customHeight="1" x14ac:dyDescent="0.3">
      <c r="A176" s="613" t="s">
        <v>323</v>
      </c>
      <c r="B176" s="614" t="s">
        <v>1112</v>
      </c>
      <c r="C176" s="615" t="s">
        <v>340</v>
      </c>
      <c r="D176" s="616" t="s">
        <v>1113</v>
      </c>
      <c r="E176" s="615" t="s">
        <v>883</v>
      </c>
      <c r="F176" s="616" t="s">
        <v>1119</v>
      </c>
      <c r="G176" s="615" t="s">
        <v>356</v>
      </c>
      <c r="H176" s="615" t="s">
        <v>939</v>
      </c>
      <c r="I176" s="615" t="s">
        <v>940</v>
      </c>
      <c r="J176" s="615" t="s">
        <v>941</v>
      </c>
      <c r="K176" s="615" t="s">
        <v>390</v>
      </c>
      <c r="L176" s="617">
        <v>63</v>
      </c>
      <c r="M176" s="617">
        <v>2</v>
      </c>
      <c r="N176" s="618">
        <v>126</v>
      </c>
    </row>
    <row r="177" spans="1:14" ht="14.4" customHeight="1" x14ac:dyDescent="0.3">
      <c r="A177" s="613" t="s">
        <v>323</v>
      </c>
      <c r="B177" s="614" t="s">
        <v>1112</v>
      </c>
      <c r="C177" s="615" t="s">
        <v>340</v>
      </c>
      <c r="D177" s="616" t="s">
        <v>1113</v>
      </c>
      <c r="E177" s="615" t="s">
        <v>883</v>
      </c>
      <c r="F177" s="616" t="s">
        <v>1119</v>
      </c>
      <c r="G177" s="615" t="s">
        <v>356</v>
      </c>
      <c r="H177" s="615" t="s">
        <v>942</v>
      </c>
      <c r="I177" s="615" t="s">
        <v>942</v>
      </c>
      <c r="J177" s="615" t="s">
        <v>943</v>
      </c>
      <c r="K177" s="615" t="s">
        <v>944</v>
      </c>
      <c r="L177" s="617">
        <v>1116.5</v>
      </c>
      <c r="M177" s="617">
        <v>1.7999999999999998</v>
      </c>
      <c r="N177" s="618">
        <v>2009.6999999999998</v>
      </c>
    </row>
    <row r="178" spans="1:14" ht="14.4" customHeight="1" x14ac:dyDescent="0.3">
      <c r="A178" s="613" t="s">
        <v>323</v>
      </c>
      <c r="B178" s="614" t="s">
        <v>1112</v>
      </c>
      <c r="C178" s="615" t="s">
        <v>340</v>
      </c>
      <c r="D178" s="616" t="s">
        <v>1113</v>
      </c>
      <c r="E178" s="615" t="s">
        <v>883</v>
      </c>
      <c r="F178" s="616" t="s">
        <v>1119</v>
      </c>
      <c r="G178" s="615" t="s">
        <v>356</v>
      </c>
      <c r="H178" s="615" t="s">
        <v>945</v>
      </c>
      <c r="I178" s="615" t="s">
        <v>946</v>
      </c>
      <c r="J178" s="615" t="s">
        <v>947</v>
      </c>
      <c r="K178" s="615" t="s">
        <v>948</v>
      </c>
      <c r="L178" s="617">
        <v>133.50000000000006</v>
      </c>
      <c r="M178" s="617">
        <v>1</v>
      </c>
      <c r="N178" s="618">
        <v>133.50000000000006</v>
      </c>
    </row>
    <row r="179" spans="1:14" ht="14.4" customHeight="1" x14ac:dyDescent="0.3">
      <c r="A179" s="613" t="s">
        <v>323</v>
      </c>
      <c r="B179" s="614" t="s">
        <v>1112</v>
      </c>
      <c r="C179" s="615" t="s">
        <v>340</v>
      </c>
      <c r="D179" s="616" t="s">
        <v>1113</v>
      </c>
      <c r="E179" s="615" t="s">
        <v>883</v>
      </c>
      <c r="F179" s="616" t="s">
        <v>1119</v>
      </c>
      <c r="G179" s="615" t="s">
        <v>356</v>
      </c>
      <c r="H179" s="615" t="s">
        <v>949</v>
      </c>
      <c r="I179" s="615" t="s">
        <v>949</v>
      </c>
      <c r="J179" s="615" t="s">
        <v>950</v>
      </c>
      <c r="K179" s="615" t="s">
        <v>951</v>
      </c>
      <c r="L179" s="617">
        <v>373.08298073258436</v>
      </c>
      <c r="M179" s="617">
        <v>2.4</v>
      </c>
      <c r="N179" s="618">
        <v>895.39915375820249</v>
      </c>
    </row>
    <row r="180" spans="1:14" ht="14.4" customHeight="1" x14ac:dyDescent="0.3">
      <c r="A180" s="613" t="s">
        <v>323</v>
      </c>
      <c r="B180" s="614" t="s">
        <v>1112</v>
      </c>
      <c r="C180" s="615" t="s">
        <v>340</v>
      </c>
      <c r="D180" s="616" t="s">
        <v>1113</v>
      </c>
      <c r="E180" s="615" t="s">
        <v>883</v>
      </c>
      <c r="F180" s="616" t="s">
        <v>1119</v>
      </c>
      <c r="G180" s="615" t="s">
        <v>356</v>
      </c>
      <c r="H180" s="615" t="s">
        <v>952</v>
      </c>
      <c r="I180" s="615" t="s">
        <v>952</v>
      </c>
      <c r="J180" s="615" t="s">
        <v>953</v>
      </c>
      <c r="K180" s="615" t="s">
        <v>954</v>
      </c>
      <c r="L180" s="617">
        <v>169.78999999999996</v>
      </c>
      <c r="M180" s="617">
        <v>1.3999999999999997</v>
      </c>
      <c r="N180" s="618">
        <v>237.7059999999999</v>
      </c>
    </row>
    <row r="181" spans="1:14" ht="14.4" customHeight="1" x14ac:dyDescent="0.3">
      <c r="A181" s="613" t="s">
        <v>323</v>
      </c>
      <c r="B181" s="614" t="s">
        <v>1112</v>
      </c>
      <c r="C181" s="615" t="s">
        <v>340</v>
      </c>
      <c r="D181" s="616" t="s">
        <v>1113</v>
      </c>
      <c r="E181" s="615" t="s">
        <v>883</v>
      </c>
      <c r="F181" s="616" t="s">
        <v>1119</v>
      </c>
      <c r="G181" s="615" t="s">
        <v>770</v>
      </c>
      <c r="H181" s="615" t="s">
        <v>955</v>
      </c>
      <c r="I181" s="615" t="s">
        <v>956</v>
      </c>
      <c r="J181" s="615" t="s">
        <v>957</v>
      </c>
      <c r="K181" s="615" t="s">
        <v>958</v>
      </c>
      <c r="L181" s="617">
        <v>115.0841727331136</v>
      </c>
      <c r="M181" s="617">
        <v>119</v>
      </c>
      <c r="N181" s="618">
        <v>13695.01655524052</v>
      </c>
    </row>
    <row r="182" spans="1:14" ht="14.4" customHeight="1" x14ac:dyDescent="0.3">
      <c r="A182" s="613" t="s">
        <v>323</v>
      </c>
      <c r="B182" s="614" t="s">
        <v>1112</v>
      </c>
      <c r="C182" s="615" t="s">
        <v>340</v>
      </c>
      <c r="D182" s="616" t="s">
        <v>1113</v>
      </c>
      <c r="E182" s="615" t="s">
        <v>883</v>
      </c>
      <c r="F182" s="616" t="s">
        <v>1119</v>
      </c>
      <c r="G182" s="615" t="s">
        <v>770</v>
      </c>
      <c r="H182" s="615" t="s">
        <v>959</v>
      </c>
      <c r="I182" s="615" t="s">
        <v>960</v>
      </c>
      <c r="J182" s="615" t="s">
        <v>916</v>
      </c>
      <c r="K182" s="615" t="s">
        <v>961</v>
      </c>
      <c r="L182" s="617">
        <v>20.03</v>
      </c>
      <c r="M182" s="617">
        <v>18</v>
      </c>
      <c r="N182" s="618">
        <v>360.54</v>
      </c>
    </row>
    <row r="183" spans="1:14" ht="14.4" customHeight="1" x14ac:dyDescent="0.3">
      <c r="A183" s="613" t="s">
        <v>323</v>
      </c>
      <c r="B183" s="614" t="s">
        <v>1112</v>
      </c>
      <c r="C183" s="615" t="s">
        <v>340</v>
      </c>
      <c r="D183" s="616" t="s">
        <v>1113</v>
      </c>
      <c r="E183" s="615" t="s">
        <v>883</v>
      </c>
      <c r="F183" s="616" t="s">
        <v>1119</v>
      </c>
      <c r="G183" s="615" t="s">
        <v>770</v>
      </c>
      <c r="H183" s="615" t="s">
        <v>962</v>
      </c>
      <c r="I183" s="615" t="s">
        <v>963</v>
      </c>
      <c r="J183" s="615" t="s">
        <v>964</v>
      </c>
      <c r="K183" s="615" t="s">
        <v>965</v>
      </c>
      <c r="L183" s="617">
        <v>598.84</v>
      </c>
      <c r="M183" s="617">
        <v>4</v>
      </c>
      <c r="N183" s="618">
        <v>2395.36</v>
      </c>
    </row>
    <row r="184" spans="1:14" ht="14.4" customHeight="1" x14ac:dyDescent="0.3">
      <c r="A184" s="613" t="s">
        <v>323</v>
      </c>
      <c r="B184" s="614" t="s">
        <v>1112</v>
      </c>
      <c r="C184" s="615" t="s">
        <v>340</v>
      </c>
      <c r="D184" s="616" t="s">
        <v>1113</v>
      </c>
      <c r="E184" s="615" t="s">
        <v>883</v>
      </c>
      <c r="F184" s="616" t="s">
        <v>1119</v>
      </c>
      <c r="G184" s="615" t="s">
        <v>770</v>
      </c>
      <c r="H184" s="615" t="s">
        <v>966</v>
      </c>
      <c r="I184" s="615" t="s">
        <v>967</v>
      </c>
      <c r="J184" s="615" t="s">
        <v>968</v>
      </c>
      <c r="K184" s="615" t="s">
        <v>969</v>
      </c>
      <c r="L184" s="617">
        <v>76.515273119455188</v>
      </c>
      <c r="M184" s="617">
        <v>135.20000000000002</v>
      </c>
      <c r="N184" s="618">
        <v>10344.864925750342</v>
      </c>
    </row>
    <row r="185" spans="1:14" ht="14.4" customHeight="1" x14ac:dyDescent="0.3">
      <c r="A185" s="613" t="s">
        <v>323</v>
      </c>
      <c r="B185" s="614" t="s">
        <v>1112</v>
      </c>
      <c r="C185" s="615" t="s">
        <v>340</v>
      </c>
      <c r="D185" s="616" t="s">
        <v>1113</v>
      </c>
      <c r="E185" s="615" t="s">
        <v>883</v>
      </c>
      <c r="F185" s="616" t="s">
        <v>1119</v>
      </c>
      <c r="G185" s="615" t="s">
        <v>770</v>
      </c>
      <c r="H185" s="615" t="s">
        <v>970</v>
      </c>
      <c r="I185" s="615" t="s">
        <v>970</v>
      </c>
      <c r="J185" s="615" t="s">
        <v>971</v>
      </c>
      <c r="K185" s="615" t="s">
        <v>972</v>
      </c>
      <c r="L185" s="617">
        <v>517</v>
      </c>
      <c r="M185" s="617">
        <v>6.3000000000000007</v>
      </c>
      <c r="N185" s="618">
        <v>3257.1000000000004</v>
      </c>
    </row>
    <row r="186" spans="1:14" ht="14.4" customHeight="1" x14ac:dyDescent="0.3">
      <c r="A186" s="613" t="s">
        <v>323</v>
      </c>
      <c r="B186" s="614" t="s">
        <v>1112</v>
      </c>
      <c r="C186" s="615" t="s">
        <v>340</v>
      </c>
      <c r="D186" s="616" t="s">
        <v>1113</v>
      </c>
      <c r="E186" s="615" t="s">
        <v>883</v>
      </c>
      <c r="F186" s="616" t="s">
        <v>1119</v>
      </c>
      <c r="G186" s="615" t="s">
        <v>770</v>
      </c>
      <c r="H186" s="615" t="s">
        <v>973</v>
      </c>
      <c r="I186" s="615" t="s">
        <v>973</v>
      </c>
      <c r="J186" s="615" t="s">
        <v>974</v>
      </c>
      <c r="K186" s="615" t="s">
        <v>975</v>
      </c>
      <c r="L186" s="617">
        <v>462</v>
      </c>
      <c r="M186" s="617">
        <v>2.1</v>
      </c>
      <c r="N186" s="618">
        <v>970.2</v>
      </c>
    </row>
    <row r="187" spans="1:14" ht="14.4" customHeight="1" x14ac:dyDescent="0.3">
      <c r="A187" s="613" t="s">
        <v>323</v>
      </c>
      <c r="B187" s="614" t="s">
        <v>1112</v>
      </c>
      <c r="C187" s="615" t="s">
        <v>340</v>
      </c>
      <c r="D187" s="616" t="s">
        <v>1113</v>
      </c>
      <c r="E187" s="615" t="s">
        <v>883</v>
      </c>
      <c r="F187" s="616" t="s">
        <v>1119</v>
      </c>
      <c r="G187" s="615" t="s">
        <v>770</v>
      </c>
      <c r="H187" s="615" t="s">
        <v>976</v>
      </c>
      <c r="I187" s="615" t="s">
        <v>976</v>
      </c>
      <c r="J187" s="615" t="s">
        <v>977</v>
      </c>
      <c r="K187" s="615" t="s">
        <v>978</v>
      </c>
      <c r="L187" s="617">
        <v>217.8</v>
      </c>
      <c r="M187" s="617">
        <v>1.4</v>
      </c>
      <c r="N187" s="618">
        <v>304.92</v>
      </c>
    </row>
    <row r="188" spans="1:14" ht="14.4" customHeight="1" x14ac:dyDescent="0.3">
      <c r="A188" s="613" t="s">
        <v>323</v>
      </c>
      <c r="B188" s="614" t="s">
        <v>1112</v>
      </c>
      <c r="C188" s="615" t="s">
        <v>340</v>
      </c>
      <c r="D188" s="616" t="s">
        <v>1113</v>
      </c>
      <c r="E188" s="615" t="s">
        <v>883</v>
      </c>
      <c r="F188" s="616" t="s">
        <v>1119</v>
      </c>
      <c r="G188" s="615" t="s">
        <v>770</v>
      </c>
      <c r="H188" s="615" t="s">
        <v>979</v>
      </c>
      <c r="I188" s="615" t="s">
        <v>980</v>
      </c>
      <c r="J188" s="615" t="s">
        <v>981</v>
      </c>
      <c r="K188" s="615" t="s">
        <v>982</v>
      </c>
      <c r="L188" s="617">
        <v>357.25235361580235</v>
      </c>
      <c r="M188" s="617">
        <v>17</v>
      </c>
      <c r="N188" s="618">
        <v>6073.2900114686399</v>
      </c>
    </row>
    <row r="189" spans="1:14" ht="14.4" customHeight="1" x14ac:dyDescent="0.3">
      <c r="A189" s="613" t="s">
        <v>323</v>
      </c>
      <c r="B189" s="614" t="s">
        <v>1112</v>
      </c>
      <c r="C189" s="615" t="s">
        <v>340</v>
      </c>
      <c r="D189" s="616" t="s">
        <v>1113</v>
      </c>
      <c r="E189" s="615" t="s">
        <v>983</v>
      </c>
      <c r="F189" s="616" t="s">
        <v>1120</v>
      </c>
      <c r="G189" s="615" t="s">
        <v>356</v>
      </c>
      <c r="H189" s="615" t="s">
        <v>984</v>
      </c>
      <c r="I189" s="615" t="s">
        <v>985</v>
      </c>
      <c r="J189" s="615" t="s">
        <v>986</v>
      </c>
      <c r="K189" s="615" t="s">
        <v>987</v>
      </c>
      <c r="L189" s="617">
        <v>1751.7200000000009</v>
      </c>
      <c r="M189" s="617">
        <v>1</v>
      </c>
      <c r="N189" s="618">
        <v>1751.7200000000009</v>
      </c>
    </row>
    <row r="190" spans="1:14" ht="14.4" customHeight="1" x14ac:dyDescent="0.3">
      <c r="A190" s="613" t="s">
        <v>323</v>
      </c>
      <c r="B190" s="614" t="s">
        <v>1112</v>
      </c>
      <c r="C190" s="615" t="s">
        <v>340</v>
      </c>
      <c r="D190" s="616" t="s">
        <v>1113</v>
      </c>
      <c r="E190" s="615" t="s">
        <v>983</v>
      </c>
      <c r="F190" s="616" t="s">
        <v>1120</v>
      </c>
      <c r="G190" s="615" t="s">
        <v>770</v>
      </c>
      <c r="H190" s="615" t="s">
        <v>988</v>
      </c>
      <c r="I190" s="615" t="s">
        <v>989</v>
      </c>
      <c r="J190" s="615" t="s">
        <v>990</v>
      </c>
      <c r="K190" s="615" t="s">
        <v>991</v>
      </c>
      <c r="L190" s="617">
        <v>2997.3799999999997</v>
      </c>
      <c r="M190" s="617">
        <v>20</v>
      </c>
      <c r="N190" s="618">
        <v>59947.599999999991</v>
      </c>
    </row>
    <row r="191" spans="1:14" ht="14.4" customHeight="1" x14ac:dyDescent="0.3">
      <c r="A191" s="613" t="s">
        <v>323</v>
      </c>
      <c r="B191" s="614" t="s">
        <v>1112</v>
      </c>
      <c r="C191" s="615" t="s">
        <v>340</v>
      </c>
      <c r="D191" s="616" t="s">
        <v>1113</v>
      </c>
      <c r="E191" s="615" t="s">
        <v>983</v>
      </c>
      <c r="F191" s="616" t="s">
        <v>1120</v>
      </c>
      <c r="G191" s="615" t="s">
        <v>770</v>
      </c>
      <c r="H191" s="615" t="s">
        <v>992</v>
      </c>
      <c r="I191" s="615" t="s">
        <v>992</v>
      </c>
      <c r="J191" s="615" t="s">
        <v>993</v>
      </c>
      <c r="K191" s="615" t="s">
        <v>994</v>
      </c>
      <c r="L191" s="617">
        <v>159.49999999999997</v>
      </c>
      <c r="M191" s="617">
        <v>2.2000000000000002</v>
      </c>
      <c r="N191" s="618">
        <v>350.9</v>
      </c>
    </row>
    <row r="192" spans="1:14" ht="14.4" customHeight="1" x14ac:dyDescent="0.3">
      <c r="A192" s="613" t="s">
        <v>323</v>
      </c>
      <c r="B192" s="614" t="s">
        <v>1112</v>
      </c>
      <c r="C192" s="615" t="s">
        <v>340</v>
      </c>
      <c r="D192" s="616" t="s">
        <v>1113</v>
      </c>
      <c r="E192" s="615" t="s">
        <v>983</v>
      </c>
      <c r="F192" s="616" t="s">
        <v>1120</v>
      </c>
      <c r="G192" s="615" t="s">
        <v>770</v>
      </c>
      <c r="H192" s="615" t="s">
        <v>995</v>
      </c>
      <c r="I192" s="615" t="s">
        <v>995</v>
      </c>
      <c r="J192" s="615" t="s">
        <v>993</v>
      </c>
      <c r="K192" s="615" t="s">
        <v>996</v>
      </c>
      <c r="L192" s="617">
        <v>308</v>
      </c>
      <c r="M192" s="617">
        <v>0.2</v>
      </c>
      <c r="N192" s="618">
        <v>61.6</v>
      </c>
    </row>
    <row r="193" spans="1:14" ht="14.4" customHeight="1" x14ac:dyDescent="0.3">
      <c r="A193" s="613" t="s">
        <v>323</v>
      </c>
      <c r="B193" s="614" t="s">
        <v>1112</v>
      </c>
      <c r="C193" s="615" t="s">
        <v>340</v>
      </c>
      <c r="D193" s="616" t="s">
        <v>1113</v>
      </c>
      <c r="E193" s="615" t="s">
        <v>997</v>
      </c>
      <c r="F193" s="616" t="s">
        <v>1121</v>
      </c>
      <c r="G193" s="615"/>
      <c r="H193" s="615"/>
      <c r="I193" s="615" t="s">
        <v>998</v>
      </c>
      <c r="J193" s="615" t="s">
        <v>999</v>
      </c>
      <c r="K193" s="615"/>
      <c r="L193" s="617">
        <v>8505.39</v>
      </c>
      <c r="M193" s="617">
        <v>1</v>
      </c>
      <c r="N193" s="618">
        <v>8505.39</v>
      </c>
    </row>
    <row r="194" spans="1:14" ht="14.4" customHeight="1" x14ac:dyDescent="0.3">
      <c r="A194" s="613" t="s">
        <v>323</v>
      </c>
      <c r="B194" s="614" t="s">
        <v>1112</v>
      </c>
      <c r="C194" s="615" t="s">
        <v>340</v>
      </c>
      <c r="D194" s="616" t="s">
        <v>1113</v>
      </c>
      <c r="E194" s="615" t="s">
        <v>997</v>
      </c>
      <c r="F194" s="616" t="s">
        <v>1121</v>
      </c>
      <c r="G194" s="615"/>
      <c r="H194" s="615"/>
      <c r="I194" s="615" t="s">
        <v>1000</v>
      </c>
      <c r="J194" s="615" t="s">
        <v>1001</v>
      </c>
      <c r="K194" s="615"/>
      <c r="L194" s="617">
        <v>3827.43</v>
      </c>
      <c r="M194" s="617">
        <v>2</v>
      </c>
      <c r="N194" s="618">
        <v>7654.86</v>
      </c>
    </row>
    <row r="195" spans="1:14" ht="14.4" customHeight="1" x14ac:dyDescent="0.3">
      <c r="A195" s="613" t="s">
        <v>323</v>
      </c>
      <c r="B195" s="614" t="s">
        <v>1112</v>
      </c>
      <c r="C195" s="615" t="s">
        <v>340</v>
      </c>
      <c r="D195" s="616" t="s">
        <v>1113</v>
      </c>
      <c r="E195" s="615" t="s">
        <v>997</v>
      </c>
      <c r="F195" s="616" t="s">
        <v>1121</v>
      </c>
      <c r="G195" s="615"/>
      <c r="H195" s="615"/>
      <c r="I195" s="615" t="s">
        <v>1002</v>
      </c>
      <c r="J195" s="615" t="s">
        <v>1003</v>
      </c>
      <c r="K195" s="615"/>
      <c r="L195" s="617">
        <v>4942.163333333333</v>
      </c>
      <c r="M195" s="617">
        <v>15</v>
      </c>
      <c r="N195" s="618">
        <v>74132.45</v>
      </c>
    </row>
    <row r="196" spans="1:14" ht="14.4" customHeight="1" x14ac:dyDescent="0.3">
      <c r="A196" s="613" t="s">
        <v>323</v>
      </c>
      <c r="B196" s="614" t="s">
        <v>1112</v>
      </c>
      <c r="C196" s="615" t="s">
        <v>343</v>
      </c>
      <c r="D196" s="616" t="s">
        <v>1114</v>
      </c>
      <c r="E196" s="615" t="s">
        <v>352</v>
      </c>
      <c r="F196" s="616" t="s">
        <v>1117</v>
      </c>
      <c r="G196" s="615" t="s">
        <v>356</v>
      </c>
      <c r="H196" s="615" t="s">
        <v>357</v>
      </c>
      <c r="I196" s="615" t="s">
        <v>357</v>
      </c>
      <c r="J196" s="615" t="s">
        <v>358</v>
      </c>
      <c r="K196" s="615" t="s">
        <v>359</v>
      </c>
      <c r="L196" s="617">
        <v>171.6</v>
      </c>
      <c r="M196" s="617">
        <v>2</v>
      </c>
      <c r="N196" s="618">
        <v>343.2</v>
      </c>
    </row>
    <row r="197" spans="1:14" ht="14.4" customHeight="1" x14ac:dyDescent="0.3">
      <c r="A197" s="613" t="s">
        <v>323</v>
      </c>
      <c r="B197" s="614" t="s">
        <v>1112</v>
      </c>
      <c r="C197" s="615" t="s">
        <v>343</v>
      </c>
      <c r="D197" s="616" t="s">
        <v>1114</v>
      </c>
      <c r="E197" s="615" t="s">
        <v>352</v>
      </c>
      <c r="F197" s="616" t="s">
        <v>1117</v>
      </c>
      <c r="G197" s="615" t="s">
        <v>356</v>
      </c>
      <c r="H197" s="615" t="s">
        <v>367</v>
      </c>
      <c r="I197" s="615" t="s">
        <v>368</v>
      </c>
      <c r="J197" s="615" t="s">
        <v>369</v>
      </c>
      <c r="K197" s="615" t="s">
        <v>370</v>
      </c>
      <c r="L197" s="617">
        <v>87.2</v>
      </c>
      <c r="M197" s="617">
        <v>2</v>
      </c>
      <c r="N197" s="618">
        <v>174.4</v>
      </c>
    </row>
    <row r="198" spans="1:14" ht="14.4" customHeight="1" x14ac:dyDescent="0.3">
      <c r="A198" s="613" t="s">
        <v>323</v>
      </c>
      <c r="B198" s="614" t="s">
        <v>1112</v>
      </c>
      <c r="C198" s="615" t="s">
        <v>343</v>
      </c>
      <c r="D198" s="616" t="s">
        <v>1114</v>
      </c>
      <c r="E198" s="615" t="s">
        <v>352</v>
      </c>
      <c r="F198" s="616" t="s">
        <v>1117</v>
      </c>
      <c r="G198" s="615" t="s">
        <v>356</v>
      </c>
      <c r="H198" s="615" t="s">
        <v>371</v>
      </c>
      <c r="I198" s="615" t="s">
        <v>372</v>
      </c>
      <c r="J198" s="615" t="s">
        <v>373</v>
      </c>
      <c r="K198" s="615" t="s">
        <v>374</v>
      </c>
      <c r="L198" s="617">
        <v>96.818566563545943</v>
      </c>
      <c r="M198" s="617">
        <v>2</v>
      </c>
      <c r="N198" s="618">
        <v>193.63713312709189</v>
      </c>
    </row>
    <row r="199" spans="1:14" ht="14.4" customHeight="1" x14ac:dyDescent="0.3">
      <c r="A199" s="613" t="s">
        <v>323</v>
      </c>
      <c r="B199" s="614" t="s">
        <v>1112</v>
      </c>
      <c r="C199" s="615" t="s">
        <v>343</v>
      </c>
      <c r="D199" s="616" t="s">
        <v>1114</v>
      </c>
      <c r="E199" s="615" t="s">
        <v>352</v>
      </c>
      <c r="F199" s="616" t="s">
        <v>1117</v>
      </c>
      <c r="G199" s="615" t="s">
        <v>356</v>
      </c>
      <c r="H199" s="615" t="s">
        <v>1004</v>
      </c>
      <c r="I199" s="615" t="s">
        <v>1005</v>
      </c>
      <c r="J199" s="615" t="s">
        <v>1006</v>
      </c>
      <c r="K199" s="615" t="s">
        <v>1007</v>
      </c>
      <c r="L199" s="617">
        <v>63.970000000000006</v>
      </c>
      <c r="M199" s="617">
        <v>1</v>
      </c>
      <c r="N199" s="618">
        <v>63.970000000000006</v>
      </c>
    </row>
    <row r="200" spans="1:14" ht="14.4" customHeight="1" x14ac:dyDescent="0.3">
      <c r="A200" s="613" t="s">
        <v>323</v>
      </c>
      <c r="B200" s="614" t="s">
        <v>1112</v>
      </c>
      <c r="C200" s="615" t="s">
        <v>343</v>
      </c>
      <c r="D200" s="616" t="s">
        <v>1114</v>
      </c>
      <c r="E200" s="615" t="s">
        <v>352</v>
      </c>
      <c r="F200" s="616" t="s">
        <v>1117</v>
      </c>
      <c r="G200" s="615" t="s">
        <v>356</v>
      </c>
      <c r="H200" s="615" t="s">
        <v>425</v>
      </c>
      <c r="I200" s="615" t="s">
        <v>425</v>
      </c>
      <c r="J200" s="615" t="s">
        <v>426</v>
      </c>
      <c r="K200" s="615" t="s">
        <v>427</v>
      </c>
      <c r="L200" s="617">
        <v>36.529933536904146</v>
      </c>
      <c r="M200" s="617">
        <v>1</v>
      </c>
      <c r="N200" s="618">
        <v>36.529933536904146</v>
      </c>
    </row>
    <row r="201" spans="1:14" ht="14.4" customHeight="1" x14ac:dyDescent="0.3">
      <c r="A201" s="613" t="s">
        <v>323</v>
      </c>
      <c r="B201" s="614" t="s">
        <v>1112</v>
      </c>
      <c r="C201" s="615" t="s">
        <v>343</v>
      </c>
      <c r="D201" s="616" t="s">
        <v>1114</v>
      </c>
      <c r="E201" s="615" t="s">
        <v>352</v>
      </c>
      <c r="F201" s="616" t="s">
        <v>1117</v>
      </c>
      <c r="G201" s="615" t="s">
        <v>356</v>
      </c>
      <c r="H201" s="615" t="s">
        <v>533</v>
      </c>
      <c r="I201" s="615" t="s">
        <v>534</v>
      </c>
      <c r="J201" s="615" t="s">
        <v>535</v>
      </c>
      <c r="K201" s="615" t="s">
        <v>536</v>
      </c>
      <c r="L201" s="617">
        <v>18.225934758821843</v>
      </c>
      <c r="M201" s="617">
        <v>5</v>
      </c>
      <c r="N201" s="618">
        <v>91.129673794109209</v>
      </c>
    </row>
    <row r="202" spans="1:14" ht="14.4" customHeight="1" x14ac:dyDescent="0.3">
      <c r="A202" s="613" t="s">
        <v>323</v>
      </c>
      <c r="B202" s="614" t="s">
        <v>1112</v>
      </c>
      <c r="C202" s="615" t="s">
        <v>343</v>
      </c>
      <c r="D202" s="616" t="s">
        <v>1114</v>
      </c>
      <c r="E202" s="615" t="s">
        <v>352</v>
      </c>
      <c r="F202" s="616" t="s">
        <v>1117</v>
      </c>
      <c r="G202" s="615" t="s">
        <v>356</v>
      </c>
      <c r="H202" s="615" t="s">
        <v>1008</v>
      </c>
      <c r="I202" s="615" t="s">
        <v>208</v>
      </c>
      <c r="J202" s="615" t="s">
        <v>1009</v>
      </c>
      <c r="K202" s="615"/>
      <c r="L202" s="617">
        <v>191.131</v>
      </c>
      <c r="M202" s="617">
        <v>1</v>
      </c>
      <c r="N202" s="618">
        <v>191.131</v>
      </c>
    </row>
    <row r="203" spans="1:14" ht="14.4" customHeight="1" x14ac:dyDescent="0.3">
      <c r="A203" s="613" t="s">
        <v>323</v>
      </c>
      <c r="B203" s="614" t="s">
        <v>1112</v>
      </c>
      <c r="C203" s="615" t="s">
        <v>343</v>
      </c>
      <c r="D203" s="616" t="s">
        <v>1114</v>
      </c>
      <c r="E203" s="615" t="s">
        <v>352</v>
      </c>
      <c r="F203" s="616" t="s">
        <v>1117</v>
      </c>
      <c r="G203" s="615" t="s">
        <v>356</v>
      </c>
      <c r="H203" s="615" t="s">
        <v>585</v>
      </c>
      <c r="I203" s="615" t="s">
        <v>586</v>
      </c>
      <c r="J203" s="615" t="s">
        <v>587</v>
      </c>
      <c r="K203" s="615" t="s">
        <v>588</v>
      </c>
      <c r="L203" s="617">
        <v>52.169999999999987</v>
      </c>
      <c r="M203" s="617">
        <v>2</v>
      </c>
      <c r="N203" s="618">
        <v>104.33999999999997</v>
      </c>
    </row>
    <row r="204" spans="1:14" ht="14.4" customHeight="1" x14ac:dyDescent="0.3">
      <c r="A204" s="613" t="s">
        <v>323</v>
      </c>
      <c r="B204" s="614" t="s">
        <v>1112</v>
      </c>
      <c r="C204" s="615" t="s">
        <v>343</v>
      </c>
      <c r="D204" s="616" t="s">
        <v>1114</v>
      </c>
      <c r="E204" s="615" t="s">
        <v>352</v>
      </c>
      <c r="F204" s="616" t="s">
        <v>1117</v>
      </c>
      <c r="G204" s="615" t="s">
        <v>356</v>
      </c>
      <c r="H204" s="615" t="s">
        <v>613</v>
      </c>
      <c r="I204" s="615" t="s">
        <v>614</v>
      </c>
      <c r="J204" s="615" t="s">
        <v>615</v>
      </c>
      <c r="K204" s="615" t="s">
        <v>616</v>
      </c>
      <c r="L204" s="617">
        <v>152.18509291503685</v>
      </c>
      <c r="M204" s="617">
        <v>475</v>
      </c>
      <c r="N204" s="618">
        <v>72287.919134642507</v>
      </c>
    </row>
    <row r="205" spans="1:14" ht="14.4" customHeight="1" x14ac:dyDescent="0.3">
      <c r="A205" s="613" t="s">
        <v>323</v>
      </c>
      <c r="B205" s="614" t="s">
        <v>1112</v>
      </c>
      <c r="C205" s="615" t="s">
        <v>343</v>
      </c>
      <c r="D205" s="616" t="s">
        <v>1114</v>
      </c>
      <c r="E205" s="615" t="s">
        <v>352</v>
      </c>
      <c r="F205" s="616" t="s">
        <v>1117</v>
      </c>
      <c r="G205" s="615" t="s">
        <v>356</v>
      </c>
      <c r="H205" s="615" t="s">
        <v>625</v>
      </c>
      <c r="I205" s="615" t="s">
        <v>626</v>
      </c>
      <c r="J205" s="615" t="s">
        <v>627</v>
      </c>
      <c r="K205" s="615" t="s">
        <v>628</v>
      </c>
      <c r="L205" s="617">
        <v>102.28000000000003</v>
      </c>
      <c r="M205" s="617">
        <v>2</v>
      </c>
      <c r="N205" s="618">
        <v>204.56000000000006</v>
      </c>
    </row>
    <row r="206" spans="1:14" ht="14.4" customHeight="1" x14ac:dyDescent="0.3">
      <c r="A206" s="613" t="s">
        <v>323</v>
      </c>
      <c r="B206" s="614" t="s">
        <v>1112</v>
      </c>
      <c r="C206" s="615" t="s">
        <v>343</v>
      </c>
      <c r="D206" s="616" t="s">
        <v>1114</v>
      </c>
      <c r="E206" s="615" t="s">
        <v>352</v>
      </c>
      <c r="F206" s="616" t="s">
        <v>1117</v>
      </c>
      <c r="G206" s="615" t="s">
        <v>356</v>
      </c>
      <c r="H206" s="615" t="s">
        <v>1010</v>
      </c>
      <c r="I206" s="615" t="s">
        <v>1011</v>
      </c>
      <c r="J206" s="615" t="s">
        <v>1012</v>
      </c>
      <c r="K206" s="615" t="s">
        <v>1013</v>
      </c>
      <c r="L206" s="617">
        <v>364.68</v>
      </c>
      <c r="M206" s="617">
        <v>1</v>
      </c>
      <c r="N206" s="618">
        <v>364.68</v>
      </c>
    </row>
    <row r="207" spans="1:14" ht="14.4" customHeight="1" x14ac:dyDescent="0.3">
      <c r="A207" s="613" t="s">
        <v>323</v>
      </c>
      <c r="B207" s="614" t="s">
        <v>1112</v>
      </c>
      <c r="C207" s="615" t="s">
        <v>343</v>
      </c>
      <c r="D207" s="616" t="s">
        <v>1114</v>
      </c>
      <c r="E207" s="615" t="s">
        <v>352</v>
      </c>
      <c r="F207" s="616" t="s">
        <v>1117</v>
      </c>
      <c r="G207" s="615" t="s">
        <v>356</v>
      </c>
      <c r="H207" s="615" t="s">
        <v>1014</v>
      </c>
      <c r="I207" s="615" t="s">
        <v>1015</v>
      </c>
      <c r="J207" s="615" t="s">
        <v>1016</v>
      </c>
      <c r="K207" s="615" t="s">
        <v>1017</v>
      </c>
      <c r="L207" s="617">
        <v>36.93</v>
      </c>
      <c r="M207" s="617">
        <v>2</v>
      </c>
      <c r="N207" s="618">
        <v>73.86</v>
      </c>
    </row>
    <row r="208" spans="1:14" ht="14.4" customHeight="1" x14ac:dyDescent="0.3">
      <c r="A208" s="613" t="s">
        <v>323</v>
      </c>
      <c r="B208" s="614" t="s">
        <v>1112</v>
      </c>
      <c r="C208" s="615" t="s">
        <v>343</v>
      </c>
      <c r="D208" s="616" t="s">
        <v>1114</v>
      </c>
      <c r="E208" s="615" t="s">
        <v>352</v>
      </c>
      <c r="F208" s="616" t="s">
        <v>1117</v>
      </c>
      <c r="G208" s="615" t="s">
        <v>356</v>
      </c>
      <c r="H208" s="615" t="s">
        <v>1018</v>
      </c>
      <c r="I208" s="615" t="s">
        <v>208</v>
      </c>
      <c r="J208" s="615" t="s">
        <v>1019</v>
      </c>
      <c r="K208" s="615"/>
      <c r="L208" s="617">
        <v>38.420266806489948</v>
      </c>
      <c r="M208" s="617">
        <v>4</v>
      </c>
      <c r="N208" s="618">
        <v>153.68106722595979</v>
      </c>
    </row>
    <row r="209" spans="1:14" ht="14.4" customHeight="1" x14ac:dyDescent="0.3">
      <c r="A209" s="613" t="s">
        <v>323</v>
      </c>
      <c r="B209" s="614" t="s">
        <v>1112</v>
      </c>
      <c r="C209" s="615" t="s">
        <v>343</v>
      </c>
      <c r="D209" s="616" t="s">
        <v>1114</v>
      </c>
      <c r="E209" s="615" t="s">
        <v>352</v>
      </c>
      <c r="F209" s="616" t="s">
        <v>1117</v>
      </c>
      <c r="G209" s="615" t="s">
        <v>356</v>
      </c>
      <c r="H209" s="615" t="s">
        <v>1020</v>
      </c>
      <c r="I209" s="615" t="s">
        <v>1021</v>
      </c>
      <c r="J209" s="615" t="s">
        <v>1022</v>
      </c>
      <c r="K209" s="615" t="s">
        <v>1023</v>
      </c>
      <c r="L209" s="617">
        <v>279.1958169158334</v>
      </c>
      <c r="M209" s="617">
        <v>6</v>
      </c>
      <c r="N209" s="618">
        <v>1675.1749014950005</v>
      </c>
    </row>
    <row r="210" spans="1:14" ht="14.4" customHeight="1" x14ac:dyDescent="0.3">
      <c r="A210" s="613" t="s">
        <v>323</v>
      </c>
      <c r="B210" s="614" t="s">
        <v>1112</v>
      </c>
      <c r="C210" s="615" t="s">
        <v>343</v>
      </c>
      <c r="D210" s="616" t="s">
        <v>1114</v>
      </c>
      <c r="E210" s="615" t="s">
        <v>352</v>
      </c>
      <c r="F210" s="616" t="s">
        <v>1117</v>
      </c>
      <c r="G210" s="615" t="s">
        <v>356</v>
      </c>
      <c r="H210" s="615" t="s">
        <v>1024</v>
      </c>
      <c r="I210" s="615" t="s">
        <v>1024</v>
      </c>
      <c r="J210" s="615" t="s">
        <v>1025</v>
      </c>
      <c r="K210" s="615" t="s">
        <v>1026</v>
      </c>
      <c r="L210" s="617">
        <v>108.89000000000003</v>
      </c>
      <c r="M210" s="617">
        <v>3</v>
      </c>
      <c r="N210" s="618">
        <v>326.67000000000007</v>
      </c>
    </row>
    <row r="211" spans="1:14" ht="14.4" customHeight="1" x14ac:dyDescent="0.3">
      <c r="A211" s="613" t="s">
        <v>323</v>
      </c>
      <c r="B211" s="614" t="s">
        <v>1112</v>
      </c>
      <c r="C211" s="615" t="s">
        <v>343</v>
      </c>
      <c r="D211" s="616" t="s">
        <v>1114</v>
      </c>
      <c r="E211" s="615" t="s">
        <v>352</v>
      </c>
      <c r="F211" s="616" t="s">
        <v>1117</v>
      </c>
      <c r="G211" s="615" t="s">
        <v>356</v>
      </c>
      <c r="H211" s="615" t="s">
        <v>1027</v>
      </c>
      <c r="I211" s="615" t="s">
        <v>1028</v>
      </c>
      <c r="J211" s="615" t="s">
        <v>1029</v>
      </c>
      <c r="K211" s="615" t="s">
        <v>1030</v>
      </c>
      <c r="L211" s="617">
        <v>289.22874645563672</v>
      </c>
      <c r="M211" s="617">
        <v>8</v>
      </c>
      <c r="N211" s="618">
        <v>2313.8299716450938</v>
      </c>
    </row>
    <row r="212" spans="1:14" ht="14.4" customHeight="1" x14ac:dyDescent="0.3">
      <c r="A212" s="613" t="s">
        <v>323</v>
      </c>
      <c r="B212" s="614" t="s">
        <v>1112</v>
      </c>
      <c r="C212" s="615" t="s">
        <v>343</v>
      </c>
      <c r="D212" s="616" t="s">
        <v>1114</v>
      </c>
      <c r="E212" s="615" t="s">
        <v>352</v>
      </c>
      <c r="F212" s="616" t="s">
        <v>1117</v>
      </c>
      <c r="G212" s="615" t="s">
        <v>356</v>
      </c>
      <c r="H212" s="615" t="s">
        <v>1031</v>
      </c>
      <c r="I212" s="615" t="s">
        <v>1032</v>
      </c>
      <c r="J212" s="615" t="s">
        <v>1033</v>
      </c>
      <c r="K212" s="615" t="s">
        <v>1034</v>
      </c>
      <c r="L212" s="617">
        <v>46.539871728592438</v>
      </c>
      <c r="M212" s="617">
        <v>2</v>
      </c>
      <c r="N212" s="618">
        <v>93.079743457184875</v>
      </c>
    </row>
    <row r="213" spans="1:14" ht="14.4" customHeight="1" x14ac:dyDescent="0.3">
      <c r="A213" s="613" t="s">
        <v>323</v>
      </c>
      <c r="B213" s="614" t="s">
        <v>1112</v>
      </c>
      <c r="C213" s="615" t="s">
        <v>343</v>
      </c>
      <c r="D213" s="616" t="s">
        <v>1114</v>
      </c>
      <c r="E213" s="615" t="s">
        <v>352</v>
      </c>
      <c r="F213" s="616" t="s">
        <v>1117</v>
      </c>
      <c r="G213" s="615" t="s">
        <v>356</v>
      </c>
      <c r="H213" s="615" t="s">
        <v>683</v>
      </c>
      <c r="I213" s="615" t="s">
        <v>684</v>
      </c>
      <c r="J213" s="615" t="s">
        <v>685</v>
      </c>
      <c r="K213" s="615" t="s">
        <v>686</v>
      </c>
      <c r="L213" s="617">
        <v>70.551125730994144</v>
      </c>
      <c r="M213" s="617">
        <v>18</v>
      </c>
      <c r="N213" s="618">
        <v>1269.9202631578946</v>
      </c>
    </row>
    <row r="214" spans="1:14" ht="14.4" customHeight="1" x14ac:dyDescent="0.3">
      <c r="A214" s="613" t="s">
        <v>323</v>
      </c>
      <c r="B214" s="614" t="s">
        <v>1112</v>
      </c>
      <c r="C214" s="615" t="s">
        <v>343</v>
      </c>
      <c r="D214" s="616" t="s">
        <v>1114</v>
      </c>
      <c r="E214" s="615" t="s">
        <v>352</v>
      </c>
      <c r="F214" s="616" t="s">
        <v>1117</v>
      </c>
      <c r="G214" s="615" t="s">
        <v>356</v>
      </c>
      <c r="H214" s="615" t="s">
        <v>1035</v>
      </c>
      <c r="I214" s="615" t="s">
        <v>208</v>
      </c>
      <c r="J214" s="615" t="s">
        <v>1036</v>
      </c>
      <c r="K214" s="615"/>
      <c r="L214" s="617">
        <v>244.84886196481844</v>
      </c>
      <c r="M214" s="617">
        <v>8</v>
      </c>
      <c r="N214" s="618">
        <v>1958.7908957185475</v>
      </c>
    </row>
    <row r="215" spans="1:14" ht="14.4" customHeight="1" x14ac:dyDescent="0.3">
      <c r="A215" s="613" t="s">
        <v>323</v>
      </c>
      <c r="B215" s="614" t="s">
        <v>1112</v>
      </c>
      <c r="C215" s="615" t="s">
        <v>343</v>
      </c>
      <c r="D215" s="616" t="s">
        <v>1114</v>
      </c>
      <c r="E215" s="615" t="s">
        <v>352</v>
      </c>
      <c r="F215" s="616" t="s">
        <v>1117</v>
      </c>
      <c r="G215" s="615" t="s">
        <v>356</v>
      </c>
      <c r="H215" s="615" t="s">
        <v>723</v>
      </c>
      <c r="I215" s="615" t="s">
        <v>724</v>
      </c>
      <c r="J215" s="615" t="s">
        <v>725</v>
      </c>
      <c r="K215" s="615" t="s">
        <v>726</v>
      </c>
      <c r="L215" s="617">
        <v>192.6810931963756</v>
      </c>
      <c r="M215" s="617">
        <v>15</v>
      </c>
      <c r="N215" s="618">
        <v>2890.2163979456341</v>
      </c>
    </row>
    <row r="216" spans="1:14" ht="14.4" customHeight="1" x14ac:dyDescent="0.3">
      <c r="A216" s="613" t="s">
        <v>323</v>
      </c>
      <c r="B216" s="614" t="s">
        <v>1112</v>
      </c>
      <c r="C216" s="615" t="s">
        <v>343</v>
      </c>
      <c r="D216" s="616" t="s">
        <v>1114</v>
      </c>
      <c r="E216" s="615" t="s">
        <v>352</v>
      </c>
      <c r="F216" s="616" t="s">
        <v>1117</v>
      </c>
      <c r="G216" s="615" t="s">
        <v>356</v>
      </c>
      <c r="H216" s="615" t="s">
        <v>1037</v>
      </c>
      <c r="I216" s="615" t="s">
        <v>208</v>
      </c>
      <c r="J216" s="615" t="s">
        <v>1038</v>
      </c>
      <c r="K216" s="615"/>
      <c r="L216" s="617">
        <v>81.709996174074192</v>
      </c>
      <c r="M216" s="617">
        <v>78</v>
      </c>
      <c r="N216" s="618">
        <v>6373.3797015777873</v>
      </c>
    </row>
    <row r="217" spans="1:14" ht="14.4" customHeight="1" x14ac:dyDescent="0.3">
      <c r="A217" s="613" t="s">
        <v>323</v>
      </c>
      <c r="B217" s="614" t="s">
        <v>1112</v>
      </c>
      <c r="C217" s="615" t="s">
        <v>343</v>
      </c>
      <c r="D217" s="616" t="s">
        <v>1114</v>
      </c>
      <c r="E217" s="615" t="s">
        <v>352</v>
      </c>
      <c r="F217" s="616" t="s">
        <v>1117</v>
      </c>
      <c r="G217" s="615" t="s">
        <v>356</v>
      </c>
      <c r="H217" s="615" t="s">
        <v>727</v>
      </c>
      <c r="I217" s="615" t="s">
        <v>208</v>
      </c>
      <c r="J217" s="615" t="s">
        <v>728</v>
      </c>
      <c r="K217" s="615"/>
      <c r="L217" s="617">
        <v>81.970360880187059</v>
      </c>
      <c r="M217" s="617">
        <v>7</v>
      </c>
      <c r="N217" s="618">
        <v>573.79252616130941</v>
      </c>
    </row>
    <row r="218" spans="1:14" ht="14.4" customHeight="1" x14ac:dyDescent="0.3">
      <c r="A218" s="613" t="s">
        <v>323</v>
      </c>
      <c r="B218" s="614" t="s">
        <v>1112</v>
      </c>
      <c r="C218" s="615" t="s">
        <v>343</v>
      </c>
      <c r="D218" s="616" t="s">
        <v>1114</v>
      </c>
      <c r="E218" s="615" t="s">
        <v>352</v>
      </c>
      <c r="F218" s="616" t="s">
        <v>1117</v>
      </c>
      <c r="G218" s="615" t="s">
        <v>356</v>
      </c>
      <c r="H218" s="615" t="s">
        <v>1039</v>
      </c>
      <c r="I218" s="615" t="s">
        <v>208</v>
      </c>
      <c r="J218" s="615" t="s">
        <v>1040</v>
      </c>
      <c r="K218" s="615"/>
      <c r="L218" s="617">
        <v>68.45641492737812</v>
      </c>
      <c r="M218" s="617">
        <v>20</v>
      </c>
      <c r="N218" s="618">
        <v>1369.1282985475625</v>
      </c>
    </row>
    <row r="219" spans="1:14" ht="14.4" customHeight="1" x14ac:dyDescent="0.3">
      <c r="A219" s="613" t="s">
        <v>323</v>
      </c>
      <c r="B219" s="614" t="s">
        <v>1112</v>
      </c>
      <c r="C219" s="615" t="s">
        <v>343</v>
      </c>
      <c r="D219" s="616" t="s">
        <v>1114</v>
      </c>
      <c r="E219" s="615" t="s">
        <v>352</v>
      </c>
      <c r="F219" s="616" t="s">
        <v>1117</v>
      </c>
      <c r="G219" s="615" t="s">
        <v>356</v>
      </c>
      <c r="H219" s="615" t="s">
        <v>1041</v>
      </c>
      <c r="I219" s="615" t="s">
        <v>208</v>
      </c>
      <c r="J219" s="615" t="s">
        <v>1042</v>
      </c>
      <c r="K219" s="615"/>
      <c r="L219" s="617">
        <v>67.459294280316811</v>
      </c>
      <c r="M219" s="617">
        <v>20</v>
      </c>
      <c r="N219" s="618">
        <v>1349.1858856063363</v>
      </c>
    </row>
    <row r="220" spans="1:14" ht="14.4" customHeight="1" x14ac:dyDescent="0.3">
      <c r="A220" s="613" t="s">
        <v>323</v>
      </c>
      <c r="B220" s="614" t="s">
        <v>1112</v>
      </c>
      <c r="C220" s="615" t="s">
        <v>343</v>
      </c>
      <c r="D220" s="616" t="s">
        <v>1114</v>
      </c>
      <c r="E220" s="615" t="s">
        <v>352</v>
      </c>
      <c r="F220" s="616" t="s">
        <v>1117</v>
      </c>
      <c r="G220" s="615" t="s">
        <v>356</v>
      </c>
      <c r="H220" s="615" t="s">
        <v>1043</v>
      </c>
      <c r="I220" s="615" t="s">
        <v>208</v>
      </c>
      <c r="J220" s="615" t="s">
        <v>1044</v>
      </c>
      <c r="K220" s="615" t="s">
        <v>711</v>
      </c>
      <c r="L220" s="617">
        <v>76.936149960124496</v>
      </c>
      <c r="M220" s="617">
        <v>92</v>
      </c>
      <c r="N220" s="618">
        <v>7078.1257963314538</v>
      </c>
    </row>
    <row r="221" spans="1:14" ht="14.4" customHeight="1" x14ac:dyDescent="0.3">
      <c r="A221" s="613" t="s">
        <v>323</v>
      </c>
      <c r="B221" s="614" t="s">
        <v>1112</v>
      </c>
      <c r="C221" s="615" t="s">
        <v>343</v>
      </c>
      <c r="D221" s="616" t="s">
        <v>1114</v>
      </c>
      <c r="E221" s="615" t="s">
        <v>352</v>
      </c>
      <c r="F221" s="616" t="s">
        <v>1117</v>
      </c>
      <c r="G221" s="615" t="s">
        <v>356</v>
      </c>
      <c r="H221" s="615" t="s">
        <v>1045</v>
      </c>
      <c r="I221" s="615" t="s">
        <v>208</v>
      </c>
      <c r="J221" s="615" t="s">
        <v>1046</v>
      </c>
      <c r="K221" s="615"/>
      <c r="L221" s="617">
        <v>219.20778197699426</v>
      </c>
      <c r="M221" s="617">
        <v>1</v>
      </c>
      <c r="N221" s="618">
        <v>219.20778197699426</v>
      </c>
    </row>
    <row r="222" spans="1:14" ht="14.4" customHeight="1" x14ac:dyDescent="0.3">
      <c r="A222" s="613" t="s">
        <v>323</v>
      </c>
      <c r="B222" s="614" t="s">
        <v>1112</v>
      </c>
      <c r="C222" s="615" t="s">
        <v>343</v>
      </c>
      <c r="D222" s="616" t="s">
        <v>1114</v>
      </c>
      <c r="E222" s="615" t="s">
        <v>352</v>
      </c>
      <c r="F222" s="616" t="s">
        <v>1117</v>
      </c>
      <c r="G222" s="615" t="s">
        <v>356</v>
      </c>
      <c r="H222" s="615" t="s">
        <v>1047</v>
      </c>
      <c r="I222" s="615" t="s">
        <v>208</v>
      </c>
      <c r="J222" s="615" t="s">
        <v>1048</v>
      </c>
      <c r="K222" s="615"/>
      <c r="L222" s="617">
        <v>103.48083054093867</v>
      </c>
      <c r="M222" s="617">
        <v>9</v>
      </c>
      <c r="N222" s="618">
        <v>931.32747486844801</v>
      </c>
    </row>
    <row r="223" spans="1:14" ht="14.4" customHeight="1" x14ac:dyDescent="0.3">
      <c r="A223" s="613" t="s">
        <v>323</v>
      </c>
      <c r="B223" s="614" t="s">
        <v>1112</v>
      </c>
      <c r="C223" s="615" t="s">
        <v>343</v>
      </c>
      <c r="D223" s="616" t="s">
        <v>1114</v>
      </c>
      <c r="E223" s="615" t="s">
        <v>352</v>
      </c>
      <c r="F223" s="616" t="s">
        <v>1117</v>
      </c>
      <c r="G223" s="615" t="s">
        <v>356</v>
      </c>
      <c r="H223" s="615" t="s">
        <v>1049</v>
      </c>
      <c r="I223" s="615" t="s">
        <v>208</v>
      </c>
      <c r="J223" s="615" t="s">
        <v>1050</v>
      </c>
      <c r="K223" s="615"/>
      <c r="L223" s="617">
        <v>80.941710006692617</v>
      </c>
      <c r="M223" s="617">
        <v>10</v>
      </c>
      <c r="N223" s="618">
        <v>809.4171000669262</v>
      </c>
    </row>
    <row r="224" spans="1:14" ht="14.4" customHeight="1" x14ac:dyDescent="0.3">
      <c r="A224" s="613" t="s">
        <v>323</v>
      </c>
      <c r="B224" s="614" t="s">
        <v>1112</v>
      </c>
      <c r="C224" s="615" t="s">
        <v>343</v>
      </c>
      <c r="D224" s="616" t="s">
        <v>1114</v>
      </c>
      <c r="E224" s="615" t="s">
        <v>352</v>
      </c>
      <c r="F224" s="616" t="s">
        <v>1117</v>
      </c>
      <c r="G224" s="615" t="s">
        <v>356</v>
      </c>
      <c r="H224" s="615" t="s">
        <v>1051</v>
      </c>
      <c r="I224" s="615" t="s">
        <v>1052</v>
      </c>
      <c r="J224" s="615" t="s">
        <v>1053</v>
      </c>
      <c r="K224" s="615" t="s">
        <v>1054</v>
      </c>
      <c r="L224" s="617">
        <v>350.89000000000004</v>
      </c>
      <c r="M224" s="617">
        <v>1</v>
      </c>
      <c r="N224" s="618">
        <v>350.89000000000004</v>
      </c>
    </row>
    <row r="225" spans="1:14" ht="14.4" customHeight="1" x14ac:dyDescent="0.3">
      <c r="A225" s="613" t="s">
        <v>323</v>
      </c>
      <c r="B225" s="614" t="s">
        <v>1112</v>
      </c>
      <c r="C225" s="615" t="s">
        <v>343</v>
      </c>
      <c r="D225" s="616" t="s">
        <v>1114</v>
      </c>
      <c r="E225" s="615" t="s">
        <v>352</v>
      </c>
      <c r="F225" s="616" t="s">
        <v>1117</v>
      </c>
      <c r="G225" s="615" t="s">
        <v>356</v>
      </c>
      <c r="H225" s="615" t="s">
        <v>753</v>
      </c>
      <c r="I225" s="615" t="s">
        <v>753</v>
      </c>
      <c r="J225" s="615" t="s">
        <v>754</v>
      </c>
      <c r="K225" s="615" t="s">
        <v>755</v>
      </c>
      <c r="L225" s="617">
        <v>117.47999999999999</v>
      </c>
      <c r="M225" s="617">
        <v>1</v>
      </c>
      <c r="N225" s="618">
        <v>117.47999999999999</v>
      </c>
    </row>
    <row r="226" spans="1:14" ht="14.4" customHeight="1" x14ac:dyDescent="0.3">
      <c r="A226" s="613" t="s">
        <v>323</v>
      </c>
      <c r="B226" s="614" t="s">
        <v>1112</v>
      </c>
      <c r="C226" s="615" t="s">
        <v>343</v>
      </c>
      <c r="D226" s="616" t="s">
        <v>1114</v>
      </c>
      <c r="E226" s="615" t="s">
        <v>352</v>
      </c>
      <c r="F226" s="616" t="s">
        <v>1117</v>
      </c>
      <c r="G226" s="615" t="s">
        <v>356</v>
      </c>
      <c r="H226" s="615" t="s">
        <v>1055</v>
      </c>
      <c r="I226" s="615" t="s">
        <v>1055</v>
      </c>
      <c r="J226" s="615" t="s">
        <v>1056</v>
      </c>
      <c r="K226" s="615" t="s">
        <v>1057</v>
      </c>
      <c r="L226" s="617">
        <v>177.79999999999995</v>
      </c>
      <c r="M226" s="617">
        <v>2</v>
      </c>
      <c r="N226" s="618">
        <v>355.59999999999991</v>
      </c>
    </row>
    <row r="227" spans="1:14" ht="14.4" customHeight="1" x14ac:dyDescent="0.3">
      <c r="A227" s="613" t="s">
        <v>323</v>
      </c>
      <c r="B227" s="614" t="s">
        <v>1112</v>
      </c>
      <c r="C227" s="615" t="s">
        <v>343</v>
      </c>
      <c r="D227" s="616" t="s">
        <v>1114</v>
      </c>
      <c r="E227" s="615" t="s">
        <v>352</v>
      </c>
      <c r="F227" s="616" t="s">
        <v>1117</v>
      </c>
      <c r="G227" s="615" t="s">
        <v>770</v>
      </c>
      <c r="H227" s="615" t="s">
        <v>1058</v>
      </c>
      <c r="I227" s="615" t="s">
        <v>1059</v>
      </c>
      <c r="J227" s="615" t="s">
        <v>1060</v>
      </c>
      <c r="K227" s="615" t="s">
        <v>1061</v>
      </c>
      <c r="L227" s="617">
        <v>37.784544950406421</v>
      </c>
      <c r="M227" s="617">
        <v>24</v>
      </c>
      <c r="N227" s="618">
        <v>906.82907880975404</v>
      </c>
    </row>
    <row r="228" spans="1:14" ht="14.4" customHeight="1" x14ac:dyDescent="0.3">
      <c r="A228" s="613" t="s">
        <v>323</v>
      </c>
      <c r="B228" s="614" t="s">
        <v>1112</v>
      </c>
      <c r="C228" s="615" t="s">
        <v>343</v>
      </c>
      <c r="D228" s="616" t="s">
        <v>1114</v>
      </c>
      <c r="E228" s="615" t="s">
        <v>352</v>
      </c>
      <c r="F228" s="616" t="s">
        <v>1117</v>
      </c>
      <c r="G228" s="615" t="s">
        <v>770</v>
      </c>
      <c r="H228" s="615" t="s">
        <v>1062</v>
      </c>
      <c r="I228" s="615" t="s">
        <v>1063</v>
      </c>
      <c r="J228" s="615" t="s">
        <v>1064</v>
      </c>
      <c r="K228" s="615" t="s">
        <v>1065</v>
      </c>
      <c r="L228" s="617">
        <v>85.460000000000008</v>
      </c>
      <c r="M228" s="617">
        <v>1</v>
      </c>
      <c r="N228" s="618">
        <v>85.460000000000008</v>
      </c>
    </row>
    <row r="229" spans="1:14" ht="14.4" customHeight="1" x14ac:dyDescent="0.3">
      <c r="A229" s="613" t="s">
        <v>323</v>
      </c>
      <c r="B229" s="614" t="s">
        <v>1112</v>
      </c>
      <c r="C229" s="615" t="s">
        <v>343</v>
      </c>
      <c r="D229" s="616" t="s">
        <v>1114</v>
      </c>
      <c r="E229" s="615" t="s">
        <v>352</v>
      </c>
      <c r="F229" s="616" t="s">
        <v>1117</v>
      </c>
      <c r="G229" s="615" t="s">
        <v>770</v>
      </c>
      <c r="H229" s="615" t="s">
        <v>863</v>
      </c>
      <c r="I229" s="615" t="s">
        <v>863</v>
      </c>
      <c r="J229" s="615" t="s">
        <v>864</v>
      </c>
      <c r="K229" s="615" t="s">
        <v>865</v>
      </c>
      <c r="L229" s="617">
        <v>168.71</v>
      </c>
      <c r="M229" s="617">
        <v>1</v>
      </c>
      <c r="N229" s="618">
        <v>168.71</v>
      </c>
    </row>
    <row r="230" spans="1:14" ht="14.4" customHeight="1" x14ac:dyDescent="0.3">
      <c r="A230" s="613" t="s">
        <v>323</v>
      </c>
      <c r="B230" s="614" t="s">
        <v>1112</v>
      </c>
      <c r="C230" s="615" t="s">
        <v>343</v>
      </c>
      <c r="D230" s="616" t="s">
        <v>1114</v>
      </c>
      <c r="E230" s="615" t="s">
        <v>883</v>
      </c>
      <c r="F230" s="616" t="s">
        <v>1119</v>
      </c>
      <c r="G230" s="615" t="s">
        <v>356</v>
      </c>
      <c r="H230" s="615" t="s">
        <v>899</v>
      </c>
      <c r="I230" s="615" t="s">
        <v>900</v>
      </c>
      <c r="J230" s="615" t="s">
        <v>901</v>
      </c>
      <c r="K230" s="615" t="s">
        <v>902</v>
      </c>
      <c r="L230" s="617">
        <v>40.25</v>
      </c>
      <c r="M230" s="617">
        <v>7</v>
      </c>
      <c r="N230" s="618">
        <v>281.75</v>
      </c>
    </row>
    <row r="231" spans="1:14" ht="14.4" customHeight="1" x14ac:dyDescent="0.3">
      <c r="A231" s="613" t="s">
        <v>323</v>
      </c>
      <c r="B231" s="614" t="s">
        <v>1112</v>
      </c>
      <c r="C231" s="615" t="s">
        <v>343</v>
      </c>
      <c r="D231" s="616" t="s">
        <v>1114</v>
      </c>
      <c r="E231" s="615" t="s">
        <v>883</v>
      </c>
      <c r="F231" s="616" t="s">
        <v>1119</v>
      </c>
      <c r="G231" s="615" t="s">
        <v>356</v>
      </c>
      <c r="H231" s="615" t="s">
        <v>925</v>
      </c>
      <c r="I231" s="615" t="s">
        <v>926</v>
      </c>
      <c r="J231" s="615" t="s">
        <v>927</v>
      </c>
      <c r="K231" s="615" t="s">
        <v>928</v>
      </c>
      <c r="L231" s="617">
        <v>83.956690895236633</v>
      </c>
      <c r="M231" s="617">
        <v>6</v>
      </c>
      <c r="N231" s="618">
        <v>503.74014537141983</v>
      </c>
    </row>
    <row r="232" spans="1:14" ht="14.4" customHeight="1" x14ac:dyDescent="0.3">
      <c r="A232" s="613" t="s">
        <v>323</v>
      </c>
      <c r="B232" s="614" t="s">
        <v>1112</v>
      </c>
      <c r="C232" s="615" t="s">
        <v>343</v>
      </c>
      <c r="D232" s="616" t="s">
        <v>1114</v>
      </c>
      <c r="E232" s="615" t="s">
        <v>883</v>
      </c>
      <c r="F232" s="616" t="s">
        <v>1119</v>
      </c>
      <c r="G232" s="615" t="s">
        <v>770</v>
      </c>
      <c r="H232" s="615" t="s">
        <v>955</v>
      </c>
      <c r="I232" s="615" t="s">
        <v>956</v>
      </c>
      <c r="J232" s="615" t="s">
        <v>957</v>
      </c>
      <c r="K232" s="615" t="s">
        <v>958</v>
      </c>
      <c r="L232" s="617">
        <v>114.6</v>
      </c>
      <c r="M232" s="617">
        <v>5</v>
      </c>
      <c r="N232" s="618">
        <v>573</v>
      </c>
    </row>
    <row r="233" spans="1:14" ht="14.4" customHeight="1" x14ac:dyDescent="0.3">
      <c r="A233" s="613" t="s">
        <v>323</v>
      </c>
      <c r="B233" s="614" t="s">
        <v>1112</v>
      </c>
      <c r="C233" s="615" t="s">
        <v>343</v>
      </c>
      <c r="D233" s="616" t="s">
        <v>1114</v>
      </c>
      <c r="E233" s="615" t="s">
        <v>883</v>
      </c>
      <c r="F233" s="616" t="s">
        <v>1119</v>
      </c>
      <c r="G233" s="615" t="s">
        <v>770</v>
      </c>
      <c r="H233" s="615" t="s">
        <v>1066</v>
      </c>
      <c r="I233" s="615" t="s">
        <v>1067</v>
      </c>
      <c r="J233" s="615" t="s">
        <v>1068</v>
      </c>
      <c r="K233" s="615" t="s">
        <v>1069</v>
      </c>
      <c r="L233" s="617">
        <v>112.31000000000004</v>
      </c>
      <c r="M233" s="617">
        <v>2</v>
      </c>
      <c r="N233" s="618">
        <v>224.62000000000009</v>
      </c>
    </row>
    <row r="234" spans="1:14" ht="14.4" customHeight="1" x14ac:dyDescent="0.3">
      <c r="A234" s="613" t="s">
        <v>323</v>
      </c>
      <c r="B234" s="614" t="s">
        <v>1112</v>
      </c>
      <c r="C234" s="615" t="s">
        <v>346</v>
      </c>
      <c r="D234" s="616" t="s">
        <v>1115</v>
      </c>
      <c r="E234" s="615" t="s">
        <v>352</v>
      </c>
      <c r="F234" s="616" t="s">
        <v>1117</v>
      </c>
      <c r="G234" s="615" t="s">
        <v>356</v>
      </c>
      <c r="H234" s="615" t="s">
        <v>367</v>
      </c>
      <c r="I234" s="615" t="s">
        <v>368</v>
      </c>
      <c r="J234" s="615" t="s">
        <v>369</v>
      </c>
      <c r="K234" s="615" t="s">
        <v>370</v>
      </c>
      <c r="L234" s="617">
        <v>87.2</v>
      </c>
      <c r="M234" s="617">
        <v>2</v>
      </c>
      <c r="N234" s="618">
        <v>174.4</v>
      </c>
    </row>
    <row r="235" spans="1:14" ht="14.4" customHeight="1" x14ac:dyDescent="0.3">
      <c r="A235" s="613" t="s">
        <v>323</v>
      </c>
      <c r="B235" s="614" t="s">
        <v>1112</v>
      </c>
      <c r="C235" s="615" t="s">
        <v>346</v>
      </c>
      <c r="D235" s="616" t="s">
        <v>1115</v>
      </c>
      <c r="E235" s="615" t="s">
        <v>352</v>
      </c>
      <c r="F235" s="616" t="s">
        <v>1117</v>
      </c>
      <c r="G235" s="615" t="s">
        <v>356</v>
      </c>
      <c r="H235" s="615" t="s">
        <v>371</v>
      </c>
      <c r="I235" s="615" t="s">
        <v>372</v>
      </c>
      <c r="J235" s="615" t="s">
        <v>373</v>
      </c>
      <c r="K235" s="615" t="s">
        <v>374</v>
      </c>
      <c r="L235" s="617">
        <v>96.818566563545943</v>
      </c>
      <c r="M235" s="617">
        <v>1</v>
      </c>
      <c r="N235" s="618">
        <v>96.818566563545943</v>
      </c>
    </row>
    <row r="236" spans="1:14" ht="14.4" customHeight="1" x14ac:dyDescent="0.3">
      <c r="A236" s="613" t="s">
        <v>323</v>
      </c>
      <c r="B236" s="614" t="s">
        <v>1112</v>
      </c>
      <c r="C236" s="615" t="s">
        <v>346</v>
      </c>
      <c r="D236" s="616" t="s">
        <v>1115</v>
      </c>
      <c r="E236" s="615" t="s">
        <v>352</v>
      </c>
      <c r="F236" s="616" t="s">
        <v>1117</v>
      </c>
      <c r="G236" s="615" t="s">
        <v>356</v>
      </c>
      <c r="H236" s="615" t="s">
        <v>1070</v>
      </c>
      <c r="I236" s="615" t="s">
        <v>208</v>
      </c>
      <c r="J236" s="615" t="s">
        <v>1071</v>
      </c>
      <c r="K236" s="615"/>
      <c r="L236" s="617">
        <v>30.924366787752767</v>
      </c>
      <c r="M236" s="617">
        <v>9</v>
      </c>
      <c r="N236" s="618">
        <v>278.31930108977491</v>
      </c>
    </row>
    <row r="237" spans="1:14" ht="14.4" customHeight="1" x14ac:dyDescent="0.3">
      <c r="A237" s="613" t="s">
        <v>323</v>
      </c>
      <c r="B237" s="614" t="s">
        <v>1112</v>
      </c>
      <c r="C237" s="615" t="s">
        <v>346</v>
      </c>
      <c r="D237" s="616" t="s">
        <v>1115</v>
      </c>
      <c r="E237" s="615" t="s">
        <v>352</v>
      </c>
      <c r="F237" s="616" t="s">
        <v>1117</v>
      </c>
      <c r="G237" s="615" t="s">
        <v>356</v>
      </c>
      <c r="H237" s="615" t="s">
        <v>1072</v>
      </c>
      <c r="I237" s="615" t="s">
        <v>208</v>
      </c>
      <c r="J237" s="615" t="s">
        <v>1073</v>
      </c>
      <c r="K237" s="615"/>
      <c r="L237" s="617">
        <v>32.198821093246323</v>
      </c>
      <c r="M237" s="617">
        <v>16</v>
      </c>
      <c r="N237" s="618">
        <v>515.18113749194117</v>
      </c>
    </row>
    <row r="238" spans="1:14" ht="14.4" customHeight="1" x14ac:dyDescent="0.3">
      <c r="A238" s="613" t="s">
        <v>323</v>
      </c>
      <c r="B238" s="614" t="s">
        <v>1112</v>
      </c>
      <c r="C238" s="615" t="s">
        <v>346</v>
      </c>
      <c r="D238" s="616" t="s">
        <v>1115</v>
      </c>
      <c r="E238" s="615" t="s">
        <v>352</v>
      </c>
      <c r="F238" s="616" t="s">
        <v>1117</v>
      </c>
      <c r="G238" s="615" t="s">
        <v>356</v>
      </c>
      <c r="H238" s="615" t="s">
        <v>533</v>
      </c>
      <c r="I238" s="615" t="s">
        <v>534</v>
      </c>
      <c r="J238" s="615" t="s">
        <v>535</v>
      </c>
      <c r="K238" s="615" t="s">
        <v>536</v>
      </c>
      <c r="L238" s="617">
        <v>18.250000000000004</v>
      </c>
      <c r="M238" s="617">
        <v>4</v>
      </c>
      <c r="N238" s="618">
        <v>73.000000000000014</v>
      </c>
    </row>
    <row r="239" spans="1:14" ht="14.4" customHeight="1" x14ac:dyDescent="0.3">
      <c r="A239" s="613" t="s">
        <v>323</v>
      </c>
      <c r="B239" s="614" t="s">
        <v>1112</v>
      </c>
      <c r="C239" s="615" t="s">
        <v>346</v>
      </c>
      <c r="D239" s="616" t="s">
        <v>1115</v>
      </c>
      <c r="E239" s="615" t="s">
        <v>352</v>
      </c>
      <c r="F239" s="616" t="s">
        <v>1117</v>
      </c>
      <c r="G239" s="615" t="s">
        <v>356</v>
      </c>
      <c r="H239" s="615" t="s">
        <v>585</v>
      </c>
      <c r="I239" s="615" t="s">
        <v>586</v>
      </c>
      <c r="J239" s="615" t="s">
        <v>587</v>
      </c>
      <c r="K239" s="615" t="s">
        <v>588</v>
      </c>
      <c r="L239" s="617">
        <v>52.169999999999987</v>
      </c>
      <c r="M239" s="617">
        <v>2</v>
      </c>
      <c r="N239" s="618">
        <v>104.33999999999997</v>
      </c>
    </row>
    <row r="240" spans="1:14" ht="14.4" customHeight="1" x14ac:dyDescent="0.3">
      <c r="A240" s="613" t="s">
        <v>323</v>
      </c>
      <c r="B240" s="614" t="s">
        <v>1112</v>
      </c>
      <c r="C240" s="615" t="s">
        <v>346</v>
      </c>
      <c r="D240" s="616" t="s">
        <v>1115</v>
      </c>
      <c r="E240" s="615" t="s">
        <v>352</v>
      </c>
      <c r="F240" s="616" t="s">
        <v>1117</v>
      </c>
      <c r="G240" s="615" t="s">
        <v>356</v>
      </c>
      <c r="H240" s="615" t="s">
        <v>613</v>
      </c>
      <c r="I240" s="615" t="s">
        <v>614</v>
      </c>
      <c r="J240" s="615" t="s">
        <v>615</v>
      </c>
      <c r="K240" s="615" t="s">
        <v>616</v>
      </c>
      <c r="L240" s="617">
        <v>152.18328105623718</v>
      </c>
      <c r="M240" s="617">
        <v>420</v>
      </c>
      <c r="N240" s="618">
        <v>63916.978043619609</v>
      </c>
    </row>
    <row r="241" spans="1:14" ht="14.4" customHeight="1" x14ac:dyDescent="0.3">
      <c r="A241" s="613" t="s">
        <v>323</v>
      </c>
      <c r="B241" s="614" t="s">
        <v>1112</v>
      </c>
      <c r="C241" s="615" t="s">
        <v>346</v>
      </c>
      <c r="D241" s="616" t="s">
        <v>1115</v>
      </c>
      <c r="E241" s="615" t="s">
        <v>352</v>
      </c>
      <c r="F241" s="616" t="s">
        <v>1117</v>
      </c>
      <c r="G241" s="615" t="s">
        <v>356</v>
      </c>
      <c r="H241" s="615" t="s">
        <v>1074</v>
      </c>
      <c r="I241" s="615" t="s">
        <v>208</v>
      </c>
      <c r="J241" s="615" t="s">
        <v>1075</v>
      </c>
      <c r="K241" s="615"/>
      <c r="L241" s="617">
        <v>29.431916041474324</v>
      </c>
      <c r="M241" s="617">
        <v>10</v>
      </c>
      <c r="N241" s="618">
        <v>294.31916041474324</v>
      </c>
    </row>
    <row r="242" spans="1:14" ht="14.4" customHeight="1" x14ac:dyDescent="0.3">
      <c r="A242" s="613" t="s">
        <v>323</v>
      </c>
      <c r="B242" s="614" t="s">
        <v>1112</v>
      </c>
      <c r="C242" s="615" t="s">
        <v>346</v>
      </c>
      <c r="D242" s="616" t="s">
        <v>1115</v>
      </c>
      <c r="E242" s="615" t="s">
        <v>352</v>
      </c>
      <c r="F242" s="616" t="s">
        <v>1117</v>
      </c>
      <c r="G242" s="615" t="s">
        <v>356</v>
      </c>
      <c r="H242" s="615" t="s">
        <v>648</v>
      </c>
      <c r="I242" s="615" t="s">
        <v>208</v>
      </c>
      <c r="J242" s="615" t="s">
        <v>649</v>
      </c>
      <c r="K242" s="615"/>
      <c r="L242" s="617">
        <v>183.57015990190632</v>
      </c>
      <c r="M242" s="617">
        <v>2</v>
      </c>
      <c r="N242" s="618">
        <v>367.14031980381264</v>
      </c>
    </row>
    <row r="243" spans="1:14" ht="14.4" customHeight="1" x14ac:dyDescent="0.3">
      <c r="A243" s="613" t="s">
        <v>323</v>
      </c>
      <c r="B243" s="614" t="s">
        <v>1112</v>
      </c>
      <c r="C243" s="615" t="s">
        <v>346</v>
      </c>
      <c r="D243" s="616" t="s">
        <v>1115</v>
      </c>
      <c r="E243" s="615" t="s">
        <v>352</v>
      </c>
      <c r="F243" s="616" t="s">
        <v>1117</v>
      </c>
      <c r="G243" s="615" t="s">
        <v>356</v>
      </c>
      <c r="H243" s="615" t="s">
        <v>1020</v>
      </c>
      <c r="I243" s="615" t="s">
        <v>1021</v>
      </c>
      <c r="J243" s="615" t="s">
        <v>1022</v>
      </c>
      <c r="K243" s="615" t="s">
        <v>1023</v>
      </c>
      <c r="L243" s="617">
        <v>279.15904325305479</v>
      </c>
      <c r="M243" s="617">
        <v>10</v>
      </c>
      <c r="N243" s="618">
        <v>2791.5904325305478</v>
      </c>
    </row>
    <row r="244" spans="1:14" ht="14.4" customHeight="1" x14ac:dyDescent="0.3">
      <c r="A244" s="613" t="s">
        <v>323</v>
      </c>
      <c r="B244" s="614" t="s">
        <v>1112</v>
      </c>
      <c r="C244" s="615" t="s">
        <v>346</v>
      </c>
      <c r="D244" s="616" t="s">
        <v>1115</v>
      </c>
      <c r="E244" s="615" t="s">
        <v>352</v>
      </c>
      <c r="F244" s="616" t="s">
        <v>1117</v>
      </c>
      <c r="G244" s="615" t="s">
        <v>356</v>
      </c>
      <c r="H244" s="615" t="s">
        <v>1024</v>
      </c>
      <c r="I244" s="615" t="s">
        <v>1024</v>
      </c>
      <c r="J244" s="615" t="s">
        <v>1025</v>
      </c>
      <c r="K244" s="615" t="s">
        <v>1026</v>
      </c>
      <c r="L244" s="617">
        <v>108.89000000000003</v>
      </c>
      <c r="M244" s="617">
        <v>3</v>
      </c>
      <c r="N244" s="618">
        <v>326.67000000000007</v>
      </c>
    </row>
    <row r="245" spans="1:14" ht="14.4" customHeight="1" x14ac:dyDescent="0.3">
      <c r="A245" s="613" t="s">
        <v>323</v>
      </c>
      <c r="B245" s="614" t="s">
        <v>1112</v>
      </c>
      <c r="C245" s="615" t="s">
        <v>346</v>
      </c>
      <c r="D245" s="616" t="s">
        <v>1115</v>
      </c>
      <c r="E245" s="615" t="s">
        <v>352</v>
      </c>
      <c r="F245" s="616" t="s">
        <v>1117</v>
      </c>
      <c r="G245" s="615" t="s">
        <v>356</v>
      </c>
      <c r="H245" s="615" t="s">
        <v>1076</v>
      </c>
      <c r="I245" s="615" t="s">
        <v>208</v>
      </c>
      <c r="J245" s="615" t="s">
        <v>1077</v>
      </c>
      <c r="K245" s="615"/>
      <c r="L245" s="617">
        <v>52.175694219992863</v>
      </c>
      <c r="M245" s="617">
        <v>3</v>
      </c>
      <c r="N245" s="618">
        <v>156.52708265997859</v>
      </c>
    </row>
    <row r="246" spans="1:14" ht="14.4" customHeight="1" x14ac:dyDescent="0.3">
      <c r="A246" s="613" t="s">
        <v>323</v>
      </c>
      <c r="B246" s="614" t="s">
        <v>1112</v>
      </c>
      <c r="C246" s="615" t="s">
        <v>346</v>
      </c>
      <c r="D246" s="616" t="s">
        <v>1115</v>
      </c>
      <c r="E246" s="615" t="s">
        <v>352</v>
      </c>
      <c r="F246" s="616" t="s">
        <v>1117</v>
      </c>
      <c r="G246" s="615" t="s">
        <v>356</v>
      </c>
      <c r="H246" s="615" t="s">
        <v>683</v>
      </c>
      <c r="I246" s="615" t="s">
        <v>684</v>
      </c>
      <c r="J246" s="615" t="s">
        <v>685</v>
      </c>
      <c r="K246" s="615" t="s">
        <v>686</v>
      </c>
      <c r="L246" s="617">
        <v>70.384470862806836</v>
      </c>
      <c r="M246" s="617">
        <v>16</v>
      </c>
      <c r="N246" s="618">
        <v>1126.1515338049094</v>
      </c>
    </row>
    <row r="247" spans="1:14" ht="14.4" customHeight="1" x14ac:dyDescent="0.3">
      <c r="A247" s="613" t="s">
        <v>323</v>
      </c>
      <c r="B247" s="614" t="s">
        <v>1112</v>
      </c>
      <c r="C247" s="615" t="s">
        <v>346</v>
      </c>
      <c r="D247" s="616" t="s">
        <v>1115</v>
      </c>
      <c r="E247" s="615" t="s">
        <v>352</v>
      </c>
      <c r="F247" s="616" t="s">
        <v>1117</v>
      </c>
      <c r="G247" s="615" t="s">
        <v>356</v>
      </c>
      <c r="H247" s="615" t="s">
        <v>691</v>
      </c>
      <c r="I247" s="615" t="s">
        <v>208</v>
      </c>
      <c r="J247" s="615" t="s">
        <v>692</v>
      </c>
      <c r="K247" s="615"/>
      <c r="L247" s="617">
        <v>105.51901278274214</v>
      </c>
      <c r="M247" s="617">
        <v>2</v>
      </c>
      <c r="N247" s="618">
        <v>211.03802556548428</v>
      </c>
    </row>
    <row r="248" spans="1:14" ht="14.4" customHeight="1" x14ac:dyDescent="0.3">
      <c r="A248" s="613" t="s">
        <v>323</v>
      </c>
      <c r="B248" s="614" t="s">
        <v>1112</v>
      </c>
      <c r="C248" s="615" t="s">
        <v>346</v>
      </c>
      <c r="D248" s="616" t="s">
        <v>1115</v>
      </c>
      <c r="E248" s="615" t="s">
        <v>352</v>
      </c>
      <c r="F248" s="616" t="s">
        <v>1117</v>
      </c>
      <c r="G248" s="615" t="s">
        <v>356</v>
      </c>
      <c r="H248" s="615" t="s">
        <v>693</v>
      </c>
      <c r="I248" s="615" t="s">
        <v>208</v>
      </c>
      <c r="J248" s="615" t="s">
        <v>694</v>
      </c>
      <c r="K248" s="615"/>
      <c r="L248" s="617">
        <v>112.53525135369647</v>
      </c>
      <c r="M248" s="617">
        <v>2</v>
      </c>
      <c r="N248" s="618">
        <v>225.07050270739293</v>
      </c>
    </row>
    <row r="249" spans="1:14" ht="14.4" customHeight="1" x14ac:dyDescent="0.3">
      <c r="A249" s="613" t="s">
        <v>323</v>
      </c>
      <c r="B249" s="614" t="s">
        <v>1112</v>
      </c>
      <c r="C249" s="615" t="s">
        <v>346</v>
      </c>
      <c r="D249" s="616" t="s">
        <v>1115</v>
      </c>
      <c r="E249" s="615" t="s">
        <v>352</v>
      </c>
      <c r="F249" s="616" t="s">
        <v>1117</v>
      </c>
      <c r="G249" s="615" t="s">
        <v>356</v>
      </c>
      <c r="H249" s="615" t="s">
        <v>1037</v>
      </c>
      <c r="I249" s="615" t="s">
        <v>208</v>
      </c>
      <c r="J249" s="615" t="s">
        <v>1038</v>
      </c>
      <c r="K249" s="615"/>
      <c r="L249" s="617">
        <v>80.203751366057759</v>
      </c>
      <c r="M249" s="617">
        <v>39</v>
      </c>
      <c r="N249" s="618">
        <v>3127.9463032762528</v>
      </c>
    </row>
    <row r="250" spans="1:14" ht="14.4" customHeight="1" x14ac:dyDescent="0.3">
      <c r="A250" s="613" t="s">
        <v>323</v>
      </c>
      <c r="B250" s="614" t="s">
        <v>1112</v>
      </c>
      <c r="C250" s="615" t="s">
        <v>346</v>
      </c>
      <c r="D250" s="616" t="s">
        <v>1115</v>
      </c>
      <c r="E250" s="615" t="s">
        <v>352</v>
      </c>
      <c r="F250" s="616" t="s">
        <v>1117</v>
      </c>
      <c r="G250" s="615" t="s">
        <v>356</v>
      </c>
      <c r="H250" s="615" t="s">
        <v>727</v>
      </c>
      <c r="I250" s="615" t="s">
        <v>208</v>
      </c>
      <c r="J250" s="615" t="s">
        <v>728</v>
      </c>
      <c r="K250" s="615"/>
      <c r="L250" s="617">
        <v>81.970360880187059</v>
      </c>
      <c r="M250" s="617">
        <v>14</v>
      </c>
      <c r="N250" s="618">
        <v>1147.5850523226188</v>
      </c>
    </row>
    <row r="251" spans="1:14" ht="14.4" customHeight="1" x14ac:dyDescent="0.3">
      <c r="A251" s="613" t="s">
        <v>323</v>
      </c>
      <c r="B251" s="614" t="s">
        <v>1112</v>
      </c>
      <c r="C251" s="615" t="s">
        <v>346</v>
      </c>
      <c r="D251" s="616" t="s">
        <v>1115</v>
      </c>
      <c r="E251" s="615" t="s">
        <v>352</v>
      </c>
      <c r="F251" s="616" t="s">
        <v>1117</v>
      </c>
      <c r="G251" s="615" t="s">
        <v>356</v>
      </c>
      <c r="H251" s="615" t="s">
        <v>1043</v>
      </c>
      <c r="I251" s="615" t="s">
        <v>208</v>
      </c>
      <c r="J251" s="615" t="s">
        <v>1044</v>
      </c>
      <c r="K251" s="615" t="s">
        <v>711</v>
      </c>
      <c r="L251" s="617">
        <v>81.659180030273887</v>
      </c>
      <c r="M251" s="617">
        <v>89</v>
      </c>
      <c r="N251" s="618">
        <v>7267.6670226943761</v>
      </c>
    </row>
    <row r="252" spans="1:14" ht="14.4" customHeight="1" x14ac:dyDescent="0.3">
      <c r="A252" s="613" t="s">
        <v>323</v>
      </c>
      <c r="B252" s="614" t="s">
        <v>1112</v>
      </c>
      <c r="C252" s="615" t="s">
        <v>346</v>
      </c>
      <c r="D252" s="616" t="s">
        <v>1115</v>
      </c>
      <c r="E252" s="615" t="s">
        <v>352</v>
      </c>
      <c r="F252" s="616" t="s">
        <v>1117</v>
      </c>
      <c r="G252" s="615" t="s">
        <v>356</v>
      </c>
      <c r="H252" s="615" t="s">
        <v>1045</v>
      </c>
      <c r="I252" s="615" t="s">
        <v>208</v>
      </c>
      <c r="J252" s="615" t="s">
        <v>1046</v>
      </c>
      <c r="K252" s="615"/>
      <c r="L252" s="617">
        <v>224.04406250449043</v>
      </c>
      <c r="M252" s="617">
        <v>33</v>
      </c>
      <c r="N252" s="618">
        <v>7393.4540626481839</v>
      </c>
    </row>
    <row r="253" spans="1:14" ht="14.4" customHeight="1" x14ac:dyDescent="0.3">
      <c r="A253" s="613" t="s">
        <v>323</v>
      </c>
      <c r="B253" s="614" t="s">
        <v>1112</v>
      </c>
      <c r="C253" s="615" t="s">
        <v>346</v>
      </c>
      <c r="D253" s="616" t="s">
        <v>1115</v>
      </c>
      <c r="E253" s="615" t="s">
        <v>352</v>
      </c>
      <c r="F253" s="616" t="s">
        <v>1117</v>
      </c>
      <c r="G253" s="615" t="s">
        <v>356</v>
      </c>
      <c r="H253" s="615" t="s">
        <v>729</v>
      </c>
      <c r="I253" s="615" t="s">
        <v>208</v>
      </c>
      <c r="J253" s="615" t="s">
        <v>730</v>
      </c>
      <c r="K253" s="615"/>
      <c r="L253" s="617">
        <v>201.25009711140626</v>
      </c>
      <c r="M253" s="617">
        <v>4</v>
      </c>
      <c r="N253" s="618">
        <v>805.00038844562505</v>
      </c>
    </row>
    <row r="254" spans="1:14" ht="14.4" customHeight="1" x14ac:dyDescent="0.3">
      <c r="A254" s="613" t="s">
        <v>323</v>
      </c>
      <c r="B254" s="614" t="s">
        <v>1112</v>
      </c>
      <c r="C254" s="615" t="s">
        <v>346</v>
      </c>
      <c r="D254" s="616" t="s">
        <v>1115</v>
      </c>
      <c r="E254" s="615" t="s">
        <v>352</v>
      </c>
      <c r="F254" s="616" t="s">
        <v>1117</v>
      </c>
      <c r="G254" s="615" t="s">
        <v>356</v>
      </c>
      <c r="H254" s="615" t="s">
        <v>737</v>
      </c>
      <c r="I254" s="615" t="s">
        <v>737</v>
      </c>
      <c r="J254" s="615" t="s">
        <v>389</v>
      </c>
      <c r="K254" s="615" t="s">
        <v>738</v>
      </c>
      <c r="L254" s="617">
        <v>57.02</v>
      </c>
      <c r="M254" s="617">
        <v>2</v>
      </c>
      <c r="N254" s="618">
        <v>114.04</v>
      </c>
    </row>
    <row r="255" spans="1:14" ht="14.4" customHeight="1" x14ac:dyDescent="0.3">
      <c r="A255" s="613" t="s">
        <v>323</v>
      </c>
      <c r="B255" s="614" t="s">
        <v>1112</v>
      </c>
      <c r="C255" s="615" t="s">
        <v>346</v>
      </c>
      <c r="D255" s="616" t="s">
        <v>1115</v>
      </c>
      <c r="E255" s="615" t="s">
        <v>352</v>
      </c>
      <c r="F255" s="616" t="s">
        <v>1117</v>
      </c>
      <c r="G255" s="615" t="s">
        <v>356</v>
      </c>
      <c r="H255" s="615" t="s">
        <v>1055</v>
      </c>
      <c r="I255" s="615" t="s">
        <v>1055</v>
      </c>
      <c r="J255" s="615" t="s">
        <v>1056</v>
      </c>
      <c r="K255" s="615" t="s">
        <v>1057</v>
      </c>
      <c r="L255" s="617">
        <v>171.58801659709528</v>
      </c>
      <c r="M255" s="617">
        <v>6</v>
      </c>
      <c r="N255" s="618">
        <v>1029.5280995825717</v>
      </c>
    </row>
    <row r="256" spans="1:14" ht="14.4" customHeight="1" x14ac:dyDescent="0.3">
      <c r="A256" s="613" t="s">
        <v>323</v>
      </c>
      <c r="B256" s="614" t="s">
        <v>1112</v>
      </c>
      <c r="C256" s="615" t="s">
        <v>346</v>
      </c>
      <c r="D256" s="616" t="s">
        <v>1115</v>
      </c>
      <c r="E256" s="615" t="s">
        <v>352</v>
      </c>
      <c r="F256" s="616" t="s">
        <v>1117</v>
      </c>
      <c r="G256" s="615" t="s">
        <v>770</v>
      </c>
      <c r="H256" s="615" t="s">
        <v>863</v>
      </c>
      <c r="I256" s="615" t="s">
        <v>863</v>
      </c>
      <c r="J256" s="615" t="s">
        <v>864</v>
      </c>
      <c r="K256" s="615" t="s">
        <v>865</v>
      </c>
      <c r="L256" s="617">
        <v>168.71000000000004</v>
      </c>
      <c r="M256" s="617">
        <v>4</v>
      </c>
      <c r="N256" s="618">
        <v>674.84000000000015</v>
      </c>
    </row>
    <row r="257" spans="1:14" ht="14.4" customHeight="1" x14ac:dyDescent="0.3">
      <c r="A257" s="613" t="s">
        <v>323</v>
      </c>
      <c r="B257" s="614" t="s">
        <v>1112</v>
      </c>
      <c r="C257" s="615" t="s">
        <v>346</v>
      </c>
      <c r="D257" s="616" t="s">
        <v>1115</v>
      </c>
      <c r="E257" s="615" t="s">
        <v>883</v>
      </c>
      <c r="F257" s="616" t="s">
        <v>1119</v>
      </c>
      <c r="G257" s="615" t="s">
        <v>356</v>
      </c>
      <c r="H257" s="615" t="s">
        <v>899</v>
      </c>
      <c r="I257" s="615" t="s">
        <v>900</v>
      </c>
      <c r="J257" s="615" t="s">
        <v>901</v>
      </c>
      <c r="K257" s="615" t="s">
        <v>902</v>
      </c>
      <c r="L257" s="617">
        <v>40.25</v>
      </c>
      <c r="M257" s="617">
        <v>3</v>
      </c>
      <c r="N257" s="618">
        <v>120.75</v>
      </c>
    </row>
    <row r="258" spans="1:14" ht="14.4" customHeight="1" x14ac:dyDescent="0.3">
      <c r="A258" s="613" t="s">
        <v>323</v>
      </c>
      <c r="B258" s="614" t="s">
        <v>1112</v>
      </c>
      <c r="C258" s="615" t="s">
        <v>346</v>
      </c>
      <c r="D258" s="616" t="s">
        <v>1115</v>
      </c>
      <c r="E258" s="615" t="s">
        <v>883</v>
      </c>
      <c r="F258" s="616" t="s">
        <v>1119</v>
      </c>
      <c r="G258" s="615" t="s">
        <v>356</v>
      </c>
      <c r="H258" s="615" t="s">
        <v>925</v>
      </c>
      <c r="I258" s="615" t="s">
        <v>926</v>
      </c>
      <c r="J258" s="615" t="s">
        <v>927</v>
      </c>
      <c r="K258" s="615" t="s">
        <v>928</v>
      </c>
      <c r="L258" s="617">
        <v>82.810000000000016</v>
      </c>
      <c r="M258" s="617">
        <v>2</v>
      </c>
      <c r="N258" s="618">
        <v>165.62000000000003</v>
      </c>
    </row>
    <row r="259" spans="1:14" ht="14.4" customHeight="1" x14ac:dyDescent="0.3">
      <c r="A259" s="613" t="s">
        <v>323</v>
      </c>
      <c r="B259" s="614" t="s">
        <v>1112</v>
      </c>
      <c r="C259" s="615" t="s">
        <v>346</v>
      </c>
      <c r="D259" s="616" t="s">
        <v>1115</v>
      </c>
      <c r="E259" s="615" t="s">
        <v>883</v>
      </c>
      <c r="F259" s="616" t="s">
        <v>1119</v>
      </c>
      <c r="G259" s="615" t="s">
        <v>356</v>
      </c>
      <c r="H259" s="615" t="s">
        <v>929</v>
      </c>
      <c r="I259" s="615" t="s">
        <v>930</v>
      </c>
      <c r="J259" s="615" t="s">
        <v>931</v>
      </c>
      <c r="K259" s="615" t="s">
        <v>932</v>
      </c>
      <c r="L259" s="617">
        <v>99.196666666666673</v>
      </c>
      <c r="M259" s="617">
        <v>3</v>
      </c>
      <c r="N259" s="618">
        <v>297.59000000000003</v>
      </c>
    </row>
    <row r="260" spans="1:14" ht="14.4" customHeight="1" x14ac:dyDescent="0.3">
      <c r="A260" s="613" t="s">
        <v>323</v>
      </c>
      <c r="B260" s="614" t="s">
        <v>1112</v>
      </c>
      <c r="C260" s="615" t="s">
        <v>346</v>
      </c>
      <c r="D260" s="616" t="s">
        <v>1115</v>
      </c>
      <c r="E260" s="615" t="s">
        <v>883</v>
      </c>
      <c r="F260" s="616" t="s">
        <v>1119</v>
      </c>
      <c r="G260" s="615" t="s">
        <v>356</v>
      </c>
      <c r="H260" s="615" t="s">
        <v>1078</v>
      </c>
      <c r="I260" s="615" t="s">
        <v>1079</v>
      </c>
      <c r="J260" s="615" t="s">
        <v>1080</v>
      </c>
      <c r="K260" s="615" t="s">
        <v>1081</v>
      </c>
      <c r="L260" s="617">
        <v>69.19</v>
      </c>
      <c r="M260" s="617">
        <v>2</v>
      </c>
      <c r="N260" s="618">
        <v>138.38</v>
      </c>
    </row>
    <row r="261" spans="1:14" ht="14.4" customHeight="1" x14ac:dyDescent="0.3">
      <c r="A261" s="613" t="s">
        <v>323</v>
      </c>
      <c r="B261" s="614" t="s">
        <v>1112</v>
      </c>
      <c r="C261" s="615" t="s">
        <v>346</v>
      </c>
      <c r="D261" s="616" t="s">
        <v>1115</v>
      </c>
      <c r="E261" s="615" t="s">
        <v>883</v>
      </c>
      <c r="F261" s="616" t="s">
        <v>1119</v>
      </c>
      <c r="G261" s="615" t="s">
        <v>770</v>
      </c>
      <c r="H261" s="615" t="s">
        <v>955</v>
      </c>
      <c r="I261" s="615" t="s">
        <v>956</v>
      </c>
      <c r="J261" s="615" t="s">
        <v>957</v>
      </c>
      <c r="K261" s="615" t="s">
        <v>958</v>
      </c>
      <c r="L261" s="617">
        <v>115.24068953112032</v>
      </c>
      <c r="M261" s="617">
        <v>18</v>
      </c>
      <c r="N261" s="618">
        <v>2074.3324115601658</v>
      </c>
    </row>
    <row r="262" spans="1:14" ht="14.4" customHeight="1" x14ac:dyDescent="0.3">
      <c r="A262" s="613" t="s">
        <v>323</v>
      </c>
      <c r="B262" s="614" t="s">
        <v>1112</v>
      </c>
      <c r="C262" s="615" t="s">
        <v>346</v>
      </c>
      <c r="D262" s="616" t="s">
        <v>1115</v>
      </c>
      <c r="E262" s="615" t="s">
        <v>883</v>
      </c>
      <c r="F262" s="616" t="s">
        <v>1119</v>
      </c>
      <c r="G262" s="615" t="s">
        <v>770</v>
      </c>
      <c r="H262" s="615" t="s">
        <v>1066</v>
      </c>
      <c r="I262" s="615" t="s">
        <v>1067</v>
      </c>
      <c r="J262" s="615" t="s">
        <v>1068</v>
      </c>
      <c r="K262" s="615" t="s">
        <v>1069</v>
      </c>
      <c r="L262" s="617">
        <v>112.31000000000004</v>
      </c>
      <c r="M262" s="617">
        <v>3</v>
      </c>
      <c r="N262" s="618">
        <v>336.93000000000012</v>
      </c>
    </row>
    <row r="263" spans="1:14" ht="14.4" customHeight="1" x14ac:dyDescent="0.3">
      <c r="A263" s="613" t="s">
        <v>323</v>
      </c>
      <c r="B263" s="614" t="s">
        <v>1112</v>
      </c>
      <c r="C263" s="615" t="s">
        <v>349</v>
      </c>
      <c r="D263" s="616" t="s">
        <v>1116</v>
      </c>
      <c r="E263" s="615" t="s">
        <v>352</v>
      </c>
      <c r="F263" s="616" t="s">
        <v>1117</v>
      </c>
      <c r="G263" s="615" t="s">
        <v>356</v>
      </c>
      <c r="H263" s="615" t="s">
        <v>357</v>
      </c>
      <c r="I263" s="615" t="s">
        <v>357</v>
      </c>
      <c r="J263" s="615" t="s">
        <v>358</v>
      </c>
      <c r="K263" s="615" t="s">
        <v>359</v>
      </c>
      <c r="L263" s="617">
        <v>171.60000000000002</v>
      </c>
      <c r="M263" s="617">
        <v>2</v>
      </c>
      <c r="N263" s="618">
        <v>343.20000000000005</v>
      </c>
    </row>
    <row r="264" spans="1:14" ht="14.4" customHeight="1" x14ac:dyDescent="0.3">
      <c r="A264" s="613" t="s">
        <v>323</v>
      </c>
      <c r="B264" s="614" t="s">
        <v>1112</v>
      </c>
      <c r="C264" s="615" t="s">
        <v>349</v>
      </c>
      <c r="D264" s="616" t="s">
        <v>1116</v>
      </c>
      <c r="E264" s="615" t="s">
        <v>352</v>
      </c>
      <c r="F264" s="616" t="s">
        <v>1117</v>
      </c>
      <c r="G264" s="615" t="s">
        <v>356</v>
      </c>
      <c r="H264" s="615" t="s">
        <v>365</v>
      </c>
      <c r="I264" s="615" t="s">
        <v>365</v>
      </c>
      <c r="J264" s="615" t="s">
        <v>358</v>
      </c>
      <c r="K264" s="615" t="s">
        <v>366</v>
      </c>
      <c r="L264" s="617">
        <v>93.5</v>
      </c>
      <c r="M264" s="617">
        <v>2</v>
      </c>
      <c r="N264" s="618">
        <v>187</v>
      </c>
    </row>
    <row r="265" spans="1:14" ht="14.4" customHeight="1" x14ac:dyDescent="0.3">
      <c r="A265" s="613" t="s">
        <v>323</v>
      </c>
      <c r="B265" s="614" t="s">
        <v>1112</v>
      </c>
      <c r="C265" s="615" t="s">
        <v>349</v>
      </c>
      <c r="D265" s="616" t="s">
        <v>1116</v>
      </c>
      <c r="E265" s="615" t="s">
        <v>352</v>
      </c>
      <c r="F265" s="616" t="s">
        <v>1117</v>
      </c>
      <c r="G265" s="615" t="s">
        <v>356</v>
      </c>
      <c r="H265" s="615" t="s">
        <v>367</v>
      </c>
      <c r="I265" s="615" t="s">
        <v>368</v>
      </c>
      <c r="J265" s="615" t="s">
        <v>369</v>
      </c>
      <c r="K265" s="615" t="s">
        <v>370</v>
      </c>
      <c r="L265" s="617">
        <v>87.03</v>
      </c>
      <c r="M265" s="617">
        <v>2</v>
      </c>
      <c r="N265" s="618">
        <v>174.06</v>
      </c>
    </row>
    <row r="266" spans="1:14" ht="14.4" customHeight="1" x14ac:dyDescent="0.3">
      <c r="A266" s="613" t="s">
        <v>323</v>
      </c>
      <c r="B266" s="614" t="s">
        <v>1112</v>
      </c>
      <c r="C266" s="615" t="s">
        <v>349</v>
      </c>
      <c r="D266" s="616" t="s">
        <v>1116</v>
      </c>
      <c r="E266" s="615" t="s">
        <v>352</v>
      </c>
      <c r="F266" s="616" t="s">
        <v>1117</v>
      </c>
      <c r="G266" s="615" t="s">
        <v>356</v>
      </c>
      <c r="H266" s="615" t="s">
        <v>371</v>
      </c>
      <c r="I266" s="615" t="s">
        <v>372</v>
      </c>
      <c r="J266" s="615" t="s">
        <v>373</v>
      </c>
      <c r="K266" s="615" t="s">
        <v>374</v>
      </c>
      <c r="L266" s="617">
        <v>96.820000000000022</v>
      </c>
      <c r="M266" s="617">
        <v>1</v>
      </c>
      <c r="N266" s="618">
        <v>96.820000000000022</v>
      </c>
    </row>
    <row r="267" spans="1:14" ht="14.4" customHeight="1" x14ac:dyDescent="0.3">
      <c r="A267" s="613" t="s">
        <v>323</v>
      </c>
      <c r="B267" s="614" t="s">
        <v>1112</v>
      </c>
      <c r="C267" s="615" t="s">
        <v>349</v>
      </c>
      <c r="D267" s="616" t="s">
        <v>1116</v>
      </c>
      <c r="E267" s="615" t="s">
        <v>352</v>
      </c>
      <c r="F267" s="616" t="s">
        <v>1117</v>
      </c>
      <c r="G267" s="615" t="s">
        <v>356</v>
      </c>
      <c r="H267" s="615" t="s">
        <v>1082</v>
      </c>
      <c r="I267" s="615" t="s">
        <v>1083</v>
      </c>
      <c r="J267" s="615" t="s">
        <v>608</v>
      </c>
      <c r="K267" s="615" t="s">
        <v>1084</v>
      </c>
      <c r="L267" s="617">
        <v>167.6100000000001</v>
      </c>
      <c r="M267" s="617">
        <v>1</v>
      </c>
      <c r="N267" s="618">
        <v>167.6100000000001</v>
      </c>
    </row>
    <row r="268" spans="1:14" ht="14.4" customHeight="1" x14ac:dyDescent="0.3">
      <c r="A268" s="613" t="s">
        <v>323</v>
      </c>
      <c r="B268" s="614" t="s">
        <v>1112</v>
      </c>
      <c r="C268" s="615" t="s">
        <v>349</v>
      </c>
      <c r="D268" s="616" t="s">
        <v>1116</v>
      </c>
      <c r="E268" s="615" t="s">
        <v>352</v>
      </c>
      <c r="F268" s="616" t="s">
        <v>1117</v>
      </c>
      <c r="G268" s="615" t="s">
        <v>356</v>
      </c>
      <c r="H268" s="615" t="s">
        <v>379</v>
      </c>
      <c r="I268" s="615" t="s">
        <v>380</v>
      </c>
      <c r="J268" s="615" t="s">
        <v>381</v>
      </c>
      <c r="K268" s="615" t="s">
        <v>382</v>
      </c>
      <c r="L268" s="617">
        <v>43.802832063313296</v>
      </c>
      <c r="M268" s="617">
        <v>1</v>
      </c>
      <c r="N268" s="618">
        <v>43.802832063313296</v>
      </c>
    </row>
    <row r="269" spans="1:14" ht="14.4" customHeight="1" x14ac:dyDescent="0.3">
      <c r="A269" s="613" t="s">
        <v>323</v>
      </c>
      <c r="B269" s="614" t="s">
        <v>1112</v>
      </c>
      <c r="C269" s="615" t="s">
        <v>349</v>
      </c>
      <c r="D269" s="616" t="s">
        <v>1116</v>
      </c>
      <c r="E269" s="615" t="s">
        <v>352</v>
      </c>
      <c r="F269" s="616" t="s">
        <v>1117</v>
      </c>
      <c r="G269" s="615" t="s">
        <v>356</v>
      </c>
      <c r="H269" s="615" t="s">
        <v>447</v>
      </c>
      <c r="I269" s="615" t="s">
        <v>448</v>
      </c>
      <c r="J269" s="615" t="s">
        <v>449</v>
      </c>
      <c r="K269" s="615" t="s">
        <v>450</v>
      </c>
      <c r="L269" s="617">
        <v>80.170135245876651</v>
      </c>
      <c r="M269" s="617">
        <v>1</v>
      </c>
      <c r="N269" s="618">
        <v>80.170135245876651</v>
      </c>
    </row>
    <row r="270" spans="1:14" ht="14.4" customHeight="1" x14ac:dyDescent="0.3">
      <c r="A270" s="613" t="s">
        <v>323</v>
      </c>
      <c r="B270" s="614" t="s">
        <v>1112</v>
      </c>
      <c r="C270" s="615" t="s">
        <v>349</v>
      </c>
      <c r="D270" s="616" t="s">
        <v>1116</v>
      </c>
      <c r="E270" s="615" t="s">
        <v>352</v>
      </c>
      <c r="F270" s="616" t="s">
        <v>1117</v>
      </c>
      <c r="G270" s="615" t="s">
        <v>356</v>
      </c>
      <c r="H270" s="615" t="s">
        <v>455</v>
      </c>
      <c r="I270" s="615" t="s">
        <v>456</v>
      </c>
      <c r="J270" s="615" t="s">
        <v>457</v>
      </c>
      <c r="K270" s="615" t="s">
        <v>458</v>
      </c>
      <c r="L270" s="617">
        <v>74.87</v>
      </c>
      <c r="M270" s="617">
        <v>1</v>
      </c>
      <c r="N270" s="618">
        <v>74.87</v>
      </c>
    </row>
    <row r="271" spans="1:14" ht="14.4" customHeight="1" x14ac:dyDescent="0.3">
      <c r="A271" s="613" t="s">
        <v>323</v>
      </c>
      <c r="B271" s="614" t="s">
        <v>1112</v>
      </c>
      <c r="C271" s="615" t="s">
        <v>349</v>
      </c>
      <c r="D271" s="616" t="s">
        <v>1116</v>
      </c>
      <c r="E271" s="615" t="s">
        <v>352</v>
      </c>
      <c r="F271" s="616" t="s">
        <v>1117</v>
      </c>
      <c r="G271" s="615" t="s">
        <v>356</v>
      </c>
      <c r="H271" s="615" t="s">
        <v>463</v>
      </c>
      <c r="I271" s="615" t="s">
        <v>464</v>
      </c>
      <c r="J271" s="615" t="s">
        <v>465</v>
      </c>
      <c r="K271" s="615" t="s">
        <v>466</v>
      </c>
      <c r="L271" s="617">
        <v>117.52009903466617</v>
      </c>
      <c r="M271" s="617">
        <v>2</v>
      </c>
      <c r="N271" s="618">
        <v>235.04019806933235</v>
      </c>
    </row>
    <row r="272" spans="1:14" ht="14.4" customHeight="1" x14ac:dyDescent="0.3">
      <c r="A272" s="613" t="s">
        <v>323</v>
      </c>
      <c r="B272" s="614" t="s">
        <v>1112</v>
      </c>
      <c r="C272" s="615" t="s">
        <v>349</v>
      </c>
      <c r="D272" s="616" t="s">
        <v>1116</v>
      </c>
      <c r="E272" s="615" t="s">
        <v>352</v>
      </c>
      <c r="F272" s="616" t="s">
        <v>1117</v>
      </c>
      <c r="G272" s="615" t="s">
        <v>356</v>
      </c>
      <c r="H272" s="615" t="s">
        <v>506</v>
      </c>
      <c r="I272" s="615" t="s">
        <v>208</v>
      </c>
      <c r="J272" s="615" t="s">
        <v>507</v>
      </c>
      <c r="K272" s="615"/>
      <c r="L272" s="617">
        <v>97.320450317575421</v>
      </c>
      <c r="M272" s="617">
        <v>4</v>
      </c>
      <c r="N272" s="618">
        <v>389.28180127030168</v>
      </c>
    </row>
    <row r="273" spans="1:14" ht="14.4" customHeight="1" x14ac:dyDescent="0.3">
      <c r="A273" s="613" t="s">
        <v>323</v>
      </c>
      <c r="B273" s="614" t="s">
        <v>1112</v>
      </c>
      <c r="C273" s="615" t="s">
        <v>349</v>
      </c>
      <c r="D273" s="616" t="s">
        <v>1116</v>
      </c>
      <c r="E273" s="615" t="s">
        <v>352</v>
      </c>
      <c r="F273" s="616" t="s">
        <v>1117</v>
      </c>
      <c r="G273" s="615" t="s">
        <v>356</v>
      </c>
      <c r="H273" s="615" t="s">
        <v>1072</v>
      </c>
      <c r="I273" s="615" t="s">
        <v>208</v>
      </c>
      <c r="J273" s="615" t="s">
        <v>1073</v>
      </c>
      <c r="K273" s="615"/>
      <c r="L273" s="617">
        <v>32.229639851509859</v>
      </c>
      <c r="M273" s="617">
        <v>1</v>
      </c>
      <c r="N273" s="618">
        <v>32.229639851509859</v>
      </c>
    </row>
    <row r="274" spans="1:14" ht="14.4" customHeight="1" x14ac:dyDescent="0.3">
      <c r="A274" s="613" t="s">
        <v>323</v>
      </c>
      <c r="B274" s="614" t="s">
        <v>1112</v>
      </c>
      <c r="C274" s="615" t="s">
        <v>349</v>
      </c>
      <c r="D274" s="616" t="s">
        <v>1116</v>
      </c>
      <c r="E274" s="615" t="s">
        <v>352</v>
      </c>
      <c r="F274" s="616" t="s">
        <v>1117</v>
      </c>
      <c r="G274" s="615" t="s">
        <v>356</v>
      </c>
      <c r="H274" s="615" t="s">
        <v>1085</v>
      </c>
      <c r="I274" s="615" t="s">
        <v>208</v>
      </c>
      <c r="J274" s="615" t="s">
        <v>1086</v>
      </c>
      <c r="K274" s="615"/>
      <c r="L274" s="617">
        <v>97.320304989087134</v>
      </c>
      <c r="M274" s="617">
        <v>2</v>
      </c>
      <c r="N274" s="618">
        <v>194.64060997817427</v>
      </c>
    </row>
    <row r="275" spans="1:14" ht="14.4" customHeight="1" x14ac:dyDescent="0.3">
      <c r="A275" s="613" t="s">
        <v>323</v>
      </c>
      <c r="B275" s="614" t="s">
        <v>1112</v>
      </c>
      <c r="C275" s="615" t="s">
        <v>349</v>
      </c>
      <c r="D275" s="616" t="s">
        <v>1116</v>
      </c>
      <c r="E275" s="615" t="s">
        <v>352</v>
      </c>
      <c r="F275" s="616" t="s">
        <v>1117</v>
      </c>
      <c r="G275" s="615" t="s">
        <v>356</v>
      </c>
      <c r="H275" s="615" t="s">
        <v>541</v>
      </c>
      <c r="I275" s="615" t="s">
        <v>542</v>
      </c>
      <c r="J275" s="615" t="s">
        <v>535</v>
      </c>
      <c r="K275" s="615" t="s">
        <v>543</v>
      </c>
      <c r="L275" s="617">
        <v>27.117944661502627</v>
      </c>
      <c r="M275" s="617">
        <v>5</v>
      </c>
      <c r="N275" s="618">
        <v>135.58972330751314</v>
      </c>
    </row>
    <row r="276" spans="1:14" ht="14.4" customHeight="1" x14ac:dyDescent="0.3">
      <c r="A276" s="613" t="s">
        <v>323</v>
      </c>
      <c r="B276" s="614" t="s">
        <v>1112</v>
      </c>
      <c r="C276" s="615" t="s">
        <v>349</v>
      </c>
      <c r="D276" s="616" t="s">
        <v>1116</v>
      </c>
      <c r="E276" s="615" t="s">
        <v>352</v>
      </c>
      <c r="F276" s="616" t="s">
        <v>1117</v>
      </c>
      <c r="G276" s="615" t="s">
        <v>356</v>
      </c>
      <c r="H276" s="615" t="s">
        <v>1087</v>
      </c>
      <c r="I276" s="615" t="s">
        <v>1088</v>
      </c>
      <c r="J276" s="615" t="s">
        <v>1089</v>
      </c>
      <c r="K276" s="615"/>
      <c r="L276" s="617">
        <v>496.2595181959295</v>
      </c>
      <c r="M276" s="617">
        <v>1</v>
      </c>
      <c r="N276" s="618">
        <v>496.2595181959295</v>
      </c>
    </row>
    <row r="277" spans="1:14" ht="14.4" customHeight="1" x14ac:dyDescent="0.3">
      <c r="A277" s="613" t="s">
        <v>323</v>
      </c>
      <c r="B277" s="614" t="s">
        <v>1112</v>
      </c>
      <c r="C277" s="615" t="s">
        <v>349</v>
      </c>
      <c r="D277" s="616" t="s">
        <v>1116</v>
      </c>
      <c r="E277" s="615" t="s">
        <v>352</v>
      </c>
      <c r="F277" s="616" t="s">
        <v>1117</v>
      </c>
      <c r="G277" s="615" t="s">
        <v>356</v>
      </c>
      <c r="H277" s="615" t="s">
        <v>606</v>
      </c>
      <c r="I277" s="615" t="s">
        <v>607</v>
      </c>
      <c r="J277" s="615" t="s">
        <v>608</v>
      </c>
      <c r="K277" s="615" t="s">
        <v>609</v>
      </c>
      <c r="L277" s="617">
        <v>49.39</v>
      </c>
      <c r="M277" s="617">
        <v>2</v>
      </c>
      <c r="N277" s="618">
        <v>98.78</v>
      </c>
    </row>
    <row r="278" spans="1:14" ht="14.4" customHeight="1" x14ac:dyDescent="0.3">
      <c r="A278" s="613" t="s">
        <v>323</v>
      </c>
      <c r="B278" s="614" t="s">
        <v>1112</v>
      </c>
      <c r="C278" s="615" t="s">
        <v>349</v>
      </c>
      <c r="D278" s="616" t="s">
        <v>1116</v>
      </c>
      <c r="E278" s="615" t="s">
        <v>352</v>
      </c>
      <c r="F278" s="616" t="s">
        <v>1117</v>
      </c>
      <c r="G278" s="615" t="s">
        <v>356</v>
      </c>
      <c r="H278" s="615" t="s">
        <v>613</v>
      </c>
      <c r="I278" s="615" t="s">
        <v>614</v>
      </c>
      <c r="J278" s="615" t="s">
        <v>615</v>
      </c>
      <c r="K278" s="615" t="s">
        <v>616</v>
      </c>
      <c r="L278" s="617">
        <v>152.19740777306907</v>
      </c>
      <c r="M278" s="617">
        <v>160</v>
      </c>
      <c r="N278" s="618">
        <v>24351.585243691054</v>
      </c>
    </row>
    <row r="279" spans="1:14" ht="14.4" customHeight="1" x14ac:dyDescent="0.3">
      <c r="A279" s="613" t="s">
        <v>323</v>
      </c>
      <c r="B279" s="614" t="s">
        <v>1112</v>
      </c>
      <c r="C279" s="615" t="s">
        <v>349</v>
      </c>
      <c r="D279" s="616" t="s">
        <v>1116</v>
      </c>
      <c r="E279" s="615" t="s">
        <v>352</v>
      </c>
      <c r="F279" s="616" t="s">
        <v>1117</v>
      </c>
      <c r="G279" s="615" t="s">
        <v>356</v>
      </c>
      <c r="H279" s="615" t="s">
        <v>1074</v>
      </c>
      <c r="I279" s="615" t="s">
        <v>208</v>
      </c>
      <c r="J279" s="615" t="s">
        <v>1075</v>
      </c>
      <c r="K279" s="615"/>
      <c r="L279" s="617">
        <v>29.473987867786395</v>
      </c>
      <c r="M279" s="617">
        <v>5</v>
      </c>
      <c r="N279" s="618">
        <v>147.36993933893197</v>
      </c>
    </row>
    <row r="280" spans="1:14" ht="14.4" customHeight="1" x14ac:dyDescent="0.3">
      <c r="A280" s="613" t="s">
        <v>323</v>
      </c>
      <c r="B280" s="614" t="s">
        <v>1112</v>
      </c>
      <c r="C280" s="615" t="s">
        <v>349</v>
      </c>
      <c r="D280" s="616" t="s">
        <v>1116</v>
      </c>
      <c r="E280" s="615" t="s">
        <v>352</v>
      </c>
      <c r="F280" s="616" t="s">
        <v>1117</v>
      </c>
      <c r="G280" s="615" t="s">
        <v>356</v>
      </c>
      <c r="H280" s="615" t="s">
        <v>1090</v>
      </c>
      <c r="I280" s="615" t="s">
        <v>208</v>
      </c>
      <c r="J280" s="615" t="s">
        <v>1091</v>
      </c>
      <c r="K280" s="615"/>
      <c r="L280" s="617">
        <v>369.15678674199279</v>
      </c>
      <c r="M280" s="617">
        <v>14</v>
      </c>
      <c r="N280" s="618">
        <v>5168.1950143878994</v>
      </c>
    </row>
    <row r="281" spans="1:14" ht="14.4" customHeight="1" x14ac:dyDescent="0.3">
      <c r="A281" s="613" t="s">
        <v>323</v>
      </c>
      <c r="B281" s="614" t="s">
        <v>1112</v>
      </c>
      <c r="C281" s="615" t="s">
        <v>349</v>
      </c>
      <c r="D281" s="616" t="s">
        <v>1116</v>
      </c>
      <c r="E281" s="615" t="s">
        <v>352</v>
      </c>
      <c r="F281" s="616" t="s">
        <v>1117</v>
      </c>
      <c r="G281" s="615" t="s">
        <v>356</v>
      </c>
      <c r="H281" s="615" t="s">
        <v>619</v>
      </c>
      <c r="I281" s="615" t="s">
        <v>208</v>
      </c>
      <c r="J281" s="615" t="s">
        <v>620</v>
      </c>
      <c r="K281" s="615"/>
      <c r="L281" s="617">
        <v>453.88544326098054</v>
      </c>
      <c r="M281" s="617">
        <v>2</v>
      </c>
      <c r="N281" s="618">
        <v>907.77088652196107</v>
      </c>
    </row>
    <row r="282" spans="1:14" ht="14.4" customHeight="1" x14ac:dyDescent="0.3">
      <c r="A282" s="613" t="s">
        <v>323</v>
      </c>
      <c r="B282" s="614" t="s">
        <v>1112</v>
      </c>
      <c r="C282" s="615" t="s">
        <v>349</v>
      </c>
      <c r="D282" s="616" t="s">
        <v>1116</v>
      </c>
      <c r="E282" s="615" t="s">
        <v>352</v>
      </c>
      <c r="F282" s="616" t="s">
        <v>1117</v>
      </c>
      <c r="G282" s="615" t="s">
        <v>356</v>
      </c>
      <c r="H282" s="615" t="s">
        <v>625</v>
      </c>
      <c r="I282" s="615" t="s">
        <v>626</v>
      </c>
      <c r="J282" s="615" t="s">
        <v>627</v>
      </c>
      <c r="K282" s="615" t="s">
        <v>628</v>
      </c>
      <c r="L282" s="617">
        <v>104.07000000000002</v>
      </c>
      <c r="M282" s="617">
        <v>2</v>
      </c>
      <c r="N282" s="618">
        <v>208.14000000000004</v>
      </c>
    </row>
    <row r="283" spans="1:14" ht="14.4" customHeight="1" x14ac:dyDescent="0.3">
      <c r="A283" s="613" t="s">
        <v>323</v>
      </c>
      <c r="B283" s="614" t="s">
        <v>1112</v>
      </c>
      <c r="C283" s="615" t="s">
        <v>349</v>
      </c>
      <c r="D283" s="616" t="s">
        <v>1116</v>
      </c>
      <c r="E283" s="615" t="s">
        <v>352</v>
      </c>
      <c r="F283" s="616" t="s">
        <v>1117</v>
      </c>
      <c r="G283" s="615" t="s">
        <v>356</v>
      </c>
      <c r="H283" s="615" t="s">
        <v>633</v>
      </c>
      <c r="I283" s="615" t="s">
        <v>634</v>
      </c>
      <c r="J283" s="615" t="s">
        <v>635</v>
      </c>
      <c r="K283" s="615" t="s">
        <v>636</v>
      </c>
      <c r="L283" s="617">
        <v>53.46</v>
      </c>
      <c r="M283" s="617">
        <v>3</v>
      </c>
      <c r="N283" s="618">
        <v>160.38</v>
      </c>
    </row>
    <row r="284" spans="1:14" ht="14.4" customHeight="1" x14ac:dyDescent="0.3">
      <c r="A284" s="613" t="s">
        <v>323</v>
      </c>
      <c r="B284" s="614" t="s">
        <v>1112</v>
      </c>
      <c r="C284" s="615" t="s">
        <v>349</v>
      </c>
      <c r="D284" s="616" t="s">
        <v>1116</v>
      </c>
      <c r="E284" s="615" t="s">
        <v>352</v>
      </c>
      <c r="F284" s="616" t="s">
        <v>1117</v>
      </c>
      <c r="G284" s="615" t="s">
        <v>356</v>
      </c>
      <c r="H284" s="615" t="s">
        <v>637</v>
      </c>
      <c r="I284" s="615" t="s">
        <v>208</v>
      </c>
      <c r="J284" s="615" t="s">
        <v>638</v>
      </c>
      <c r="K284" s="615" t="s">
        <v>639</v>
      </c>
      <c r="L284" s="617">
        <v>23.70018752919237</v>
      </c>
      <c r="M284" s="617">
        <v>252</v>
      </c>
      <c r="N284" s="618">
        <v>5972.4472573564772</v>
      </c>
    </row>
    <row r="285" spans="1:14" ht="14.4" customHeight="1" x14ac:dyDescent="0.3">
      <c r="A285" s="613" t="s">
        <v>323</v>
      </c>
      <c r="B285" s="614" t="s">
        <v>1112</v>
      </c>
      <c r="C285" s="615" t="s">
        <v>349</v>
      </c>
      <c r="D285" s="616" t="s">
        <v>1116</v>
      </c>
      <c r="E285" s="615" t="s">
        <v>352</v>
      </c>
      <c r="F285" s="616" t="s">
        <v>1117</v>
      </c>
      <c r="G285" s="615" t="s">
        <v>356</v>
      </c>
      <c r="H285" s="615" t="s">
        <v>1092</v>
      </c>
      <c r="I285" s="615" t="s">
        <v>208</v>
      </c>
      <c r="J285" s="615" t="s">
        <v>1093</v>
      </c>
      <c r="K285" s="615" t="s">
        <v>1094</v>
      </c>
      <c r="L285" s="617">
        <v>199.67000000000004</v>
      </c>
      <c r="M285" s="617">
        <v>2</v>
      </c>
      <c r="N285" s="618">
        <v>399.34000000000009</v>
      </c>
    </row>
    <row r="286" spans="1:14" ht="14.4" customHeight="1" x14ac:dyDescent="0.3">
      <c r="A286" s="613" t="s">
        <v>323</v>
      </c>
      <c r="B286" s="614" t="s">
        <v>1112</v>
      </c>
      <c r="C286" s="615" t="s">
        <v>349</v>
      </c>
      <c r="D286" s="616" t="s">
        <v>1116</v>
      </c>
      <c r="E286" s="615" t="s">
        <v>352</v>
      </c>
      <c r="F286" s="616" t="s">
        <v>1117</v>
      </c>
      <c r="G286" s="615" t="s">
        <v>356</v>
      </c>
      <c r="H286" s="615" t="s">
        <v>1095</v>
      </c>
      <c r="I286" s="615" t="s">
        <v>208</v>
      </c>
      <c r="J286" s="615" t="s">
        <v>1096</v>
      </c>
      <c r="K286" s="615"/>
      <c r="L286" s="617">
        <v>57.626874446126436</v>
      </c>
      <c r="M286" s="617">
        <v>2</v>
      </c>
      <c r="N286" s="618">
        <v>115.25374889225287</v>
      </c>
    </row>
    <row r="287" spans="1:14" ht="14.4" customHeight="1" x14ac:dyDescent="0.3">
      <c r="A287" s="613" t="s">
        <v>323</v>
      </c>
      <c r="B287" s="614" t="s">
        <v>1112</v>
      </c>
      <c r="C287" s="615" t="s">
        <v>349</v>
      </c>
      <c r="D287" s="616" t="s">
        <v>1116</v>
      </c>
      <c r="E287" s="615" t="s">
        <v>352</v>
      </c>
      <c r="F287" s="616" t="s">
        <v>1117</v>
      </c>
      <c r="G287" s="615" t="s">
        <v>356</v>
      </c>
      <c r="H287" s="615" t="s">
        <v>655</v>
      </c>
      <c r="I287" s="615" t="s">
        <v>656</v>
      </c>
      <c r="J287" s="615" t="s">
        <v>657</v>
      </c>
      <c r="K287" s="615" t="s">
        <v>658</v>
      </c>
      <c r="L287" s="617">
        <v>49.649571093831447</v>
      </c>
      <c r="M287" s="617">
        <v>7</v>
      </c>
      <c r="N287" s="618">
        <v>347.54699765682011</v>
      </c>
    </row>
    <row r="288" spans="1:14" ht="14.4" customHeight="1" x14ac:dyDescent="0.3">
      <c r="A288" s="613" t="s">
        <v>323</v>
      </c>
      <c r="B288" s="614" t="s">
        <v>1112</v>
      </c>
      <c r="C288" s="615" t="s">
        <v>349</v>
      </c>
      <c r="D288" s="616" t="s">
        <v>1116</v>
      </c>
      <c r="E288" s="615" t="s">
        <v>352</v>
      </c>
      <c r="F288" s="616" t="s">
        <v>1117</v>
      </c>
      <c r="G288" s="615" t="s">
        <v>356</v>
      </c>
      <c r="H288" s="615" t="s">
        <v>1097</v>
      </c>
      <c r="I288" s="615" t="s">
        <v>1098</v>
      </c>
      <c r="J288" s="615" t="s">
        <v>1099</v>
      </c>
      <c r="K288" s="615"/>
      <c r="L288" s="617">
        <v>264.47699177613111</v>
      </c>
      <c r="M288" s="617">
        <v>1</v>
      </c>
      <c r="N288" s="618">
        <v>264.47699177613111</v>
      </c>
    </row>
    <row r="289" spans="1:14" ht="14.4" customHeight="1" x14ac:dyDescent="0.3">
      <c r="A289" s="613" t="s">
        <v>323</v>
      </c>
      <c r="B289" s="614" t="s">
        <v>1112</v>
      </c>
      <c r="C289" s="615" t="s">
        <v>349</v>
      </c>
      <c r="D289" s="616" t="s">
        <v>1116</v>
      </c>
      <c r="E289" s="615" t="s">
        <v>352</v>
      </c>
      <c r="F289" s="616" t="s">
        <v>1117</v>
      </c>
      <c r="G289" s="615" t="s">
        <v>356</v>
      </c>
      <c r="H289" s="615" t="s">
        <v>1100</v>
      </c>
      <c r="I289" s="615" t="s">
        <v>208</v>
      </c>
      <c r="J289" s="615" t="s">
        <v>1101</v>
      </c>
      <c r="K289" s="615"/>
      <c r="L289" s="617">
        <v>146.45674623891992</v>
      </c>
      <c r="M289" s="617">
        <v>6</v>
      </c>
      <c r="N289" s="618">
        <v>878.74047743351946</v>
      </c>
    </row>
    <row r="290" spans="1:14" ht="14.4" customHeight="1" x14ac:dyDescent="0.3">
      <c r="A290" s="613" t="s">
        <v>323</v>
      </c>
      <c r="B290" s="614" t="s">
        <v>1112</v>
      </c>
      <c r="C290" s="615" t="s">
        <v>349</v>
      </c>
      <c r="D290" s="616" t="s">
        <v>1116</v>
      </c>
      <c r="E290" s="615" t="s">
        <v>352</v>
      </c>
      <c r="F290" s="616" t="s">
        <v>1117</v>
      </c>
      <c r="G290" s="615" t="s">
        <v>356</v>
      </c>
      <c r="H290" s="615" t="s">
        <v>1102</v>
      </c>
      <c r="I290" s="615" t="s">
        <v>208</v>
      </c>
      <c r="J290" s="615" t="s">
        <v>1103</v>
      </c>
      <c r="K290" s="615"/>
      <c r="L290" s="617">
        <v>123.27425041195536</v>
      </c>
      <c r="M290" s="617">
        <v>2</v>
      </c>
      <c r="N290" s="618">
        <v>246.54850082391073</v>
      </c>
    </row>
    <row r="291" spans="1:14" ht="14.4" customHeight="1" x14ac:dyDescent="0.3">
      <c r="A291" s="613" t="s">
        <v>323</v>
      </c>
      <c r="B291" s="614" t="s">
        <v>1112</v>
      </c>
      <c r="C291" s="615" t="s">
        <v>349</v>
      </c>
      <c r="D291" s="616" t="s">
        <v>1116</v>
      </c>
      <c r="E291" s="615" t="s">
        <v>352</v>
      </c>
      <c r="F291" s="616" t="s">
        <v>1117</v>
      </c>
      <c r="G291" s="615" t="s">
        <v>356</v>
      </c>
      <c r="H291" s="615" t="s">
        <v>683</v>
      </c>
      <c r="I291" s="615" t="s">
        <v>684</v>
      </c>
      <c r="J291" s="615" t="s">
        <v>685</v>
      </c>
      <c r="K291" s="615" t="s">
        <v>686</v>
      </c>
      <c r="L291" s="617">
        <v>70.272754385964916</v>
      </c>
      <c r="M291" s="617">
        <v>7</v>
      </c>
      <c r="N291" s="618">
        <v>491.90928070175437</v>
      </c>
    </row>
    <row r="292" spans="1:14" ht="14.4" customHeight="1" x14ac:dyDescent="0.3">
      <c r="A292" s="613" t="s">
        <v>323</v>
      </c>
      <c r="B292" s="614" t="s">
        <v>1112</v>
      </c>
      <c r="C292" s="615" t="s">
        <v>349</v>
      </c>
      <c r="D292" s="616" t="s">
        <v>1116</v>
      </c>
      <c r="E292" s="615" t="s">
        <v>352</v>
      </c>
      <c r="F292" s="616" t="s">
        <v>1117</v>
      </c>
      <c r="G292" s="615" t="s">
        <v>356</v>
      </c>
      <c r="H292" s="615" t="s">
        <v>1104</v>
      </c>
      <c r="I292" s="615" t="s">
        <v>208</v>
      </c>
      <c r="J292" s="615" t="s">
        <v>1105</v>
      </c>
      <c r="K292" s="615"/>
      <c r="L292" s="617">
        <v>127.44326992600365</v>
      </c>
      <c r="M292" s="617">
        <v>3</v>
      </c>
      <c r="N292" s="618">
        <v>382.32980977801094</v>
      </c>
    </row>
    <row r="293" spans="1:14" ht="14.4" customHeight="1" x14ac:dyDescent="0.3">
      <c r="A293" s="613" t="s">
        <v>323</v>
      </c>
      <c r="B293" s="614" t="s">
        <v>1112</v>
      </c>
      <c r="C293" s="615" t="s">
        <v>349</v>
      </c>
      <c r="D293" s="616" t="s">
        <v>1116</v>
      </c>
      <c r="E293" s="615" t="s">
        <v>352</v>
      </c>
      <c r="F293" s="616" t="s">
        <v>1117</v>
      </c>
      <c r="G293" s="615" t="s">
        <v>356</v>
      </c>
      <c r="H293" s="615" t="s">
        <v>712</v>
      </c>
      <c r="I293" s="615" t="s">
        <v>713</v>
      </c>
      <c r="J293" s="615" t="s">
        <v>714</v>
      </c>
      <c r="K293" s="615" t="s">
        <v>715</v>
      </c>
      <c r="L293" s="617">
        <v>109.09631389599433</v>
      </c>
      <c r="M293" s="617">
        <v>3</v>
      </c>
      <c r="N293" s="618">
        <v>327.28894168798297</v>
      </c>
    </row>
    <row r="294" spans="1:14" ht="14.4" customHeight="1" x14ac:dyDescent="0.3">
      <c r="A294" s="613" t="s">
        <v>323</v>
      </c>
      <c r="B294" s="614" t="s">
        <v>1112</v>
      </c>
      <c r="C294" s="615" t="s">
        <v>349</v>
      </c>
      <c r="D294" s="616" t="s">
        <v>1116</v>
      </c>
      <c r="E294" s="615" t="s">
        <v>352</v>
      </c>
      <c r="F294" s="616" t="s">
        <v>1117</v>
      </c>
      <c r="G294" s="615" t="s">
        <v>356</v>
      </c>
      <c r="H294" s="615" t="s">
        <v>1037</v>
      </c>
      <c r="I294" s="615" t="s">
        <v>208</v>
      </c>
      <c r="J294" s="615" t="s">
        <v>1038</v>
      </c>
      <c r="K294" s="615"/>
      <c r="L294" s="617">
        <v>82.166952103048899</v>
      </c>
      <c r="M294" s="617">
        <v>7</v>
      </c>
      <c r="N294" s="618">
        <v>575.16866472134234</v>
      </c>
    </row>
    <row r="295" spans="1:14" ht="14.4" customHeight="1" x14ac:dyDescent="0.3">
      <c r="A295" s="613" t="s">
        <v>323</v>
      </c>
      <c r="B295" s="614" t="s">
        <v>1112</v>
      </c>
      <c r="C295" s="615" t="s">
        <v>349</v>
      </c>
      <c r="D295" s="616" t="s">
        <v>1116</v>
      </c>
      <c r="E295" s="615" t="s">
        <v>352</v>
      </c>
      <c r="F295" s="616" t="s">
        <v>1117</v>
      </c>
      <c r="G295" s="615" t="s">
        <v>356</v>
      </c>
      <c r="H295" s="615" t="s">
        <v>1043</v>
      </c>
      <c r="I295" s="615" t="s">
        <v>208</v>
      </c>
      <c r="J295" s="615" t="s">
        <v>1044</v>
      </c>
      <c r="K295" s="615" t="s">
        <v>711</v>
      </c>
      <c r="L295" s="617">
        <v>76.663055632603246</v>
      </c>
      <c r="M295" s="617">
        <v>4</v>
      </c>
      <c r="N295" s="618">
        <v>306.65222253041298</v>
      </c>
    </row>
    <row r="296" spans="1:14" ht="14.4" customHeight="1" x14ac:dyDescent="0.3">
      <c r="A296" s="613" t="s">
        <v>323</v>
      </c>
      <c r="B296" s="614" t="s">
        <v>1112</v>
      </c>
      <c r="C296" s="615" t="s">
        <v>349</v>
      </c>
      <c r="D296" s="616" t="s">
        <v>1116</v>
      </c>
      <c r="E296" s="615" t="s">
        <v>352</v>
      </c>
      <c r="F296" s="616" t="s">
        <v>1117</v>
      </c>
      <c r="G296" s="615" t="s">
        <v>356</v>
      </c>
      <c r="H296" s="615" t="s">
        <v>1106</v>
      </c>
      <c r="I296" s="615" t="s">
        <v>380</v>
      </c>
      <c r="J296" s="615" t="s">
        <v>1107</v>
      </c>
      <c r="K296" s="615" t="s">
        <v>1108</v>
      </c>
      <c r="L296" s="617">
        <v>46.577593904566591</v>
      </c>
      <c r="M296" s="617">
        <v>4</v>
      </c>
      <c r="N296" s="618">
        <v>186.31037561826636</v>
      </c>
    </row>
    <row r="297" spans="1:14" ht="14.4" customHeight="1" x14ac:dyDescent="0.3">
      <c r="A297" s="613" t="s">
        <v>323</v>
      </c>
      <c r="B297" s="614" t="s">
        <v>1112</v>
      </c>
      <c r="C297" s="615" t="s">
        <v>349</v>
      </c>
      <c r="D297" s="616" t="s">
        <v>1116</v>
      </c>
      <c r="E297" s="615" t="s">
        <v>352</v>
      </c>
      <c r="F297" s="616" t="s">
        <v>1117</v>
      </c>
      <c r="G297" s="615" t="s">
        <v>356</v>
      </c>
      <c r="H297" s="615" t="s">
        <v>1109</v>
      </c>
      <c r="I297" s="615" t="s">
        <v>1109</v>
      </c>
      <c r="J297" s="615" t="s">
        <v>1110</v>
      </c>
      <c r="K297" s="615" t="s">
        <v>1111</v>
      </c>
      <c r="L297" s="617">
        <v>4216.8940000000002</v>
      </c>
      <c r="M297" s="617">
        <v>1</v>
      </c>
      <c r="N297" s="618">
        <v>4216.8940000000002</v>
      </c>
    </row>
    <row r="298" spans="1:14" ht="14.4" customHeight="1" x14ac:dyDescent="0.3">
      <c r="A298" s="613" t="s">
        <v>323</v>
      </c>
      <c r="B298" s="614" t="s">
        <v>1112</v>
      </c>
      <c r="C298" s="615" t="s">
        <v>349</v>
      </c>
      <c r="D298" s="616" t="s">
        <v>1116</v>
      </c>
      <c r="E298" s="615" t="s">
        <v>352</v>
      </c>
      <c r="F298" s="616" t="s">
        <v>1117</v>
      </c>
      <c r="G298" s="615" t="s">
        <v>356</v>
      </c>
      <c r="H298" s="615" t="s">
        <v>753</v>
      </c>
      <c r="I298" s="615" t="s">
        <v>753</v>
      </c>
      <c r="J298" s="615" t="s">
        <v>754</v>
      </c>
      <c r="K298" s="615" t="s">
        <v>755</v>
      </c>
      <c r="L298" s="617">
        <v>112.38000000000002</v>
      </c>
      <c r="M298" s="617">
        <v>1</v>
      </c>
      <c r="N298" s="618">
        <v>112.38000000000002</v>
      </c>
    </row>
    <row r="299" spans="1:14" ht="14.4" customHeight="1" x14ac:dyDescent="0.3">
      <c r="A299" s="613" t="s">
        <v>323</v>
      </c>
      <c r="B299" s="614" t="s">
        <v>1112</v>
      </c>
      <c r="C299" s="615" t="s">
        <v>349</v>
      </c>
      <c r="D299" s="616" t="s">
        <v>1116</v>
      </c>
      <c r="E299" s="615" t="s">
        <v>352</v>
      </c>
      <c r="F299" s="616" t="s">
        <v>1117</v>
      </c>
      <c r="G299" s="615" t="s">
        <v>770</v>
      </c>
      <c r="H299" s="615" t="s">
        <v>771</v>
      </c>
      <c r="I299" s="615" t="s">
        <v>772</v>
      </c>
      <c r="J299" s="615" t="s">
        <v>773</v>
      </c>
      <c r="K299" s="615" t="s">
        <v>774</v>
      </c>
      <c r="L299" s="617">
        <v>34.773166906650381</v>
      </c>
      <c r="M299" s="617">
        <v>30</v>
      </c>
      <c r="N299" s="618">
        <v>1043.1950071995113</v>
      </c>
    </row>
    <row r="300" spans="1:14" ht="14.4" customHeight="1" x14ac:dyDescent="0.3">
      <c r="A300" s="613" t="s">
        <v>323</v>
      </c>
      <c r="B300" s="614" t="s">
        <v>1112</v>
      </c>
      <c r="C300" s="615" t="s">
        <v>349</v>
      </c>
      <c r="D300" s="616" t="s">
        <v>1116</v>
      </c>
      <c r="E300" s="615" t="s">
        <v>352</v>
      </c>
      <c r="F300" s="616" t="s">
        <v>1117</v>
      </c>
      <c r="G300" s="615" t="s">
        <v>770</v>
      </c>
      <c r="H300" s="615" t="s">
        <v>863</v>
      </c>
      <c r="I300" s="615" t="s">
        <v>863</v>
      </c>
      <c r="J300" s="615" t="s">
        <v>864</v>
      </c>
      <c r="K300" s="615" t="s">
        <v>865</v>
      </c>
      <c r="L300" s="617">
        <v>168.70999999999998</v>
      </c>
      <c r="M300" s="617">
        <v>1</v>
      </c>
      <c r="N300" s="618">
        <v>168.70999999999998</v>
      </c>
    </row>
    <row r="301" spans="1:14" ht="14.4" customHeight="1" x14ac:dyDescent="0.3">
      <c r="A301" s="613" t="s">
        <v>323</v>
      </c>
      <c r="B301" s="614" t="s">
        <v>1112</v>
      </c>
      <c r="C301" s="615" t="s">
        <v>349</v>
      </c>
      <c r="D301" s="616" t="s">
        <v>1116</v>
      </c>
      <c r="E301" s="615" t="s">
        <v>883</v>
      </c>
      <c r="F301" s="616" t="s">
        <v>1119</v>
      </c>
      <c r="G301" s="615" t="s">
        <v>356</v>
      </c>
      <c r="H301" s="615" t="s">
        <v>899</v>
      </c>
      <c r="I301" s="615" t="s">
        <v>900</v>
      </c>
      <c r="J301" s="615" t="s">
        <v>901</v>
      </c>
      <c r="K301" s="615" t="s">
        <v>902</v>
      </c>
      <c r="L301" s="617">
        <v>40.25</v>
      </c>
      <c r="M301" s="617">
        <v>4</v>
      </c>
      <c r="N301" s="618">
        <v>161</v>
      </c>
    </row>
    <row r="302" spans="1:14" ht="14.4" customHeight="1" x14ac:dyDescent="0.3">
      <c r="A302" s="613" t="s">
        <v>323</v>
      </c>
      <c r="B302" s="614" t="s">
        <v>1112</v>
      </c>
      <c r="C302" s="615" t="s">
        <v>349</v>
      </c>
      <c r="D302" s="616" t="s">
        <v>1116</v>
      </c>
      <c r="E302" s="615" t="s">
        <v>883</v>
      </c>
      <c r="F302" s="616" t="s">
        <v>1119</v>
      </c>
      <c r="G302" s="615" t="s">
        <v>356</v>
      </c>
      <c r="H302" s="615" t="s">
        <v>903</v>
      </c>
      <c r="I302" s="615" t="s">
        <v>904</v>
      </c>
      <c r="J302" s="615" t="s">
        <v>905</v>
      </c>
      <c r="K302" s="615" t="s">
        <v>390</v>
      </c>
      <c r="L302" s="617">
        <v>68.02000000000001</v>
      </c>
      <c r="M302" s="617">
        <v>1</v>
      </c>
      <c r="N302" s="618">
        <v>68.02000000000001</v>
      </c>
    </row>
    <row r="303" spans="1:14" ht="14.4" customHeight="1" x14ac:dyDescent="0.3">
      <c r="A303" s="613" t="s">
        <v>323</v>
      </c>
      <c r="B303" s="614" t="s">
        <v>1112</v>
      </c>
      <c r="C303" s="615" t="s">
        <v>349</v>
      </c>
      <c r="D303" s="616" t="s">
        <v>1116</v>
      </c>
      <c r="E303" s="615" t="s">
        <v>883</v>
      </c>
      <c r="F303" s="616" t="s">
        <v>1119</v>
      </c>
      <c r="G303" s="615" t="s">
        <v>356</v>
      </c>
      <c r="H303" s="615" t="s">
        <v>925</v>
      </c>
      <c r="I303" s="615" t="s">
        <v>926</v>
      </c>
      <c r="J303" s="615" t="s">
        <v>927</v>
      </c>
      <c r="K303" s="615" t="s">
        <v>928</v>
      </c>
      <c r="L303" s="617">
        <v>82.972999999999999</v>
      </c>
      <c r="M303" s="617">
        <v>1</v>
      </c>
      <c r="N303" s="618">
        <v>82.972999999999999</v>
      </c>
    </row>
    <row r="304" spans="1:14" ht="14.4" customHeight="1" thickBot="1" x14ac:dyDescent="0.35">
      <c r="A304" s="619" t="s">
        <v>323</v>
      </c>
      <c r="B304" s="620" t="s">
        <v>1112</v>
      </c>
      <c r="C304" s="621" t="s">
        <v>349</v>
      </c>
      <c r="D304" s="622" t="s">
        <v>1116</v>
      </c>
      <c r="E304" s="621" t="s">
        <v>883</v>
      </c>
      <c r="F304" s="622" t="s">
        <v>1119</v>
      </c>
      <c r="G304" s="621" t="s">
        <v>770</v>
      </c>
      <c r="H304" s="621" t="s">
        <v>955</v>
      </c>
      <c r="I304" s="621" t="s">
        <v>956</v>
      </c>
      <c r="J304" s="621" t="s">
        <v>957</v>
      </c>
      <c r="K304" s="621" t="s">
        <v>958</v>
      </c>
      <c r="L304" s="623">
        <v>115.94000000000003</v>
      </c>
      <c r="M304" s="623">
        <v>1</v>
      </c>
      <c r="N304" s="624">
        <v>115.94000000000003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8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8"/>
  </cols>
  <sheetData>
    <row r="1" spans="1:6" ht="37.200000000000003" customHeight="1" thickBot="1" x14ac:dyDescent="0.4">
      <c r="A1" s="497" t="s">
        <v>200</v>
      </c>
      <c r="B1" s="498"/>
      <c r="C1" s="498"/>
      <c r="D1" s="498"/>
      <c r="E1" s="498"/>
      <c r="F1" s="498"/>
    </row>
    <row r="2" spans="1:6" ht="14.4" customHeight="1" thickBot="1" x14ac:dyDescent="0.35">
      <c r="A2" s="375" t="s">
        <v>320</v>
      </c>
      <c r="B2" s="62"/>
      <c r="C2" s="63"/>
      <c r="D2" s="64"/>
      <c r="E2" s="63"/>
      <c r="F2" s="64"/>
    </row>
    <row r="3" spans="1:6" ht="14.4" customHeight="1" thickBot="1" x14ac:dyDescent="0.35">
      <c r="A3" s="203"/>
      <c r="B3" s="499" t="s">
        <v>155</v>
      </c>
      <c r="C3" s="500"/>
      <c r="D3" s="501" t="s">
        <v>154</v>
      </c>
      <c r="E3" s="500"/>
      <c r="F3" s="100" t="s">
        <v>3</v>
      </c>
    </row>
    <row r="4" spans="1:6" ht="14.4" customHeight="1" thickBot="1" x14ac:dyDescent="0.35">
      <c r="A4" s="625" t="s">
        <v>178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x14ac:dyDescent="0.3">
      <c r="A5" s="639" t="s">
        <v>1122</v>
      </c>
      <c r="B5" s="611">
        <v>6541.4505017650945</v>
      </c>
      <c r="C5" s="629">
        <v>4.7591402547871552E-2</v>
      </c>
      <c r="D5" s="611">
        <v>130908.80630008347</v>
      </c>
      <c r="E5" s="629">
        <v>0.95240859745212847</v>
      </c>
      <c r="F5" s="612">
        <v>137450.25680184856</v>
      </c>
    </row>
    <row r="6" spans="1:6" ht="14.4" customHeight="1" x14ac:dyDescent="0.3">
      <c r="A6" s="640" t="s">
        <v>1123</v>
      </c>
      <c r="B6" s="617"/>
      <c r="C6" s="630">
        <v>0</v>
      </c>
      <c r="D6" s="617">
        <v>3086.1024115601658</v>
      </c>
      <c r="E6" s="630">
        <v>1</v>
      </c>
      <c r="F6" s="618">
        <v>3086.1024115601658</v>
      </c>
    </row>
    <row r="7" spans="1:6" ht="14.4" customHeight="1" x14ac:dyDescent="0.3">
      <c r="A7" s="640" t="s">
        <v>1124</v>
      </c>
      <c r="B7" s="617"/>
      <c r="C7" s="630">
        <v>0</v>
      </c>
      <c r="D7" s="617">
        <v>1327.8450071995112</v>
      </c>
      <c r="E7" s="630">
        <v>1</v>
      </c>
      <c r="F7" s="618">
        <v>1327.8450071995112</v>
      </c>
    </row>
    <row r="8" spans="1:6" ht="14.4" customHeight="1" thickBot="1" x14ac:dyDescent="0.35">
      <c r="A8" s="641" t="s">
        <v>1125</v>
      </c>
      <c r="B8" s="632"/>
      <c r="C8" s="633">
        <v>0</v>
      </c>
      <c r="D8" s="632">
        <v>2323.2990788097541</v>
      </c>
      <c r="E8" s="633">
        <v>1</v>
      </c>
      <c r="F8" s="634">
        <v>2323.2990788097541</v>
      </c>
    </row>
    <row r="9" spans="1:6" ht="14.4" customHeight="1" thickBot="1" x14ac:dyDescent="0.35">
      <c r="A9" s="635" t="s">
        <v>3</v>
      </c>
      <c r="B9" s="636">
        <v>6541.4505017650945</v>
      </c>
      <c r="C9" s="637">
        <v>4.5367666074231129E-2</v>
      </c>
      <c r="D9" s="636">
        <v>137646.0527976529</v>
      </c>
      <c r="E9" s="637">
        <v>0.95463233392576885</v>
      </c>
      <c r="F9" s="638">
        <v>144187.50329941799</v>
      </c>
    </row>
    <row r="10" spans="1:6" ht="14.4" customHeight="1" thickBot="1" x14ac:dyDescent="0.35"/>
    <row r="11" spans="1:6" ht="14.4" customHeight="1" x14ac:dyDescent="0.3">
      <c r="A11" s="639" t="s">
        <v>1126</v>
      </c>
      <c r="B11" s="611">
        <v>3924.7700114686404</v>
      </c>
      <c r="C11" s="629">
        <v>0.49445485278213802</v>
      </c>
      <c r="D11" s="611">
        <v>4012.8</v>
      </c>
      <c r="E11" s="629">
        <v>0.50554514721786192</v>
      </c>
      <c r="F11" s="612">
        <v>7937.5700114686406</v>
      </c>
    </row>
    <row r="12" spans="1:6" ht="14.4" customHeight="1" x14ac:dyDescent="0.3">
      <c r="A12" s="640" t="s">
        <v>1127</v>
      </c>
      <c r="B12" s="617">
        <v>883.60000000000014</v>
      </c>
      <c r="C12" s="630">
        <v>3.0197640867233651E-2</v>
      </c>
      <c r="D12" s="617">
        <v>28376.963892551026</v>
      </c>
      <c r="E12" s="630">
        <v>0.96980235913276636</v>
      </c>
      <c r="F12" s="618">
        <v>29260.563892551025</v>
      </c>
    </row>
    <row r="13" spans="1:6" ht="14.4" customHeight="1" x14ac:dyDescent="0.3">
      <c r="A13" s="640" t="s">
        <v>1128</v>
      </c>
      <c r="B13" s="617">
        <v>630.66109321299382</v>
      </c>
      <c r="C13" s="630">
        <v>9.1904151570668877E-2</v>
      </c>
      <c r="D13" s="617">
        <v>6231.4999999999991</v>
      </c>
      <c r="E13" s="630">
        <v>0.908095848429331</v>
      </c>
      <c r="F13" s="618">
        <v>6862.1610932129934</v>
      </c>
    </row>
    <row r="14" spans="1:6" ht="14.4" customHeight="1" x14ac:dyDescent="0.3">
      <c r="A14" s="640" t="s">
        <v>1129</v>
      </c>
      <c r="B14" s="617">
        <v>494.99915375820251</v>
      </c>
      <c r="C14" s="630">
        <v>0.81850626101662161</v>
      </c>
      <c r="D14" s="617">
        <v>109.76000000000002</v>
      </c>
      <c r="E14" s="630">
        <v>0.18149373898337842</v>
      </c>
      <c r="F14" s="618">
        <v>604.7591537582025</v>
      </c>
    </row>
    <row r="15" spans="1:6" ht="14.4" customHeight="1" x14ac:dyDescent="0.3">
      <c r="A15" s="640" t="s">
        <v>1130</v>
      </c>
      <c r="B15" s="617">
        <v>387.5790433252576</v>
      </c>
      <c r="C15" s="630">
        <v>0.51522018480763987</v>
      </c>
      <c r="D15" s="617">
        <v>364.68</v>
      </c>
      <c r="E15" s="630">
        <v>0.48477981519236013</v>
      </c>
      <c r="F15" s="618">
        <v>752.25904332525761</v>
      </c>
    </row>
    <row r="16" spans="1:6" ht="14.4" customHeight="1" x14ac:dyDescent="0.3">
      <c r="A16" s="640" t="s">
        <v>1131</v>
      </c>
      <c r="B16" s="617">
        <v>133.50000000000006</v>
      </c>
      <c r="C16" s="630">
        <v>1</v>
      </c>
      <c r="D16" s="617"/>
      <c r="E16" s="630">
        <v>0</v>
      </c>
      <c r="F16" s="618">
        <v>133.50000000000006</v>
      </c>
    </row>
    <row r="17" spans="1:6" ht="14.4" customHeight="1" x14ac:dyDescent="0.3">
      <c r="A17" s="640" t="s">
        <v>1132</v>
      </c>
      <c r="B17" s="617">
        <v>86.341200000000015</v>
      </c>
      <c r="C17" s="630">
        <v>1</v>
      </c>
      <c r="D17" s="617"/>
      <c r="E17" s="630">
        <v>0</v>
      </c>
      <c r="F17" s="618">
        <v>86.341200000000015</v>
      </c>
    </row>
    <row r="18" spans="1:6" ht="14.4" customHeight="1" x14ac:dyDescent="0.3">
      <c r="A18" s="640" t="s">
        <v>1133</v>
      </c>
      <c r="B18" s="617"/>
      <c r="C18" s="630">
        <v>0</v>
      </c>
      <c r="D18" s="617">
        <v>80.519874655907387</v>
      </c>
      <c r="E18" s="630">
        <v>1</v>
      </c>
      <c r="F18" s="618">
        <v>80.519874655907387</v>
      </c>
    </row>
    <row r="19" spans="1:6" ht="14.4" customHeight="1" x14ac:dyDescent="0.3">
      <c r="A19" s="640" t="s">
        <v>1134</v>
      </c>
      <c r="B19" s="617"/>
      <c r="C19" s="630">
        <v>0</v>
      </c>
      <c r="D19" s="617">
        <v>3257.1000000000004</v>
      </c>
      <c r="E19" s="630">
        <v>1</v>
      </c>
      <c r="F19" s="618">
        <v>3257.1000000000004</v>
      </c>
    </row>
    <row r="20" spans="1:6" ht="14.4" customHeight="1" x14ac:dyDescent="0.3">
      <c r="A20" s="640" t="s">
        <v>1135</v>
      </c>
      <c r="B20" s="617"/>
      <c r="C20" s="630">
        <v>0</v>
      </c>
      <c r="D20" s="617">
        <v>129.58000000000004</v>
      </c>
      <c r="E20" s="630">
        <v>1</v>
      </c>
      <c r="F20" s="618">
        <v>129.58000000000004</v>
      </c>
    </row>
    <row r="21" spans="1:6" ht="14.4" customHeight="1" x14ac:dyDescent="0.3">
      <c r="A21" s="640" t="s">
        <v>1136</v>
      </c>
      <c r="B21" s="617"/>
      <c r="C21" s="630">
        <v>0</v>
      </c>
      <c r="D21" s="617">
        <v>109.65000000000003</v>
      </c>
      <c r="E21" s="630">
        <v>1</v>
      </c>
      <c r="F21" s="618">
        <v>109.65000000000003</v>
      </c>
    </row>
    <row r="22" spans="1:6" ht="14.4" customHeight="1" x14ac:dyDescent="0.3">
      <c r="A22" s="640" t="s">
        <v>1137</v>
      </c>
      <c r="B22" s="617"/>
      <c r="C22" s="630">
        <v>0</v>
      </c>
      <c r="D22" s="617">
        <v>104.52981113000612</v>
      </c>
      <c r="E22" s="630">
        <v>1</v>
      </c>
      <c r="F22" s="618">
        <v>104.52981113000612</v>
      </c>
    </row>
    <row r="23" spans="1:6" ht="14.4" customHeight="1" x14ac:dyDescent="0.3">
      <c r="A23" s="640" t="s">
        <v>1138</v>
      </c>
      <c r="B23" s="617"/>
      <c r="C23" s="630">
        <v>0</v>
      </c>
      <c r="D23" s="617">
        <v>49.320015801629992</v>
      </c>
      <c r="E23" s="630">
        <v>1</v>
      </c>
      <c r="F23" s="618">
        <v>49.320015801629992</v>
      </c>
    </row>
    <row r="24" spans="1:6" ht="14.4" customHeight="1" x14ac:dyDescent="0.3">
      <c r="A24" s="640" t="s">
        <v>1139</v>
      </c>
      <c r="B24" s="617"/>
      <c r="C24" s="630">
        <v>0</v>
      </c>
      <c r="D24" s="617">
        <v>48.91</v>
      </c>
      <c r="E24" s="630">
        <v>1</v>
      </c>
      <c r="F24" s="618">
        <v>48.91</v>
      </c>
    </row>
    <row r="25" spans="1:6" ht="14.4" customHeight="1" x14ac:dyDescent="0.3">
      <c r="A25" s="640" t="s">
        <v>1140</v>
      </c>
      <c r="B25" s="617"/>
      <c r="C25" s="630">
        <v>0</v>
      </c>
      <c r="D25" s="617">
        <v>59947.599999999991</v>
      </c>
      <c r="E25" s="630">
        <v>1</v>
      </c>
      <c r="F25" s="618">
        <v>59947.599999999991</v>
      </c>
    </row>
    <row r="26" spans="1:6" ht="14.4" customHeight="1" x14ac:dyDescent="0.3">
      <c r="A26" s="640" t="s">
        <v>1141</v>
      </c>
      <c r="B26" s="617"/>
      <c r="C26" s="630">
        <v>0</v>
      </c>
      <c r="D26" s="617">
        <v>21.74</v>
      </c>
      <c r="E26" s="630">
        <v>1</v>
      </c>
      <c r="F26" s="618">
        <v>21.74</v>
      </c>
    </row>
    <row r="27" spans="1:6" ht="14.4" customHeight="1" x14ac:dyDescent="0.3">
      <c r="A27" s="640" t="s">
        <v>1142</v>
      </c>
      <c r="B27" s="617"/>
      <c r="C27" s="630">
        <v>0</v>
      </c>
      <c r="D27" s="617">
        <v>92.359831959169625</v>
      </c>
      <c r="E27" s="630">
        <v>1</v>
      </c>
      <c r="F27" s="618">
        <v>92.359831959169625</v>
      </c>
    </row>
    <row r="28" spans="1:6" ht="14.4" customHeight="1" x14ac:dyDescent="0.3">
      <c r="A28" s="640" t="s">
        <v>1143</v>
      </c>
      <c r="B28" s="617"/>
      <c r="C28" s="630">
        <v>0</v>
      </c>
      <c r="D28" s="617">
        <v>311.91000000000008</v>
      </c>
      <c r="E28" s="630">
        <v>1</v>
      </c>
      <c r="F28" s="618">
        <v>311.91000000000008</v>
      </c>
    </row>
    <row r="29" spans="1:6" ht="14.4" customHeight="1" x14ac:dyDescent="0.3">
      <c r="A29" s="640" t="s">
        <v>1144</v>
      </c>
      <c r="B29" s="617"/>
      <c r="C29" s="630">
        <v>0</v>
      </c>
      <c r="D29" s="617">
        <v>304.92</v>
      </c>
      <c r="E29" s="630">
        <v>1</v>
      </c>
      <c r="F29" s="618">
        <v>304.92</v>
      </c>
    </row>
    <row r="30" spans="1:6" ht="14.4" customHeight="1" x14ac:dyDescent="0.3">
      <c r="A30" s="640" t="s">
        <v>1145</v>
      </c>
      <c r="B30" s="617"/>
      <c r="C30" s="630">
        <v>0</v>
      </c>
      <c r="D30" s="617">
        <v>46.829927100548225</v>
      </c>
      <c r="E30" s="630">
        <v>1</v>
      </c>
      <c r="F30" s="618">
        <v>46.829927100548225</v>
      </c>
    </row>
    <row r="31" spans="1:6" ht="14.4" customHeight="1" x14ac:dyDescent="0.3">
      <c r="A31" s="640" t="s">
        <v>1146</v>
      </c>
      <c r="B31" s="617"/>
      <c r="C31" s="630">
        <v>0</v>
      </c>
      <c r="D31" s="617">
        <v>466.32300000000004</v>
      </c>
      <c r="E31" s="630">
        <v>1</v>
      </c>
      <c r="F31" s="618">
        <v>466.32300000000004</v>
      </c>
    </row>
    <row r="32" spans="1:6" ht="14.4" customHeight="1" x14ac:dyDescent="0.3">
      <c r="A32" s="640" t="s">
        <v>1147</v>
      </c>
      <c r="B32" s="617"/>
      <c r="C32" s="630">
        <v>0</v>
      </c>
      <c r="D32" s="617">
        <v>336.44000000000011</v>
      </c>
      <c r="E32" s="630">
        <v>1</v>
      </c>
      <c r="F32" s="618">
        <v>336.44000000000011</v>
      </c>
    </row>
    <row r="33" spans="1:6" ht="14.4" customHeight="1" x14ac:dyDescent="0.3">
      <c r="A33" s="640" t="s">
        <v>1148</v>
      </c>
      <c r="B33" s="617"/>
      <c r="C33" s="630">
        <v>0</v>
      </c>
      <c r="D33" s="617">
        <v>2395.36</v>
      </c>
      <c r="E33" s="630">
        <v>1</v>
      </c>
      <c r="F33" s="618">
        <v>2395.36</v>
      </c>
    </row>
    <row r="34" spans="1:6" ht="14.4" customHeight="1" x14ac:dyDescent="0.3">
      <c r="A34" s="640" t="s">
        <v>1149</v>
      </c>
      <c r="B34" s="617"/>
      <c r="C34" s="630">
        <v>0</v>
      </c>
      <c r="D34" s="617">
        <v>7130.4160988131734</v>
      </c>
      <c r="E34" s="630">
        <v>1</v>
      </c>
      <c r="F34" s="618">
        <v>7130.4160988131734</v>
      </c>
    </row>
    <row r="35" spans="1:6" ht="14.4" customHeight="1" x14ac:dyDescent="0.3">
      <c r="A35" s="640" t="s">
        <v>1150</v>
      </c>
      <c r="B35" s="617"/>
      <c r="C35" s="630">
        <v>0</v>
      </c>
      <c r="D35" s="617">
        <v>412.5</v>
      </c>
      <c r="E35" s="630">
        <v>1</v>
      </c>
      <c r="F35" s="618">
        <v>412.5</v>
      </c>
    </row>
    <row r="36" spans="1:6" ht="14.4" customHeight="1" x14ac:dyDescent="0.3">
      <c r="A36" s="640" t="s">
        <v>1151</v>
      </c>
      <c r="B36" s="617"/>
      <c r="C36" s="630">
        <v>0</v>
      </c>
      <c r="D36" s="617">
        <v>153.24</v>
      </c>
      <c r="E36" s="630">
        <v>1</v>
      </c>
      <c r="F36" s="618">
        <v>153.24</v>
      </c>
    </row>
    <row r="37" spans="1:6" ht="14.4" customHeight="1" x14ac:dyDescent="0.3">
      <c r="A37" s="640" t="s">
        <v>1152</v>
      </c>
      <c r="B37" s="617"/>
      <c r="C37" s="630">
        <v>0</v>
      </c>
      <c r="D37" s="617">
        <v>945.53579174320748</v>
      </c>
      <c r="E37" s="630">
        <v>1</v>
      </c>
      <c r="F37" s="618">
        <v>945.53579174320748</v>
      </c>
    </row>
    <row r="38" spans="1:6" ht="14.4" customHeight="1" x14ac:dyDescent="0.3">
      <c r="A38" s="640" t="s">
        <v>1153</v>
      </c>
      <c r="B38" s="617"/>
      <c r="C38" s="630">
        <v>0</v>
      </c>
      <c r="D38" s="617">
        <v>85.37</v>
      </c>
      <c r="E38" s="630">
        <v>1</v>
      </c>
      <c r="F38" s="618">
        <v>85.37</v>
      </c>
    </row>
    <row r="39" spans="1:6" ht="14.4" customHeight="1" x14ac:dyDescent="0.3">
      <c r="A39" s="640" t="s">
        <v>1154</v>
      </c>
      <c r="B39" s="617"/>
      <c r="C39" s="630">
        <v>0</v>
      </c>
      <c r="D39" s="617">
        <v>85.460000000000008</v>
      </c>
      <c r="E39" s="630">
        <v>1</v>
      </c>
      <c r="F39" s="618">
        <v>85.460000000000008</v>
      </c>
    </row>
    <row r="40" spans="1:6" ht="14.4" customHeight="1" x14ac:dyDescent="0.3">
      <c r="A40" s="640" t="s">
        <v>1155</v>
      </c>
      <c r="B40" s="617"/>
      <c r="C40" s="630">
        <v>0</v>
      </c>
      <c r="D40" s="617">
        <v>18479.109637542737</v>
      </c>
      <c r="E40" s="630">
        <v>1</v>
      </c>
      <c r="F40" s="618">
        <v>18479.109637542737</v>
      </c>
    </row>
    <row r="41" spans="1:6" ht="14.4" customHeight="1" x14ac:dyDescent="0.3">
      <c r="A41" s="640" t="s">
        <v>1156</v>
      </c>
      <c r="B41" s="617"/>
      <c r="C41" s="630">
        <v>0</v>
      </c>
      <c r="D41" s="617">
        <v>77.809362645597943</v>
      </c>
      <c r="E41" s="630">
        <v>1</v>
      </c>
      <c r="F41" s="618">
        <v>77.809362645597943</v>
      </c>
    </row>
    <row r="42" spans="1:6" ht="14.4" customHeight="1" x14ac:dyDescent="0.3">
      <c r="A42" s="640" t="s">
        <v>1157</v>
      </c>
      <c r="B42" s="617"/>
      <c r="C42" s="630">
        <v>0</v>
      </c>
      <c r="D42" s="617">
        <v>628.59555370992598</v>
      </c>
      <c r="E42" s="630">
        <v>1</v>
      </c>
      <c r="F42" s="618">
        <v>628.59555370992598</v>
      </c>
    </row>
    <row r="43" spans="1:6" ht="14.4" customHeight="1" x14ac:dyDescent="0.3">
      <c r="A43" s="640" t="s">
        <v>1158</v>
      </c>
      <c r="B43" s="617"/>
      <c r="C43" s="630">
        <v>0</v>
      </c>
      <c r="D43" s="617">
        <v>159.28000000000003</v>
      </c>
      <c r="E43" s="630">
        <v>1</v>
      </c>
      <c r="F43" s="618">
        <v>159.28000000000003</v>
      </c>
    </row>
    <row r="44" spans="1:6" ht="14.4" customHeight="1" x14ac:dyDescent="0.3">
      <c r="A44" s="640" t="s">
        <v>1159</v>
      </c>
      <c r="B44" s="617"/>
      <c r="C44" s="630">
        <v>0</v>
      </c>
      <c r="D44" s="617">
        <v>970.2</v>
      </c>
      <c r="E44" s="630">
        <v>1</v>
      </c>
      <c r="F44" s="618">
        <v>970.2</v>
      </c>
    </row>
    <row r="45" spans="1:6" ht="14.4" customHeight="1" x14ac:dyDescent="0.3">
      <c r="A45" s="640" t="s">
        <v>1160</v>
      </c>
      <c r="B45" s="617"/>
      <c r="C45" s="630">
        <v>0</v>
      </c>
      <c r="D45" s="617">
        <v>1359.1999999999996</v>
      </c>
      <c r="E45" s="630">
        <v>1</v>
      </c>
      <c r="F45" s="618">
        <v>1359.1999999999996</v>
      </c>
    </row>
    <row r="46" spans="1:6" ht="14.4" customHeight="1" thickBot="1" x14ac:dyDescent="0.35">
      <c r="A46" s="641" t="s">
        <v>1161</v>
      </c>
      <c r="B46" s="632"/>
      <c r="C46" s="633">
        <v>0</v>
      </c>
      <c r="D46" s="632">
        <v>360.54</v>
      </c>
      <c r="E46" s="633">
        <v>1</v>
      </c>
      <c r="F46" s="634">
        <v>360.54</v>
      </c>
    </row>
    <row r="47" spans="1:6" ht="14.4" customHeight="1" thickBot="1" x14ac:dyDescent="0.35">
      <c r="A47" s="635" t="s">
        <v>3</v>
      </c>
      <c r="B47" s="636">
        <v>6541.4505017650945</v>
      </c>
      <c r="C47" s="637">
        <v>4.5367666074231115E-2</v>
      </c>
      <c r="D47" s="636">
        <v>137646.05279765293</v>
      </c>
      <c r="E47" s="637">
        <v>0.95463233392576885</v>
      </c>
      <c r="F47" s="638">
        <v>144187.50329941802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8" bestFit="1" customWidth="1"/>
    <col min="2" max="2" width="8.88671875" style="248" bestFit="1" customWidth="1"/>
    <col min="3" max="3" width="7" style="248" bestFit="1" customWidth="1"/>
    <col min="4" max="4" width="53.44140625" style="248" bestFit="1" customWidth="1"/>
    <col min="5" max="5" width="28.44140625" style="248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8"/>
  </cols>
  <sheetData>
    <row r="1" spans="1:13" ht="18.600000000000001" customHeight="1" thickBot="1" x14ac:dyDescent="0.4">
      <c r="A1" s="498" t="s">
        <v>1237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70"/>
      <c r="M1" s="470"/>
    </row>
    <row r="2" spans="1:13" ht="14.4" customHeight="1" thickBot="1" x14ac:dyDescent="0.35">
      <c r="A2" s="375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99" t="s">
        <v>153</v>
      </c>
      <c r="F3" s="44">
        <f>SUBTOTAL(9,F6:F1048576)</f>
        <v>33</v>
      </c>
      <c r="G3" s="44">
        <f>SUBTOTAL(9,G6:G1048576)</f>
        <v>6541.4505017650945</v>
      </c>
      <c r="H3" s="45">
        <f>IF(M3=0,0,G3/M3)</f>
        <v>4.5367666074231136E-2</v>
      </c>
      <c r="I3" s="44">
        <f>SUBTOTAL(9,I6:I1048576)</f>
        <v>699.59999999999991</v>
      </c>
      <c r="J3" s="44">
        <f>SUBTOTAL(9,J6:J1048576)</f>
        <v>137646.0527976529</v>
      </c>
      <c r="K3" s="45">
        <f>IF(M3=0,0,J3/M3)</f>
        <v>0.95463233392576907</v>
      </c>
      <c r="L3" s="44">
        <f>SUBTOTAL(9,L6:L1048576)</f>
        <v>732.60000000000014</v>
      </c>
      <c r="M3" s="46">
        <f>SUBTOTAL(9,M6:M1048576)</f>
        <v>144187.50329941796</v>
      </c>
    </row>
    <row r="4" spans="1:13" ht="14.4" customHeight="1" thickBot="1" x14ac:dyDescent="0.35">
      <c r="A4" s="42"/>
      <c r="B4" s="42"/>
      <c r="C4" s="42"/>
      <c r="D4" s="42"/>
      <c r="E4" s="43"/>
      <c r="F4" s="502" t="s">
        <v>155</v>
      </c>
      <c r="G4" s="503"/>
      <c r="H4" s="504"/>
      <c r="I4" s="505" t="s">
        <v>154</v>
      </c>
      <c r="J4" s="503"/>
      <c r="K4" s="504"/>
      <c r="L4" s="506" t="s">
        <v>3</v>
      </c>
      <c r="M4" s="507"/>
    </row>
    <row r="5" spans="1:13" ht="14.4" customHeight="1" thickBot="1" x14ac:dyDescent="0.35">
      <c r="A5" s="625" t="s">
        <v>156</v>
      </c>
      <c r="B5" s="643" t="s">
        <v>157</v>
      </c>
      <c r="C5" s="643" t="s">
        <v>84</v>
      </c>
      <c r="D5" s="643" t="s">
        <v>158</v>
      </c>
      <c r="E5" s="643" t="s">
        <v>159</v>
      </c>
      <c r="F5" s="644" t="s">
        <v>28</v>
      </c>
      <c r="G5" s="644" t="s">
        <v>14</v>
      </c>
      <c r="H5" s="627" t="s">
        <v>160</v>
      </c>
      <c r="I5" s="626" t="s">
        <v>28</v>
      </c>
      <c r="J5" s="644" t="s">
        <v>14</v>
      </c>
      <c r="K5" s="627" t="s">
        <v>160</v>
      </c>
      <c r="L5" s="626" t="s">
        <v>28</v>
      </c>
      <c r="M5" s="645" t="s">
        <v>14</v>
      </c>
    </row>
    <row r="6" spans="1:13" ht="14.4" customHeight="1" x14ac:dyDescent="0.3">
      <c r="A6" s="607" t="s">
        <v>340</v>
      </c>
      <c r="B6" s="608" t="s">
        <v>1162</v>
      </c>
      <c r="C6" s="608" t="s">
        <v>823</v>
      </c>
      <c r="D6" s="608" t="s">
        <v>824</v>
      </c>
      <c r="E6" s="608" t="s">
        <v>825</v>
      </c>
      <c r="F6" s="611"/>
      <c r="G6" s="611"/>
      <c r="H6" s="629">
        <v>0</v>
      </c>
      <c r="I6" s="611">
        <v>20</v>
      </c>
      <c r="J6" s="611">
        <v>1359.1999999999996</v>
      </c>
      <c r="K6" s="629">
        <v>1</v>
      </c>
      <c r="L6" s="611">
        <v>20</v>
      </c>
      <c r="M6" s="612">
        <v>1359.1999999999996</v>
      </c>
    </row>
    <row r="7" spans="1:13" ht="14.4" customHeight="1" x14ac:dyDescent="0.3">
      <c r="A7" s="613" t="s">
        <v>340</v>
      </c>
      <c r="B7" s="614" t="s">
        <v>1163</v>
      </c>
      <c r="C7" s="614" t="s">
        <v>761</v>
      </c>
      <c r="D7" s="614" t="s">
        <v>762</v>
      </c>
      <c r="E7" s="614" t="s">
        <v>763</v>
      </c>
      <c r="F7" s="617">
        <v>1</v>
      </c>
      <c r="G7" s="617">
        <v>387.5790433252576</v>
      </c>
      <c r="H7" s="630">
        <v>1</v>
      </c>
      <c r="I7" s="617"/>
      <c r="J7" s="617"/>
      <c r="K7" s="630">
        <v>0</v>
      </c>
      <c r="L7" s="617">
        <v>1</v>
      </c>
      <c r="M7" s="618">
        <v>387.5790433252576</v>
      </c>
    </row>
    <row r="8" spans="1:13" ht="14.4" customHeight="1" x14ac:dyDescent="0.3">
      <c r="A8" s="613" t="s">
        <v>340</v>
      </c>
      <c r="B8" s="614" t="s">
        <v>1164</v>
      </c>
      <c r="C8" s="614" t="s">
        <v>853</v>
      </c>
      <c r="D8" s="614" t="s">
        <v>854</v>
      </c>
      <c r="E8" s="614" t="s">
        <v>1165</v>
      </c>
      <c r="F8" s="617"/>
      <c r="G8" s="617"/>
      <c r="H8" s="630">
        <v>0</v>
      </c>
      <c r="I8" s="617">
        <v>2</v>
      </c>
      <c r="J8" s="617">
        <v>159.28000000000003</v>
      </c>
      <c r="K8" s="630">
        <v>1</v>
      </c>
      <c r="L8" s="617">
        <v>2</v>
      </c>
      <c r="M8" s="618">
        <v>159.28000000000003</v>
      </c>
    </row>
    <row r="9" spans="1:13" ht="14.4" customHeight="1" x14ac:dyDescent="0.3">
      <c r="A9" s="613" t="s">
        <v>340</v>
      </c>
      <c r="B9" s="614" t="s">
        <v>1166</v>
      </c>
      <c r="C9" s="614" t="s">
        <v>834</v>
      </c>
      <c r="D9" s="614" t="s">
        <v>1167</v>
      </c>
      <c r="E9" s="614" t="s">
        <v>836</v>
      </c>
      <c r="F9" s="617"/>
      <c r="G9" s="617"/>
      <c r="H9" s="630">
        <v>0</v>
      </c>
      <c r="I9" s="617">
        <v>1</v>
      </c>
      <c r="J9" s="617">
        <v>628.59555370992598</v>
      </c>
      <c r="K9" s="630">
        <v>1</v>
      </c>
      <c r="L9" s="617">
        <v>1</v>
      </c>
      <c r="M9" s="618">
        <v>628.59555370992598</v>
      </c>
    </row>
    <row r="10" spans="1:13" ht="14.4" customHeight="1" x14ac:dyDescent="0.3">
      <c r="A10" s="613" t="s">
        <v>340</v>
      </c>
      <c r="B10" s="614" t="s">
        <v>1168</v>
      </c>
      <c r="C10" s="614" t="s">
        <v>819</v>
      </c>
      <c r="D10" s="614" t="s">
        <v>820</v>
      </c>
      <c r="E10" s="614" t="s">
        <v>1169</v>
      </c>
      <c r="F10" s="617"/>
      <c r="G10" s="617"/>
      <c r="H10" s="630">
        <v>0</v>
      </c>
      <c r="I10" s="617">
        <v>1</v>
      </c>
      <c r="J10" s="617">
        <v>466.32300000000004</v>
      </c>
      <c r="K10" s="630">
        <v>1</v>
      </c>
      <c r="L10" s="617">
        <v>1</v>
      </c>
      <c r="M10" s="618">
        <v>466.32300000000004</v>
      </c>
    </row>
    <row r="11" spans="1:13" ht="14.4" customHeight="1" x14ac:dyDescent="0.3">
      <c r="A11" s="613" t="s">
        <v>340</v>
      </c>
      <c r="B11" s="614" t="s">
        <v>1170</v>
      </c>
      <c r="C11" s="614" t="s">
        <v>787</v>
      </c>
      <c r="D11" s="614" t="s">
        <v>788</v>
      </c>
      <c r="E11" s="614" t="s">
        <v>1171</v>
      </c>
      <c r="F11" s="617"/>
      <c r="G11" s="617"/>
      <c r="H11" s="630">
        <v>0</v>
      </c>
      <c r="I11" s="617">
        <v>1</v>
      </c>
      <c r="J11" s="617">
        <v>49.320015801629992</v>
      </c>
      <c r="K11" s="630">
        <v>1</v>
      </c>
      <c r="L11" s="617">
        <v>1</v>
      </c>
      <c r="M11" s="618">
        <v>49.320015801629992</v>
      </c>
    </row>
    <row r="12" spans="1:13" ht="14.4" customHeight="1" x14ac:dyDescent="0.3">
      <c r="A12" s="613" t="s">
        <v>340</v>
      </c>
      <c r="B12" s="614" t="s">
        <v>1172</v>
      </c>
      <c r="C12" s="614" t="s">
        <v>353</v>
      </c>
      <c r="D12" s="614" t="s">
        <v>354</v>
      </c>
      <c r="E12" s="614" t="s">
        <v>355</v>
      </c>
      <c r="F12" s="617">
        <v>1</v>
      </c>
      <c r="G12" s="617">
        <v>630.66109321299382</v>
      </c>
      <c r="H12" s="630">
        <v>1</v>
      </c>
      <c r="I12" s="617"/>
      <c r="J12" s="617"/>
      <c r="K12" s="630">
        <v>0</v>
      </c>
      <c r="L12" s="617">
        <v>1</v>
      </c>
      <c r="M12" s="618">
        <v>630.66109321299382</v>
      </c>
    </row>
    <row r="13" spans="1:13" ht="14.4" customHeight="1" x14ac:dyDescent="0.3">
      <c r="A13" s="613" t="s">
        <v>340</v>
      </c>
      <c r="B13" s="614" t="s">
        <v>1172</v>
      </c>
      <c r="C13" s="614" t="s">
        <v>866</v>
      </c>
      <c r="D13" s="614" t="s">
        <v>354</v>
      </c>
      <c r="E13" s="614" t="s">
        <v>839</v>
      </c>
      <c r="F13" s="617"/>
      <c r="G13" s="617"/>
      <c r="H13" s="630">
        <v>0</v>
      </c>
      <c r="I13" s="617">
        <v>2</v>
      </c>
      <c r="J13" s="617">
        <v>817.9</v>
      </c>
      <c r="K13" s="630">
        <v>1</v>
      </c>
      <c r="L13" s="617">
        <v>2</v>
      </c>
      <c r="M13" s="618">
        <v>817.9</v>
      </c>
    </row>
    <row r="14" spans="1:13" ht="14.4" customHeight="1" x14ac:dyDescent="0.3">
      <c r="A14" s="613" t="s">
        <v>340</v>
      </c>
      <c r="B14" s="614" t="s">
        <v>1172</v>
      </c>
      <c r="C14" s="614" t="s">
        <v>838</v>
      </c>
      <c r="D14" s="614" t="s">
        <v>354</v>
      </c>
      <c r="E14" s="614" t="s">
        <v>839</v>
      </c>
      <c r="F14" s="617"/>
      <c r="G14" s="617"/>
      <c r="H14" s="630">
        <v>0</v>
      </c>
      <c r="I14" s="617">
        <v>2</v>
      </c>
      <c r="J14" s="617">
        <v>817.9</v>
      </c>
      <c r="K14" s="630">
        <v>1</v>
      </c>
      <c r="L14" s="617">
        <v>2</v>
      </c>
      <c r="M14" s="618">
        <v>817.9</v>
      </c>
    </row>
    <row r="15" spans="1:13" ht="14.4" customHeight="1" x14ac:dyDescent="0.3">
      <c r="A15" s="613" t="s">
        <v>340</v>
      </c>
      <c r="B15" s="614" t="s">
        <v>1172</v>
      </c>
      <c r="C15" s="614" t="s">
        <v>779</v>
      </c>
      <c r="D15" s="614" t="s">
        <v>354</v>
      </c>
      <c r="E15" s="614" t="s">
        <v>355</v>
      </c>
      <c r="F15" s="617"/>
      <c r="G15" s="617"/>
      <c r="H15" s="630">
        <v>0</v>
      </c>
      <c r="I15" s="617">
        <v>5</v>
      </c>
      <c r="J15" s="617">
        <v>3153.3</v>
      </c>
      <c r="K15" s="630">
        <v>1</v>
      </c>
      <c r="L15" s="617">
        <v>5</v>
      </c>
      <c r="M15" s="618">
        <v>3153.3</v>
      </c>
    </row>
    <row r="16" spans="1:13" ht="14.4" customHeight="1" x14ac:dyDescent="0.3">
      <c r="A16" s="613" t="s">
        <v>340</v>
      </c>
      <c r="B16" s="614" t="s">
        <v>1172</v>
      </c>
      <c r="C16" s="614" t="s">
        <v>781</v>
      </c>
      <c r="D16" s="614" t="s">
        <v>354</v>
      </c>
      <c r="E16" s="614" t="s">
        <v>782</v>
      </c>
      <c r="F16" s="617"/>
      <c r="G16" s="617"/>
      <c r="H16" s="630">
        <v>0</v>
      </c>
      <c r="I16" s="617">
        <v>2</v>
      </c>
      <c r="J16" s="617">
        <v>1442.4</v>
      </c>
      <c r="K16" s="630">
        <v>1</v>
      </c>
      <c r="L16" s="617">
        <v>2</v>
      </c>
      <c r="M16" s="618">
        <v>1442.4</v>
      </c>
    </row>
    <row r="17" spans="1:13" ht="14.4" customHeight="1" x14ac:dyDescent="0.3">
      <c r="A17" s="613" t="s">
        <v>340</v>
      </c>
      <c r="B17" s="614" t="s">
        <v>1173</v>
      </c>
      <c r="C17" s="614" t="s">
        <v>811</v>
      </c>
      <c r="D17" s="614" t="s">
        <v>812</v>
      </c>
      <c r="E17" s="614" t="s">
        <v>1174</v>
      </c>
      <c r="F17" s="617"/>
      <c r="G17" s="617"/>
      <c r="H17" s="630">
        <v>0</v>
      </c>
      <c r="I17" s="617">
        <v>1</v>
      </c>
      <c r="J17" s="617">
        <v>129.58000000000004</v>
      </c>
      <c r="K17" s="630">
        <v>1</v>
      </c>
      <c r="L17" s="617">
        <v>1</v>
      </c>
      <c r="M17" s="618">
        <v>129.58000000000004</v>
      </c>
    </row>
    <row r="18" spans="1:13" ht="14.4" customHeight="1" x14ac:dyDescent="0.3">
      <c r="A18" s="613" t="s">
        <v>340</v>
      </c>
      <c r="B18" s="614" t="s">
        <v>1175</v>
      </c>
      <c r="C18" s="614" t="s">
        <v>860</v>
      </c>
      <c r="D18" s="614" t="s">
        <v>861</v>
      </c>
      <c r="E18" s="614" t="s">
        <v>862</v>
      </c>
      <c r="F18" s="617"/>
      <c r="G18" s="617"/>
      <c r="H18" s="630">
        <v>0</v>
      </c>
      <c r="I18" s="617">
        <v>2</v>
      </c>
      <c r="J18" s="617">
        <v>104.52981113000612</v>
      </c>
      <c r="K18" s="630">
        <v>1</v>
      </c>
      <c r="L18" s="617">
        <v>2</v>
      </c>
      <c r="M18" s="618">
        <v>104.52981113000612</v>
      </c>
    </row>
    <row r="19" spans="1:13" ht="14.4" customHeight="1" x14ac:dyDescent="0.3">
      <c r="A19" s="613" t="s">
        <v>340</v>
      </c>
      <c r="B19" s="614" t="s">
        <v>1176</v>
      </c>
      <c r="C19" s="614" t="s">
        <v>784</v>
      </c>
      <c r="D19" s="614" t="s">
        <v>785</v>
      </c>
      <c r="E19" s="614" t="s">
        <v>563</v>
      </c>
      <c r="F19" s="617"/>
      <c r="G19" s="617"/>
      <c r="H19" s="630">
        <v>0</v>
      </c>
      <c r="I19" s="617">
        <v>1</v>
      </c>
      <c r="J19" s="617">
        <v>48.91</v>
      </c>
      <c r="K19" s="630">
        <v>1</v>
      </c>
      <c r="L19" s="617">
        <v>1</v>
      </c>
      <c r="M19" s="618">
        <v>48.91</v>
      </c>
    </row>
    <row r="20" spans="1:13" ht="14.4" customHeight="1" x14ac:dyDescent="0.3">
      <c r="A20" s="613" t="s">
        <v>340</v>
      </c>
      <c r="B20" s="614" t="s">
        <v>1177</v>
      </c>
      <c r="C20" s="614" t="s">
        <v>827</v>
      </c>
      <c r="D20" s="614" t="s">
        <v>1178</v>
      </c>
      <c r="E20" s="614" t="s">
        <v>1179</v>
      </c>
      <c r="F20" s="617"/>
      <c r="G20" s="617"/>
      <c r="H20" s="630">
        <v>0</v>
      </c>
      <c r="I20" s="617">
        <v>1</v>
      </c>
      <c r="J20" s="617">
        <v>21.74</v>
      </c>
      <c r="K20" s="630">
        <v>1</v>
      </c>
      <c r="L20" s="617">
        <v>1</v>
      </c>
      <c r="M20" s="618">
        <v>21.74</v>
      </c>
    </row>
    <row r="21" spans="1:13" ht="14.4" customHeight="1" x14ac:dyDescent="0.3">
      <c r="A21" s="613" t="s">
        <v>340</v>
      </c>
      <c r="B21" s="614" t="s">
        <v>1180</v>
      </c>
      <c r="C21" s="614" t="s">
        <v>805</v>
      </c>
      <c r="D21" s="614" t="s">
        <v>806</v>
      </c>
      <c r="E21" s="614" t="s">
        <v>563</v>
      </c>
      <c r="F21" s="617"/>
      <c r="G21" s="617"/>
      <c r="H21" s="630">
        <v>0</v>
      </c>
      <c r="I21" s="617">
        <v>3</v>
      </c>
      <c r="J21" s="617">
        <v>261.45000000000005</v>
      </c>
      <c r="K21" s="630">
        <v>1</v>
      </c>
      <c r="L21" s="617">
        <v>3</v>
      </c>
      <c r="M21" s="618">
        <v>261.45000000000005</v>
      </c>
    </row>
    <row r="22" spans="1:13" ht="14.4" customHeight="1" x14ac:dyDescent="0.3">
      <c r="A22" s="613" t="s">
        <v>340</v>
      </c>
      <c r="B22" s="614" t="s">
        <v>1180</v>
      </c>
      <c r="C22" s="614" t="s">
        <v>815</v>
      </c>
      <c r="D22" s="614" t="s">
        <v>816</v>
      </c>
      <c r="E22" s="614" t="s">
        <v>817</v>
      </c>
      <c r="F22" s="617"/>
      <c r="G22" s="617"/>
      <c r="H22" s="630">
        <v>0</v>
      </c>
      <c r="I22" s="617">
        <v>1</v>
      </c>
      <c r="J22" s="617">
        <v>50.460000000000022</v>
      </c>
      <c r="K22" s="630">
        <v>1</v>
      </c>
      <c r="L22" s="617">
        <v>1</v>
      </c>
      <c r="M22" s="618">
        <v>50.460000000000022</v>
      </c>
    </row>
    <row r="23" spans="1:13" ht="14.4" customHeight="1" x14ac:dyDescent="0.3">
      <c r="A23" s="613" t="s">
        <v>340</v>
      </c>
      <c r="B23" s="614" t="s">
        <v>1181</v>
      </c>
      <c r="C23" s="614" t="s">
        <v>802</v>
      </c>
      <c r="D23" s="614" t="s">
        <v>1182</v>
      </c>
      <c r="E23" s="614" t="s">
        <v>469</v>
      </c>
      <c r="F23" s="617"/>
      <c r="G23" s="617"/>
      <c r="H23" s="630">
        <v>0</v>
      </c>
      <c r="I23" s="617">
        <v>1</v>
      </c>
      <c r="J23" s="617">
        <v>46.829927100548225</v>
      </c>
      <c r="K23" s="630">
        <v>1</v>
      </c>
      <c r="L23" s="617">
        <v>1</v>
      </c>
      <c r="M23" s="618">
        <v>46.829927100548225</v>
      </c>
    </row>
    <row r="24" spans="1:13" ht="14.4" customHeight="1" x14ac:dyDescent="0.3">
      <c r="A24" s="613" t="s">
        <v>340</v>
      </c>
      <c r="B24" s="614" t="s">
        <v>1183</v>
      </c>
      <c r="C24" s="614" t="s">
        <v>791</v>
      </c>
      <c r="D24" s="614" t="s">
        <v>792</v>
      </c>
      <c r="E24" s="614" t="s">
        <v>1184</v>
      </c>
      <c r="F24" s="617"/>
      <c r="G24" s="617"/>
      <c r="H24" s="630">
        <v>0</v>
      </c>
      <c r="I24" s="617">
        <v>2</v>
      </c>
      <c r="J24" s="617">
        <v>336.44000000000011</v>
      </c>
      <c r="K24" s="630">
        <v>1</v>
      </c>
      <c r="L24" s="617">
        <v>2</v>
      </c>
      <c r="M24" s="618">
        <v>336.44000000000011</v>
      </c>
    </row>
    <row r="25" spans="1:13" ht="14.4" customHeight="1" x14ac:dyDescent="0.3">
      <c r="A25" s="613" t="s">
        <v>340</v>
      </c>
      <c r="B25" s="614" t="s">
        <v>1185</v>
      </c>
      <c r="C25" s="614" t="s">
        <v>772</v>
      </c>
      <c r="D25" s="614" t="s">
        <v>1186</v>
      </c>
      <c r="E25" s="614" t="s">
        <v>1187</v>
      </c>
      <c r="F25" s="617"/>
      <c r="G25" s="617"/>
      <c r="H25" s="630">
        <v>0</v>
      </c>
      <c r="I25" s="617">
        <v>149</v>
      </c>
      <c r="J25" s="617">
        <v>5180.3920128039081</v>
      </c>
      <c r="K25" s="630">
        <v>1</v>
      </c>
      <c r="L25" s="617">
        <v>149</v>
      </c>
      <c r="M25" s="618">
        <v>5180.3920128039081</v>
      </c>
    </row>
    <row r="26" spans="1:13" ht="14.4" customHeight="1" x14ac:dyDescent="0.3">
      <c r="A26" s="613" t="s">
        <v>340</v>
      </c>
      <c r="B26" s="614" t="s">
        <v>1188</v>
      </c>
      <c r="C26" s="614" t="s">
        <v>841</v>
      </c>
      <c r="D26" s="614" t="s">
        <v>1189</v>
      </c>
      <c r="E26" s="614" t="s">
        <v>1190</v>
      </c>
      <c r="F26" s="617"/>
      <c r="G26" s="617"/>
      <c r="H26" s="630">
        <v>0</v>
      </c>
      <c r="I26" s="617">
        <v>2</v>
      </c>
      <c r="J26" s="617">
        <v>153.24</v>
      </c>
      <c r="K26" s="630">
        <v>1</v>
      </c>
      <c r="L26" s="617">
        <v>2</v>
      </c>
      <c r="M26" s="618">
        <v>153.24</v>
      </c>
    </row>
    <row r="27" spans="1:13" ht="14.4" customHeight="1" x14ac:dyDescent="0.3">
      <c r="A27" s="613" t="s">
        <v>340</v>
      </c>
      <c r="B27" s="614" t="s">
        <v>1191</v>
      </c>
      <c r="C27" s="614" t="s">
        <v>946</v>
      </c>
      <c r="D27" s="614" t="s">
        <v>947</v>
      </c>
      <c r="E27" s="614" t="s">
        <v>1192</v>
      </c>
      <c r="F27" s="617">
        <v>1</v>
      </c>
      <c r="G27" s="617">
        <v>133.50000000000006</v>
      </c>
      <c r="H27" s="630">
        <v>1</v>
      </c>
      <c r="I27" s="617"/>
      <c r="J27" s="617"/>
      <c r="K27" s="630">
        <v>0</v>
      </c>
      <c r="L27" s="617">
        <v>1</v>
      </c>
      <c r="M27" s="618">
        <v>133.50000000000006</v>
      </c>
    </row>
    <row r="28" spans="1:13" ht="14.4" customHeight="1" x14ac:dyDescent="0.3">
      <c r="A28" s="613" t="s">
        <v>340</v>
      </c>
      <c r="B28" s="614" t="s">
        <v>1193</v>
      </c>
      <c r="C28" s="614" t="s">
        <v>960</v>
      </c>
      <c r="D28" s="614" t="s">
        <v>916</v>
      </c>
      <c r="E28" s="614" t="s">
        <v>961</v>
      </c>
      <c r="F28" s="617"/>
      <c r="G28" s="617"/>
      <c r="H28" s="630">
        <v>0</v>
      </c>
      <c r="I28" s="617">
        <v>18</v>
      </c>
      <c r="J28" s="617">
        <v>360.54</v>
      </c>
      <c r="K28" s="630">
        <v>1</v>
      </c>
      <c r="L28" s="617">
        <v>18</v>
      </c>
      <c r="M28" s="618">
        <v>360.54</v>
      </c>
    </row>
    <row r="29" spans="1:13" ht="14.4" customHeight="1" x14ac:dyDescent="0.3">
      <c r="A29" s="613" t="s">
        <v>340</v>
      </c>
      <c r="B29" s="614" t="s">
        <v>1194</v>
      </c>
      <c r="C29" s="614" t="s">
        <v>863</v>
      </c>
      <c r="D29" s="614" t="s">
        <v>864</v>
      </c>
      <c r="E29" s="614" t="s">
        <v>1195</v>
      </c>
      <c r="F29" s="617">
        <v>5</v>
      </c>
      <c r="G29" s="617">
        <v>883.60000000000014</v>
      </c>
      <c r="H29" s="630">
        <v>1</v>
      </c>
      <c r="I29" s="617"/>
      <c r="J29" s="617"/>
      <c r="K29" s="630">
        <v>0</v>
      </c>
      <c r="L29" s="617">
        <v>5</v>
      </c>
      <c r="M29" s="618">
        <v>883.60000000000014</v>
      </c>
    </row>
    <row r="30" spans="1:13" ht="14.4" customHeight="1" x14ac:dyDescent="0.3">
      <c r="A30" s="613" t="s">
        <v>340</v>
      </c>
      <c r="B30" s="614" t="s">
        <v>1194</v>
      </c>
      <c r="C30" s="614" t="s">
        <v>956</v>
      </c>
      <c r="D30" s="614" t="s">
        <v>864</v>
      </c>
      <c r="E30" s="614" t="s">
        <v>1196</v>
      </c>
      <c r="F30" s="617"/>
      <c r="G30" s="617"/>
      <c r="H30" s="630">
        <v>0</v>
      </c>
      <c r="I30" s="617">
        <v>119</v>
      </c>
      <c r="J30" s="617">
        <v>13695.016555240516</v>
      </c>
      <c r="K30" s="630">
        <v>1</v>
      </c>
      <c r="L30" s="617">
        <v>119</v>
      </c>
      <c r="M30" s="618">
        <v>13695.016555240516</v>
      </c>
    </row>
    <row r="31" spans="1:13" ht="14.4" customHeight="1" x14ac:dyDescent="0.3">
      <c r="A31" s="613" t="s">
        <v>340</v>
      </c>
      <c r="B31" s="614" t="s">
        <v>1194</v>
      </c>
      <c r="C31" s="614" t="s">
        <v>967</v>
      </c>
      <c r="D31" s="614" t="s">
        <v>1197</v>
      </c>
      <c r="E31" s="614" t="s">
        <v>1198</v>
      </c>
      <c r="F31" s="617"/>
      <c r="G31" s="617"/>
      <c r="H31" s="630">
        <v>0</v>
      </c>
      <c r="I31" s="617">
        <v>135.19999999999999</v>
      </c>
      <c r="J31" s="617">
        <v>10344.864925750342</v>
      </c>
      <c r="K31" s="630">
        <v>1</v>
      </c>
      <c r="L31" s="617">
        <v>135.19999999999999</v>
      </c>
      <c r="M31" s="618">
        <v>10344.864925750342</v>
      </c>
    </row>
    <row r="32" spans="1:13" ht="14.4" customHeight="1" x14ac:dyDescent="0.3">
      <c r="A32" s="613" t="s">
        <v>340</v>
      </c>
      <c r="B32" s="614" t="s">
        <v>1199</v>
      </c>
      <c r="C32" s="614" t="s">
        <v>973</v>
      </c>
      <c r="D32" s="614" t="s">
        <v>974</v>
      </c>
      <c r="E32" s="614" t="s">
        <v>975</v>
      </c>
      <c r="F32" s="617"/>
      <c r="G32" s="617"/>
      <c r="H32" s="630">
        <v>0</v>
      </c>
      <c r="I32" s="617">
        <v>2.1</v>
      </c>
      <c r="J32" s="617">
        <v>970.2</v>
      </c>
      <c r="K32" s="630">
        <v>1</v>
      </c>
      <c r="L32" s="617">
        <v>2.1</v>
      </c>
      <c r="M32" s="618">
        <v>970.2</v>
      </c>
    </row>
    <row r="33" spans="1:13" ht="14.4" customHeight="1" x14ac:dyDescent="0.3">
      <c r="A33" s="613" t="s">
        <v>340</v>
      </c>
      <c r="B33" s="614" t="s">
        <v>1200</v>
      </c>
      <c r="C33" s="614" t="s">
        <v>976</v>
      </c>
      <c r="D33" s="614" t="s">
        <v>977</v>
      </c>
      <c r="E33" s="614" t="s">
        <v>978</v>
      </c>
      <c r="F33" s="617"/>
      <c r="G33" s="617"/>
      <c r="H33" s="630">
        <v>0</v>
      </c>
      <c r="I33" s="617">
        <v>1.4</v>
      </c>
      <c r="J33" s="617">
        <v>304.92</v>
      </c>
      <c r="K33" s="630">
        <v>1</v>
      </c>
      <c r="L33" s="617">
        <v>1.4</v>
      </c>
      <c r="M33" s="618">
        <v>304.92</v>
      </c>
    </row>
    <row r="34" spans="1:13" ht="14.4" customHeight="1" x14ac:dyDescent="0.3">
      <c r="A34" s="613" t="s">
        <v>340</v>
      </c>
      <c r="B34" s="614" t="s">
        <v>1201</v>
      </c>
      <c r="C34" s="614" t="s">
        <v>970</v>
      </c>
      <c r="D34" s="614" t="s">
        <v>1202</v>
      </c>
      <c r="E34" s="614" t="s">
        <v>972</v>
      </c>
      <c r="F34" s="617"/>
      <c r="G34" s="617"/>
      <c r="H34" s="630">
        <v>0</v>
      </c>
      <c r="I34" s="617">
        <v>6.3000000000000007</v>
      </c>
      <c r="J34" s="617">
        <v>3257.1000000000004</v>
      </c>
      <c r="K34" s="630">
        <v>1</v>
      </c>
      <c r="L34" s="617">
        <v>6.3000000000000007</v>
      </c>
      <c r="M34" s="618">
        <v>3257.1000000000004</v>
      </c>
    </row>
    <row r="35" spans="1:13" ht="14.4" customHeight="1" x14ac:dyDescent="0.3">
      <c r="A35" s="613" t="s">
        <v>340</v>
      </c>
      <c r="B35" s="614" t="s">
        <v>1203</v>
      </c>
      <c r="C35" s="614" t="s">
        <v>980</v>
      </c>
      <c r="D35" s="614" t="s">
        <v>1204</v>
      </c>
      <c r="E35" s="614" t="s">
        <v>1205</v>
      </c>
      <c r="F35" s="617">
        <v>1.7999999999999994</v>
      </c>
      <c r="G35" s="617">
        <v>2060.4900114686407</v>
      </c>
      <c r="H35" s="630">
        <v>0.33927080833908235</v>
      </c>
      <c r="I35" s="617">
        <v>15.2</v>
      </c>
      <c r="J35" s="617">
        <v>4012.8</v>
      </c>
      <c r="K35" s="630">
        <v>0.66072919166091759</v>
      </c>
      <c r="L35" s="617">
        <v>17</v>
      </c>
      <c r="M35" s="618">
        <v>6073.2900114686408</v>
      </c>
    </row>
    <row r="36" spans="1:13" ht="14.4" customHeight="1" x14ac:dyDescent="0.3">
      <c r="A36" s="613" t="s">
        <v>340</v>
      </c>
      <c r="B36" s="614" t="s">
        <v>1203</v>
      </c>
      <c r="C36" s="614" t="s">
        <v>885</v>
      </c>
      <c r="D36" s="614" t="s">
        <v>1206</v>
      </c>
      <c r="E36" s="614" t="s">
        <v>1207</v>
      </c>
      <c r="F36" s="617">
        <v>22</v>
      </c>
      <c r="G36" s="617">
        <v>1864.28</v>
      </c>
      <c r="H36" s="630">
        <v>1</v>
      </c>
      <c r="I36" s="617"/>
      <c r="J36" s="617"/>
      <c r="K36" s="630">
        <v>0</v>
      </c>
      <c r="L36" s="617">
        <v>22</v>
      </c>
      <c r="M36" s="618">
        <v>1864.28</v>
      </c>
    </row>
    <row r="37" spans="1:13" ht="14.4" customHeight="1" x14ac:dyDescent="0.3">
      <c r="A37" s="613" t="s">
        <v>340</v>
      </c>
      <c r="B37" s="614" t="s">
        <v>1208</v>
      </c>
      <c r="C37" s="614" t="s">
        <v>949</v>
      </c>
      <c r="D37" s="614" t="s">
        <v>950</v>
      </c>
      <c r="E37" s="614" t="s">
        <v>951</v>
      </c>
      <c r="F37" s="617">
        <v>1</v>
      </c>
      <c r="G37" s="617">
        <v>494.99915375820251</v>
      </c>
      <c r="H37" s="630">
        <v>1</v>
      </c>
      <c r="I37" s="617"/>
      <c r="J37" s="617"/>
      <c r="K37" s="630">
        <v>0</v>
      </c>
      <c r="L37" s="617">
        <v>1</v>
      </c>
      <c r="M37" s="618">
        <v>494.99915375820251</v>
      </c>
    </row>
    <row r="38" spans="1:13" ht="14.4" customHeight="1" x14ac:dyDescent="0.3">
      <c r="A38" s="613" t="s">
        <v>340</v>
      </c>
      <c r="B38" s="614" t="s">
        <v>1208</v>
      </c>
      <c r="C38" s="614" t="s">
        <v>923</v>
      </c>
      <c r="D38" s="614" t="s">
        <v>924</v>
      </c>
      <c r="E38" s="614" t="s">
        <v>1209</v>
      </c>
      <c r="F38" s="617"/>
      <c r="G38" s="617"/>
      <c r="H38" s="630">
        <v>0</v>
      </c>
      <c r="I38" s="617">
        <v>2</v>
      </c>
      <c r="J38" s="617">
        <v>109.76000000000002</v>
      </c>
      <c r="K38" s="630">
        <v>1</v>
      </c>
      <c r="L38" s="617">
        <v>2</v>
      </c>
      <c r="M38" s="618">
        <v>109.76000000000002</v>
      </c>
    </row>
    <row r="39" spans="1:13" ht="14.4" customHeight="1" x14ac:dyDescent="0.3">
      <c r="A39" s="613" t="s">
        <v>340</v>
      </c>
      <c r="B39" s="614" t="s">
        <v>1210</v>
      </c>
      <c r="C39" s="614" t="s">
        <v>963</v>
      </c>
      <c r="D39" s="614" t="s">
        <v>964</v>
      </c>
      <c r="E39" s="614" t="s">
        <v>1211</v>
      </c>
      <c r="F39" s="617"/>
      <c r="G39" s="617"/>
      <c r="H39" s="630">
        <v>0</v>
      </c>
      <c r="I39" s="617">
        <v>4</v>
      </c>
      <c r="J39" s="617">
        <v>2395.36</v>
      </c>
      <c r="K39" s="630">
        <v>1</v>
      </c>
      <c r="L39" s="617">
        <v>4</v>
      </c>
      <c r="M39" s="618">
        <v>2395.36</v>
      </c>
    </row>
    <row r="40" spans="1:13" ht="14.4" customHeight="1" x14ac:dyDescent="0.3">
      <c r="A40" s="613" t="s">
        <v>340</v>
      </c>
      <c r="B40" s="614" t="s">
        <v>1212</v>
      </c>
      <c r="C40" s="614" t="s">
        <v>889</v>
      </c>
      <c r="D40" s="614" t="s">
        <v>1213</v>
      </c>
      <c r="E40" s="614" t="s">
        <v>1214</v>
      </c>
      <c r="F40" s="617">
        <v>0.2</v>
      </c>
      <c r="G40" s="617">
        <v>86.341200000000015</v>
      </c>
      <c r="H40" s="630">
        <v>1</v>
      </c>
      <c r="I40" s="617"/>
      <c r="J40" s="617"/>
      <c r="K40" s="630">
        <v>0</v>
      </c>
      <c r="L40" s="617">
        <v>0.2</v>
      </c>
      <c r="M40" s="618">
        <v>86.341200000000015</v>
      </c>
    </row>
    <row r="41" spans="1:13" ht="14.4" customHeight="1" x14ac:dyDescent="0.3">
      <c r="A41" s="613" t="s">
        <v>340</v>
      </c>
      <c r="B41" s="614" t="s">
        <v>1215</v>
      </c>
      <c r="C41" s="614" t="s">
        <v>992</v>
      </c>
      <c r="D41" s="614" t="s">
        <v>993</v>
      </c>
      <c r="E41" s="614" t="s">
        <v>994</v>
      </c>
      <c r="F41" s="617"/>
      <c r="G41" s="617"/>
      <c r="H41" s="630">
        <v>0</v>
      </c>
      <c r="I41" s="617">
        <v>2.2000000000000002</v>
      </c>
      <c r="J41" s="617">
        <v>350.9</v>
      </c>
      <c r="K41" s="630">
        <v>1</v>
      </c>
      <c r="L41" s="617">
        <v>2.2000000000000002</v>
      </c>
      <c r="M41" s="618">
        <v>350.9</v>
      </c>
    </row>
    <row r="42" spans="1:13" ht="14.4" customHeight="1" x14ac:dyDescent="0.3">
      <c r="A42" s="613" t="s">
        <v>340</v>
      </c>
      <c r="B42" s="614" t="s">
        <v>1215</v>
      </c>
      <c r="C42" s="614" t="s">
        <v>995</v>
      </c>
      <c r="D42" s="614" t="s">
        <v>993</v>
      </c>
      <c r="E42" s="614" t="s">
        <v>996</v>
      </c>
      <c r="F42" s="617"/>
      <c r="G42" s="617"/>
      <c r="H42" s="630">
        <v>0</v>
      </c>
      <c r="I42" s="617">
        <v>0.2</v>
      </c>
      <c r="J42" s="617">
        <v>61.6</v>
      </c>
      <c r="K42" s="630">
        <v>1</v>
      </c>
      <c r="L42" s="617">
        <v>0.2</v>
      </c>
      <c r="M42" s="618">
        <v>61.6</v>
      </c>
    </row>
    <row r="43" spans="1:13" ht="14.4" customHeight="1" x14ac:dyDescent="0.3">
      <c r="A43" s="613" t="s">
        <v>340</v>
      </c>
      <c r="B43" s="614" t="s">
        <v>1216</v>
      </c>
      <c r="C43" s="614" t="s">
        <v>989</v>
      </c>
      <c r="D43" s="614" t="s">
        <v>990</v>
      </c>
      <c r="E43" s="614" t="s">
        <v>1217</v>
      </c>
      <c r="F43" s="617"/>
      <c r="G43" s="617"/>
      <c r="H43" s="630">
        <v>0</v>
      </c>
      <c r="I43" s="617">
        <v>20</v>
      </c>
      <c r="J43" s="617">
        <v>59947.599999999991</v>
      </c>
      <c r="K43" s="630">
        <v>1</v>
      </c>
      <c r="L43" s="617">
        <v>20</v>
      </c>
      <c r="M43" s="618">
        <v>59947.599999999991</v>
      </c>
    </row>
    <row r="44" spans="1:13" ht="14.4" customHeight="1" x14ac:dyDescent="0.3">
      <c r="A44" s="613" t="s">
        <v>340</v>
      </c>
      <c r="B44" s="614" t="s">
        <v>1218</v>
      </c>
      <c r="C44" s="614" t="s">
        <v>776</v>
      </c>
      <c r="D44" s="614" t="s">
        <v>714</v>
      </c>
      <c r="E44" s="614" t="s">
        <v>1219</v>
      </c>
      <c r="F44" s="617"/>
      <c r="G44" s="617"/>
      <c r="H44" s="630">
        <v>0</v>
      </c>
      <c r="I44" s="617">
        <v>9</v>
      </c>
      <c r="J44" s="617">
        <v>945.53579174320748</v>
      </c>
      <c r="K44" s="630">
        <v>1</v>
      </c>
      <c r="L44" s="617">
        <v>9</v>
      </c>
      <c r="M44" s="618">
        <v>945.53579174320748</v>
      </c>
    </row>
    <row r="45" spans="1:13" ht="14.4" customHeight="1" x14ac:dyDescent="0.3">
      <c r="A45" s="613" t="s">
        <v>340</v>
      </c>
      <c r="B45" s="614" t="s">
        <v>1220</v>
      </c>
      <c r="C45" s="614" t="s">
        <v>849</v>
      </c>
      <c r="D45" s="614" t="s">
        <v>1221</v>
      </c>
      <c r="E45" s="614" t="s">
        <v>1222</v>
      </c>
      <c r="F45" s="617"/>
      <c r="G45" s="617"/>
      <c r="H45" s="630">
        <v>0</v>
      </c>
      <c r="I45" s="617">
        <v>1</v>
      </c>
      <c r="J45" s="617">
        <v>80.519874655907387</v>
      </c>
      <c r="K45" s="630">
        <v>1</v>
      </c>
      <c r="L45" s="617">
        <v>1</v>
      </c>
      <c r="M45" s="618">
        <v>80.519874655907387</v>
      </c>
    </row>
    <row r="46" spans="1:13" ht="14.4" customHeight="1" x14ac:dyDescent="0.3">
      <c r="A46" s="613" t="s">
        <v>340</v>
      </c>
      <c r="B46" s="614" t="s">
        <v>1223</v>
      </c>
      <c r="C46" s="614" t="s">
        <v>845</v>
      </c>
      <c r="D46" s="614" t="s">
        <v>1224</v>
      </c>
      <c r="E46" s="614" t="s">
        <v>1225</v>
      </c>
      <c r="F46" s="617"/>
      <c r="G46" s="617"/>
      <c r="H46" s="630">
        <v>0</v>
      </c>
      <c r="I46" s="617">
        <v>1</v>
      </c>
      <c r="J46" s="617">
        <v>92.359831959169625</v>
      </c>
      <c r="K46" s="630">
        <v>1</v>
      </c>
      <c r="L46" s="617">
        <v>1</v>
      </c>
      <c r="M46" s="618">
        <v>92.359831959169625</v>
      </c>
    </row>
    <row r="47" spans="1:13" ht="14.4" customHeight="1" x14ac:dyDescent="0.3">
      <c r="A47" s="613" t="s">
        <v>340</v>
      </c>
      <c r="B47" s="614" t="s">
        <v>1226</v>
      </c>
      <c r="C47" s="614" t="s">
        <v>606</v>
      </c>
      <c r="D47" s="614" t="s">
        <v>831</v>
      </c>
      <c r="E47" s="614" t="s">
        <v>832</v>
      </c>
      <c r="F47" s="617"/>
      <c r="G47" s="617"/>
      <c r="H47" s="630">
        <v>0</v>
      </c>
      <c r="I47" s="617">
        <v>1</v>
      </c>
      <c r="J47" s="617">
        <v>77.809362645597943</v>
      </c>
      <c r="K47" s="630">
        <v>1</v>
      </c>
      <c r="L47" s="617">
        <v>1</v>
      </c>
      <c r="M47" s="618">
        <v>77.809362645597943</v>
      </c>
    </row>
    <row r="48" spans="1:13" ht="14.4" customHeight="1" x14ac:dyDescent="0.3">
      <c r="A48" s="613" t="s">
        <v>340</v>
      </c>
      <c r="B48" s="614" t="s">
        <v>1227</v>
      </c>
      <c r="C48" s="614" t="s">
        <v>795</v>
      </c>
      <c r="D48" s="614" t="s">
        <v>796</v>
      </c>
      <c r="E48" s="614" t="s">
        <v>1228</v>
      </c>
      <c r="F48" s="617"/>
      <c r="G48" s="617"/>
      <c r="H48" s="630">
        <v>0</v>
      </c>
      <c r="I48" s="617">
        <v>1</v>
      </c>
      <c r="J48" s="617">
        <v>57.81</v>
      </c>
      <c r="K48" s="630">
        <v>1</v>
      </c>
      <c r="L48" s="617">
        <v>1</v>
      </c>
      <c r="M48" s="618">
        <v>57.81</v>
      </c>
    </row>
    <row r="49" spans="1:13" ht="14.4" customHeight="1" x14ac:dyDescent="0.3">
      <c r="A49" s="613" t="s">
        <v>340</v>
      </c>
      <c r="B49" s="614" t="s">
        <v>1227</v>
      </c>
      <c r="C49" s="614" t="s">
        <v>799</v>
      </c>
      <c r="D49" s="614" t="s">
        <v>796</v>
      </c>
      <c r="E49" s="614" t="s">
        <v>469</v>
      </c>
      <c r="F49" s="617"/>
      <c r="G49" s="617"/>
      <c r="H49" s="630">
        <v>0</v>
      </c>
      <c r="I49" s="617">
        <v>1</v>
      </c>
      <c r="J49" s="617">
        <v>51.840000000000032</v>
      </c>
      <c r="K49" s="630">
        <v>1</v>
      </c>
      <c r="L49" s="617">
        <v>1</v>
      </c>
      <c r="M49" s="618">
        <v>51.840000000000032</v>
      </c>
    </row>
    <row r="50" spans="1:13" ht="14.4" customHeight="1" x14ac:dyDescent="0.3">
      <c r="A50" s="613" t="s">
        <v>340</v>
      </c>
      <c r="B50" s="614" t="s">
        <v>1229</v>
      </c>
      <c r="C50" s="614" t="s">
        <v>808</v>
      </c>
      <c r="D50" s="614" t="s">
        <v>809</v>
      </c>
      <c r="E50" s="614" t="s">
        <v>563</v>
      </c>
      <c r="F50" s="617"/>
      <c r="G50" s="617"/>
      <c r="H50" s="630">
        <v>0</v>
      </c>
      <c r="I50" s="617">
        <v>1</v>
      </c>
      <c r="J50" s="617">
        <v>85.37</v>
      </c>
      <c r="K50" s="630">
        <v>1</v>
      </c>
      <c r="L50" s="617">
        <v>1</v>
      </c>
      <c r="M50" s="618">
        <v>85.37</v>
      </c>
    </row>
    <row r="51" spans="1:13" ht="14.4" customHeight="1" x14ac:dyDescent="0.3">
      <c r="A51" s="613" t="s">
        <v>340</v>
      </c>
      <c r="B51" s="614" t="s">
        <v>1230</v>
      </c>
      <c r="C51" s="614" t="s">
        <v>857</v>
      </c>
      <c r="D51" s="614" t="s">
        <v>858</v>
      </c>
      <c r="E51" s="614" t="s">
        <v>1231</v>
      </c>
      <c r="F51" s="617"/>
      <c r="G51" s="617"/>
      <c r="H51" s="630">
        <v>0</v>
      </c>
      <c r="I51" s="617">
        <v>2</v>
      </c>
      <c r="J51" s="617">
        <v>204.10000000000002</v>
      </c>
      <c r="K51" s="630">
        <v>1</v>
      </c>
      <c r="L51" s="617">
        <v>2</v>
      </c>
      <c r="M51" s="618">
        <v>204.10000000000002</v>
      </c>
    </row>
    <row r="52" spans="1:13" ht="14.4" customHeight="1" x14ac:dyDescent="0.3">
      <c r="A52" s="613" t="s">
        <v>340</v>
      </c>
      <c r="B52" s="614" t="s">
        <v>1230</v>
      </c>
      <c r="C52" s="614" t="s">
        <v>878</v>
      </c>
      <c r="D52" s="614" t="s">
        <v>879</v>
      </c>
      <c r="E52" s="614" t="s">
        <v>880</v>
      </c>
      <c r="F52" s="617"/>
      <c r="G52" s="617"/>
      <c r="H52" s="630">
        <v>0</v>
      </c>
      <c r="I52" s="617">
        <v>1</v>
      </c>
      <c r="J52" s="617">
        <v>198.88999999999996</v>
      </c>
      <c r="K52" s="630">
        <v>1</v>
      </c>
      <c r="L52" s="617">
        <v>1</v>
      </c>
      <c r="M52" s="618">
        <v>198.88999999999996</v>
      </c>
    </row>
    <row r="53" spans="1:13" ht="14.4" customHeight="1" x14ac:dyDescent="0.3">
      <c r="A53" s="613" t="s">
        <v>340</v>
      </c>
      <c r="B53" s="614" t="s">
        <v>1230</v>
      </c>
      <c r="C53" s="614" t="s">
        <v>874</v>
      </c>
      <c r="D53" s="614" t="s">
        <v>875</v>
      </c>
      <c r="E53" s="614" t="s">
        <v>876</v>
      </c>
      <c r="F53" s="617"/>
      <c r="G53" s="617"/>
      <c r="H53" s="630">
        <v>0</v>
      </c>
      <c r="I53" s="617">
        <v>12</v>
      </c>
      <c r="J53" s="617">
        <v>3039.5869989104849</v>
      </c>
      <c r="K53" s="630">
        <v>1</v>
      </c>
      <c r="L53" s="617">
        <v>12</v>
      </c>
      <c r="M53" s="618">
        <v>3039.5869989104849</v>
      </c>
    </row>
    <row r="54" spans="1:13" ht="14.4" customHeight="1" x14ac:dyDescent="0.3">
      <c r="A54" s="613" t="s">
        <v>340</v>
      </c>
      <c r="B54" s="614" t="s">
        <v>1230</v>
      </c>
      <c r="C54" s="614" t="s">
        <v>881</v>
      </c>
      <c r="D54" s="614" t="s">
        <v>875</v>
      </c>
      <c r="E54" s="614" t="s">
        <v>882</v>
      </c>
      <c r="F54" s="617"/>
      <c r="G54" s="617"/>
      <c r="H54" s="630">
        <v>0</v>
      </c>
      <c r="I54" s="617">
        <v>54</v>
      </c>
      <c r="J54" s="617">
        <v>15036.532638632252</v>
      </c>
      <c r="K54" s="630">
        <v>1</v>
      </c>
      <c r="L54" s="617">
        <v>54</v>
      </c>
      <c r="M54" s="618">
        <v>15036.532638632252</v>
      </c>
    </row>
    <row r="55" spans="1:13" ht="14.4" customHeight="1" x14ac:dyDescent="0.3">
      <c r="A55" s="613" t="s">
        <v>343</v>
      </c>
      <c r="B55" s="614" t="s">
        <v>1163</v>
      </c>
      <c r="C55" s="614" t="s">
        <v>1011</v>
      </c>
      <c r="D55" s="614" t="s">
        <v>1012</v>
      </c>
      <c r="E55" s="614" t="s">
        <v>1013</v>
      </c>
      <c r="F55" s="617"/>
      <c r="G55" s="617"/>
      <c r="H55" s="630">
        <v>0</v>
      </c>
      <c r="I55" s="617">
        <v>1</v>
      </c>
      <c r="J55" s="617">
        <v>364.68</v>
      </c>
      <c r="K55" s="630">
        <v>1</v>
      </c>
      <c r="L55" s="617">
        <v>1</v>
      </c>
      <c r="M55" s="618">
        <v>364.68</v>
      </c>
    </row>
    <row r="56" spans="1:13" ht="14.4" customHeight="1" x14ac:dyDescent="0.3">
      <c r="A56" s="613" t="s">
        <v>343</v>
      </c>
      <c r="B56" s="614" t="s">
        <v>1185</v>
      </c>
      <c r="C56" s="614" t="s">
        <v>1059</v>
      </c>
      <c r="D56" s="614" t="s">
        <v>1232</v>
      </c>
      <c r="E56" s="614" t="s">
        <v>1233</v>
      </c>
      <c r="F56" s="617"/>
      <c r="G56" s="617"/>
      <c r="H56" s="630">
        <v>0</v>
      </c>
      <c r="I56" s="617">
        <v>24</v>
      </c>
      <c r="J56" s="617">
        <v>906.82907880975415</v>
      </c>
      <c r="K56" s="630">
        <v>1</v>
      </c>
      <c r="L56" s="617">
        <v>24</v>
      </c>
      <c r="M56" s="618">
        <v>906.82907880975415</v>
      </c>
    </row>
    <row r="57" spans="1:13" ht="14.4" customHeight="1" x14ac:dyDescent="0.3">
      <c r="A57" s="613" t="s">
        <v>343</v>
      </c>
      <c r="B57" s="614" t="s">
        <v>1194</v>
      </c>
      <c r="C57" s="614" t="s">
        <v>863</v>
      </c>
      <c r="D57" s="614" t="s">
        <v>864</v>
      </c>
      <c r="E57" s="614" t="s">
        <v>1195</v>
      </c>
      <c r="F57" s="617"/>
      <c r="G57" s="617"/>
      <c r="H57" s="630">
        <v>0</v>
      </c>
      <c r="I57" s="617">
        <v>1</v>
      </c>
      <c r="J57" s="617">
        <v>168.71</v>
      </c>
      <c r="K57" s="630">
        <v>1</v>
      </c>
      <c r="L57" s="617">
        <v>1</v>
      </c>
      <c r="M57" s="618">
        <v>168.71</v>
      </c>
    </row>
    <row r="58" spans="1:13" ht="14.4" customHeight="1" x14ac:dyDescent="0.3">
      <c r="A58" s="613" t="s">
        <v>343</v>
      </c>
      <c r="B58" s="614" t="s">
        <v>1194</v>
      </c>
      <c r="C58" s="614" t="s">
        <v>956</v>
      </c>
      <c r="D58" s="614" t="s">
        <v>864</v>
      </c>
      <c r="E58" s="614" t="s">
        <v>1196</v>
      </c>
      <c r="F58" s="617"/>
      <c r="G58" s="617"/>
      <c r="H58" s="630">
        <v>0</v>
      </c>
      <c r="I58" s="617">
        <v>5</v>
      </c>
      <c r="J58" s="617">
        <v>573</v>
      </c>
      <c r="K58" s="630">
        <v>1</v>
      </c>
      <c r="L58" s="617">
        <v>5</v>
      </c>
      <c r="M58" s="618">
        <v>573</v>
      </c>
    </row>
    <row r="59" spans="1:13" ht="14.4" customHeight="1" x14ac:dyDescent="0.3">
      <c r="A59" s="613" t="s">
        <v>343</v>
      </c>
      <c r="B59" s="614" t="s">
        <v>1194</v>
      </c>
      <c r="C59" s="614" t="s">
        <v>1067</v>
      </c>
      <c r="D59" s="614" t="s">
        <v>1234</v>
      </c>
      <c r="E59" s="614" t="s">
        <v>1195</v>
      </c>
      <c r="F59" s="617"/>
      <c r="G59" s="617"/>
      <c r="H59" s="630">
        <v>0</v>
      </c>
      <c r="I59" s="617">
        <v>2</v>
      </c>
      <c r="J59" s="617">
        <v>224.62000000000009</v>
      </c>
      <c r="K59" s="630">
        <v>1</v>
      </c>
      <c r="L59" s="617">
        <v>2</v>
      </c>
      <c r="M59" s="618">
        <v>224.62000000000009</v>
      </c>
    </row>
    <row r="60" spans="1:13" ht="14.4" customHeight="1" x14ac:dyDescent="0.3">
      <c r="A60" s="613" t="s">
        <v>343</v>
      </c>
      <c r="B60" s="614" t="s">
        <v>1235</v>
      </c>
      <c r="C60" s="614" t="s">
        <v>1063</v>
      </c>
      <c r="D60" s="614" t="s">
        <v>1064</v>
      </c>
      <c r="E60" s="614" t="s">
        <v>1236</v>
      </c>
      <c r="F60" s="617"/>
      <c r="G60" s="617"/>
      <c r="H60" s="630">
        <v>0</v>
      </c>
      <c r="I60" s="617">
        <v>1</v>
      </c>
      <c r="J60" s="617">
        <v>85.460000000000008</v>
      </c>
      <c r="K60" s="630">
        <v>1</v>
      </c>
      <c r="L60" s="617">
        <v>1</v>
      </c>
      <c r="M60" s="618">
        <v>85.460000000000008</v>
      </c>
    </row>
    <row r="61" spans="1:13" ht="14.4" customHeight="1" x14ac:dyDescent="0.3">
      <c r="A61" s="613" t="s">
        <v>346</v>
      </c>
      <c r="B61" s="614" t="s">
        <v>1194</v>
      </c>
      <c r="C61" s="614" t="s">
        <v>863</v>
      </c>
      <c r="D61" s="614" t="s">
        <v>864</v>
      </c>
      <c r="E61" s="614" t="s">
        <v>1195</v>
      </c>
      <c r="F61" s="617"/>
      <c r="G61" s="617"/>
      <c r="H61" s="630">
        <v>0</v>
      </c>
      <c r="I61" s="617">
        <v>4</v>
      </c>
      <c r="J61" s="617">
        <v>674.84000000000015</v>
      </c>
      <c r="K61" s="630">
        <v>1</v>
      </c>
      <c r="L61" s="617">
        <v>4</v>
      </c>
      <c r="M61" s="618">
        <v>674.84000000000015</v>
      </c>
    </row>
    <row r="62" spans="1:13" ht="14.4" customHeight="1" x14ac:dyDescent="0.3">
      <c r="A62" s="613" t="s">
        <v>346</v>
      </c>
      <c r="B62" s="614" t="s">
        <v>1194</v>
      </c>
      <c r="C62" s="614" t="s">
        <v>956</v>
      </c>
      <c r="D62" s="614" t="s">
        <v>864</v>
      </c>
      <c r="E62" s="614" t="s">
        <v>1196</v>
      </c>
      <c r="F62" s="617"/>
      <c r="G62" s="617"/>
      <c r="H62" s="630">
        <v>0</v>
      </c>
      <c r="I62" s="617">
        <v>18</v>
      </c>
      <c r="J62" s="617">
        <v>2074.3324115601658</v>
      </c>
      <c r="K62" s="630">
        <v>1</v>
      </c>
      <c r="L62" s="617">
        <v>18</v>
      </c>
      <c r="M62" s="618">
        <v>2074.3324115601658</v>
      </c>
    </row>
    <row r="63" spans="1:13" ht="14.4" customHeight="1" x14ac:dyDescent="0.3">
      <c r="A63" s="613" t="s">
        <v>346</v>
      </c>
      <c r="B63" s="614" t="s">
        <v>1194</v>
      </c>
      <c r="C63" s="614" t="s">
        <v>1067</v>
      </c>
      <c r="D63" s="614" t="s">
        <v>1234</v>
      </c>
      <c r="E63" s="614" t="s">
        <v>1195</v>
      </c>
      <c r="F63" s="617"/>
      <c r="G63" s="617"/>
      <c r="H63" s="630">
        <v>0</v>
      </c>
      <c r="I63" s="617">
        <v>3</v>
      </c>
      <c r="J63" s="617">
        <v>336.93000000000012</v>
      </c>
      <c r="K63" s="630">
        <v>1</v>
      </c>
      <c r="L63" s="617">
        <v>3</v>
      </c>
      <c r="M63" s="618">
        <v>336.93000000000012</v>
      </c>
    </row>
    <row r="64" spans="1:13" ht="14.4" customHeight="1" x14ac:dyDescent="0.3">
      <c r="A64" s="613" t="s">
        <v>349</v>
      </c>
      <c r="B64" s="614" t="s">
        <v>1185</v>
      </c>
      <c r="C64" s="614" t="s">
        <v>772</v>
      </c>
      <c r="D64" s="614" t="s">
        <v>1186</v>
      </c>
      <c r="E64" s="614" t="s">
        <v>1187</v>
      </c>
      <c r="F64" s="617"/>
      <c r="G64" s="617"/>
      <c r="H64" s="630">
        <v>0</v>
      </c>
      <c r="I64" s="617">
        <v>30</v>
      </c>
      <c r="J64" s="617">
        <v>1043.1950071995113</v>
      </c>
      <c r="K64" s="630">
        <v>1</v>
      </c>
      <c r="L64" s="617">
        <v>30</v>
      </c>
      <c r="M64" s="618">
        <v>1043.1950071995113</v>
      </c>
    </row>
    <row r="65" spans="1:13" ht="14.4" customHeight="1" x14ac:dyDescent="0.3">
      <c r="A65" s="613" t="s">
        <v>349</v>
      </c>
      <c r="B65" s="614" t="s">
        <v>1194</v>
      </c>
      <c r="C65" s="614" t="s">
        <v>863</v>
      </c>
      <c r="D65" s="614" t="s">
        <v>864</v>
      </c>
      <c r="E65" s="614" t="s">
        <v>1195</v>
      </c>
      <c r="F65" s="617"/>
      <c r="G65" s="617"/>
      <c r="H65" s="630">
        <v>0</v>
      </c>
      <c r="I65" s="617">
        <v>1</v>
      </c>
      <c r="J65" s="617">
        <v>168.70999999999998</v>
      </c>
      <c r="K65" s="630">
        <v>1</v>
      </c>
      <c r="L65" s="617">
        <v>1</v>
      </c>
      <c r="M65" s="618">
        <v>168.70999999999998</v>
      </c>
    </row>
    <row r="66" spans="1:13" ht="14.4" customHeight="1" thickBot="1" x14ac:dyDescent="0.35">
      <c r="A66" s="619" t="s">
        <v>349</v>
      </c>
      <c r="B66" s="620" t="s">
        <v>1194</v>
      </c>
      <c r="C66" s="620" t="s">
        <v>956</v>
      </c>
      <c r="D66" s="620" t="s">
        <v>864</v>
      </c>
      <c r="E66" s="620" t="s">
        <v>1196</v>
      </c>
      <c r="F66" s="623"/>
      <c r="G66" s="623"/>
      <c r="H66" s="631">
        <v>0</v>
      </c>
      <c r="I66" s="623">
        <v>1</v>
      </c>
      <c r="J66" s="623">
        <v>115.94000000000003</v>
      </c>
      <c r="K66" s="631">
        <v>1</v>
      </c>
      <c r="L66" s="623">
        <v>1</v>
      </c>
      <c r="M66" s="624">
        <v>115.94000000000003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2015-07-23T08:41:31Z</dcterms:modified>
</cp:coreProperties>
</file>