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2" hidden="1">'ZV Vykáz.-A Detail'!$A$5:$P$5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G21" i="419" l="1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I22" i="419" l="1"/>
  <c r="U22" i="419"/>
  <c r="E22" i="419"/>
  <c r="H22" i="419"/>
  <c r="L22" i="419"/>
  <c r="P22" i="419"/>
  <c r="T22" i="419"/>
  <c r="X22" i="419"/>
  <c r="AB22" i="419"/>
  <c r="AF22" i="419"/>
  <c r="B22" i="419"/>
  <c r="M22" i="419"/>
  <c r="AC22" i="419"/>
  <c r="C22" i="419"/>
  <c r="F22" i="419"/>
  <c r="J22" i="419"/>
  <c r="N22" i="419"/>
  <c r="R22" i="419"/>
  <c r="V22" i="419"/>
  <c r="Z22" i="419"/>
  <c r="AD22" i="419"/>
  <c r="AG22" i="419"/>
  <c r="Q22" i="419"/>
  <c r="Y22" i="419"/>
  <c r="D22" i="419"/>
  <c r="G22" i="419"/>
  <c r="K22" i="419"/>
  <c r="O22" i="419"/>
  <c r="S22" i="419"/>
  <c r="W22" i="419"/>
  <c r="AA22" i="419"/>
  <c r="AE22" i="419"/>
  <c r="A27" i="383"/>
  <c r="G3" i="429"/>
  <c r="F3" i="429"/>
  <c r="E3" i="429"/>
  <c r="D3" i="429"/>
  <c r="C3" i="429"/>
  <c r="B3" i="429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G26" i="419" l="1"/>
  <c r="AG25" i="419"/>
  <c r="C11" i="340" l="1"/>
  <c r="A21" i="383" l="1"/>
  <c r="A11" i="383"/>
  <c r="C16" i="414"/>
  <c r="D16" i="414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F27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9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20" i="414" s="1"/>
  <c r="C11" i="339"/>
  <c r="H11" i="339" l="1"/>
  <c r="G11" i="339"/>
  <c r="A21" i="414"/>
  <c r="A20" i="414"/>
  <c r="A15" i="414"/>
  <c r="A12" i="414"/>
  <c r="A11" i="414"/>
  <c r="A8" i="414"/>
  <c r="A7" i="414"/>
  <c r="A16" i="414"/>
  <c r="A4" i="414"/>
  <c r="A6" i="339" l="1"/>
  <c r="A5" i="339"/>
  <c r="D4" i="414"/>
  <c r="C19" i="414"/>
  <c r="D19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C22" i="414"/>
  <c r="D22" i="414"/>
  <c r="H3" i="390" l="1"/>
  <c r="Q3" i="347"/>
  <c r="S3" i="347"/>
  <c r="U3" i="347"/>
  <c r="F13" i="339"/>
  <c r="E13" i="339"/>
  <c r="E15" i="339" s="1"/>
  <c r="H12" i="339"/>
  <c r="G12" i="339"/>
  <c r="K3" i="390"/>
  <c r="A4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D18" i="414"/>
  <c r="C4" i="414"/>
  <c r="H13" i="339" l="1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<sst xmlns="http://schemas.openxmlformats.org/spreadsheetml/2006/main" count="4636" uniqueCount="1383">
  <si>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</si>
  <si>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</si>
  <si>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</si>
  <si>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</si>
  <si>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</si>
  <si>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</si>
  <si>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</si>
  <si>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</si>
  <si>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</si>
  <si>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</si>
  <si>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</si>
  <si>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</si>
  <si>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</si>
  <si>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</si>
  <si>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</si>
  <si>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</si>
  <si>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</si>
  <si>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</si>
  <si>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</si>
  <si>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</si>
  <si>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</si>
  <si>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</si>
  <si>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</si>
  <si>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</si>
  <si>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</si>
  <si>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</si>
  <si>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</si>
  <si>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</si>
  <si>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</si>
  <si>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</si>
  <si>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</si>
  <si>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</si>
  <si>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</si>
  <si>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</si>
  <si>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</si>
  <si>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</si>
  <si>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</si>
  <si>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</si>
  <si>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</si>
  <si>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</si>
  <si>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</si>
  <si>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</si>
  <si>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</si>
  <si>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</si>
  <si>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</si>
  <si>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</si>
  <si>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</si>
  <si>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</si>
  <si>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</si>
  <si>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</si>
  <si>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</si>
  <si>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</si>
  <si>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</si>
  <si>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</si>
  <si>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</si>
  <si>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</si>
  <si>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</si>
  <si>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</si>
  <si>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</si>
  <si>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</si>
  <si>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</si>
  <si>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</si>
  <si>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</si>
  <si>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</si>
  <si>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</si>
  <si>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</si>
  <si>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</si>
  <si>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</si>
  <si>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</si>
  <si>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</si>
  <si>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</si>
  <si>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</si>
  <si>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</si>
  <si>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</si>
  <si>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</si>
  <si>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</si>
  <si>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</si>
  <si>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</si>
  <si>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</si>
  <si>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</si>
  <si>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</si>
  <si>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</si>
  <si>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</si>
  <si>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</si>
  <si>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</si>
  <si>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</si>
  <si>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</si>
  <si>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</si>
  <si>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</si>
  <si>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</si>
  <si>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</si>
  <si>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</si>
  <si>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</si>
  <si>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</si>
  <si>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</si>
  <si>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</si>
  <si>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</si>
  <si>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</si>
  <si>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</si>
  <si>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</si>
  <si>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</si>
  <si>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</si>
  <si>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</si>
  <si>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</si>
  <si>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</si>
  <si>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</si>
  <si>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</si>
  <si>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</si>
  <si>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</si>
  <si>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</si>
  <si>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</si>
  <si>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</si>
  <si>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</si>
  <si>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</si>
  <si>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</si>
  <si>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</si>
  <si>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</si>
  <si>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</si>
  <si>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</si>
  <si>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</si>
  <si>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</si>
  <si>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</si>
  <si>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</si>
  <si>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</si>
  <si>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</si>
  <si>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</si>
  <si>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</si>
  <si>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</si>
  <si>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</si>
  <si>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</si>
  <si>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</si>
  <si>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</si>
  <si>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</si>
  <si>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</si>
  <si>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</si>
  <si>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</si>
  <si>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</si>
  <si>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</si>
  <si>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</si>
  <si>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</si>
  <si>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</si>
  <si>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</si>
  <si>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</si>
  <si>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</si>
  <si>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</si>
  <si>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</si>
  <si>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</si>
  <si>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</si>
  <si>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</si>
  <si>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</si>
  <si>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</si>
  <si>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</si>
  <si>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</si>
  <si>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</si>
  <si>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</si>
  <si>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</si>
  <si>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</si>
  <si>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</si>
  <si>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</si>
  <si>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</si>
  <si>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</si>
  <si>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</si>
  <si>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</si>
  <si>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</si>
  <si>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</si>
  <si>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</si>
  <si>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</si>
  <si>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</si>
  <si>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</si>
  <si>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</si>
  <si>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</si>
  <si>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</si>
  <si>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</si>
  <si>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</si>
  <si>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</si>
  <si>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</si>
  <si>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</si>
  <si>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</si>
  <si>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</si>
  <si>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</si>
  <si>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</si>
  <si>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</si>
  <si>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</si>
  <si>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</si>
  <si>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</si>
  <si>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</si>
  <si>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</si>
  <si>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</si>
  <si>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</si>
  <si>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</si>
  <si>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</si>
  <si>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</si>
  <si>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</si>
  <si>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</si>
  <si>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</si>
  <si>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</si>
  <si>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</si>
  <si>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</si>
  <si>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</si>
  <si>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</si>
  <si>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</si>
  <si>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</si>
  <si>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</si>
  <si>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</si>
  <si>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</si>
  <si>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</si>
  <si>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</si>
  <si>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</si>
  <si>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</si>
  <si>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</si>
  <si>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</si>
  <si>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</si>
  <si>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</si>
  <si>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</si>
  <si>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</si>
  <si>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</si>
  <si>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</si>
  <si>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</si>
  <si>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</si>
  <si>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</si>
  <si>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</si>
  <si>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</si>
  <si>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</si>
  <si>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</si>
  <si>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</si>
  <si>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</si>
  <si>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</si>
  <si>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</si>
  <si>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</si>
  <si>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</si>
  <si>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</si>
  <si>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</si>
  <si>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</si>
  <si>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</si>
  <si>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</si>
  <si>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</si>
  <si>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</si>
  <si>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</si>
  <si>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</si>
  <si>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</si>
  <si>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</si>
  <si>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</si>
  <si>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</si>
  <si>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</si>
  <si>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</si>
  <si>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</si>
  <si>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</si>
  <si>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</si>
  <si>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</si>
  <si>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</si>
  <si>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</si>
  <si>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</si>
  <si>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</si>
  <si>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</si>
  <si>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</si>
  <si>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</si>
  <si>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</si>
  <si>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</si>
  <si>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</si>
  <si>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</si>
  <si>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</si>
  <si>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</si>
  <si>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</si>
  <si>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</si>
  <si>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</si>
  <si>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</si>
  <si>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</si>
  <si>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</si>
  <si>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</si>
  <si>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</si>
  <si>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</si>
  <si>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</si>
  <si>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</si>
  <si>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</si>
  <si>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</si>
  <si>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</si>
  <si>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</si>
  <si>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</si>
  <si>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</si>
  <si>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</si>
  <si>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</si>
  <si>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Klinika tělovýchovného lékařství a kardiovaskulární rehabilitace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</si>
  <si>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</si>
  <si>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</si>
  <si>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</si>
  <si>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</si>
  <si>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</si>
  <si>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</si>
  <si>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</si>
  <si>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</si>
  <si>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</si>
  <si>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</si>
  <si>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50113190     medicinální plyny</t>
  </si>
  <si>
    <t>50115     Zdravotnické prostředky</t>
  </si>
  <si>
    <t>50115020     diagnostika laboratorní-LEK (sk.Z_501)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</si>
  <si>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</si>
  <si>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</si>
  <si>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</si>
  <si>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</si>
  <si>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50116     Potraviny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</si>
  <si>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</si>
  <si>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</si>
  <si>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</si>
  <si>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</si>
  <si>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</si>
  <si>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</si>
  <si>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</si>
  <si>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</si>
  <si>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</si>
  <si>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</si>
  <si>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</si>
  <si>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50117023     všeob.mat. - kancel.tech. (V34) od 1tis do 2999,99</t>
  </si>
  <si>
    <t>50117024     všeob.mat. - ostatní-vyjímky (V44) od 0,01 do 999,99</t>
  </si>
  <si>
    <t>50117190     technické plyny</t>
  </si>
  <si>
    <t>50118     Náhradní díly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</si>
  <si>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</si>
  <si>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</si>
  <si>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</si>
  <si>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</si>
  <si>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</si>
  <si>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</si>
  <si>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</si>
  <si>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</si>
  <si>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</si>
  <si>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</si>
  <si>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</si>
  <si>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</si>
  <si>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</si>
  <si>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</si>
  <si>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51101     Budovy</t>
  </si>
  <si>
    <t>51101025     opravy budov - správa budov</t>
  </si>
  <si>
    <t>51102     Technika a stavby</t>
  </si>
  <si>
    <t>51102021     opravy zdravotnické techniky</t>
  </si>
  <si>
    <t>51102024     opravy - správa budov</t>
  </si>
  <si>
    <t>51102025     opravy - hl.energetik</t>
  </si>
  <si>
    <t>51102028     opravy zařízení hlas. a telekom. služeb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</si>
  <si>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</si>
  <si>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</si>
  <si>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</si>
  <si>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</si>
  <si>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</si>
  <si>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</si>
  <si>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</si>
  <si>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</si>
  <si>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</si>
  <si>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</si>
  <si>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</si>
  <si>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</si>
  <si>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</si>
  <si>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</si>
  <si>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</si>
  <si>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</si>
  <si>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</si>
  <si>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</si>
  <si>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</si>
  <si>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</si>
  <si>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</si>
  <si>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</si>
  <si>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</si>
  <si>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</si>
  <si>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</si>
  <si>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</si>
  <si>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</si>
  <si>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</si>
  <si>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</si>
  <si>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</si>
  <si>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</si>
  <si>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</si>
  <si>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</si>
  <si>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</si>
  <si>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</si>
  <si>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</si>
  <si>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</si>
  <si>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</si>
  <si>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</si>
  <si>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</si>
  <si>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</si>
  <si>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</si>
  <si>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</si>
  <si>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</si>
  <si>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547     (nepoužívať)</t>
  </si>
  <si>
    <t>54710     Manka a škody</t>
  </si>
  <si>
    <t>54710002     zcizení a poškoz. maj.FNOL(jednání v NK)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</si>
  <si>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</si>
  <si>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</si>
  <si>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</si>
  <si>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</si>
  <si>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</si>
  <si>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</si>
  <si>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</si>
  <si>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</si>
  <si>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</si>
  <si>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</si>
  <si>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</si>
  <si>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</si>
  <si>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</si>
  <si>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</si>
  <si>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</si>
  <si>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</si>
  <si>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</si>
  <si>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</si>
  <si>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</si>
  <si>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</si>
  <si>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</si>
  <si>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</si>
  <si>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60229     Zdr. výkony - ost. ZP sled.položky  OZPI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</si>
  <si>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</si>
  <si>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</si>
  <si>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</si>
  <si>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</si>
  <si>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</si>
  <si>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</si>
  <si>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</si>
  <si>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</si>
  <si>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</si>
  <si>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</si>
  <si>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</si>
  <si>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</si>
  <si>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</si>
  <si>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</si>
  <si>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</si>
  <si>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</si>
  <si>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64804125     čerp. FRM - opravy budov OSB</t>
  </si>
  <si>
    <t>64804221     čerp. FRM - opravy ZT</t>
  </si>
  <si>
    <t>64804224     čerp. FRM - údržba OSB</t>
  </si>
  <si>
    <t>64804225     čerp. FRM - údržba OHE</t>
  </si>
  <si>
    <t>64804228     čerp. FRM - opravy telekom.zaříz.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</si>
  <si>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</si>
  <si>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</si>
  <si>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</si>
  <si>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</si>
  <si>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</si>
  <si>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</si>
  <si>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</si>
  <si>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</si>
  <si>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</si>
  <si>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</si>
  <si>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</si>
  <si>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</si>
  <si>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</si>
  <si>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</si>
  <si>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</si>
  <si>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</si>
  <si>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</si>
  <si>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</si>
  <si>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</si>
  <si>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</si>
  <si>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</si>
  <si>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</si>
  <si>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</si>
  <si>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</si>
  <si>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</si>
  <si>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</si>
  <si>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27</t>
  </si>
  <si>
    <t>Klinika tělovýchovného lékařství a kardiovaskulární rehabilitace</t>
  </si>
  <si>
    <t/>
  </si>
  <si>
    <t>Klinika tělovýchovného lékařství a kardiovaskulární rehabilitace Celkem</t>
  </si>
  <si>
    <t>SumaKL</t>
  </si>
  <si>
    <t>2721</t>
  </si>
  <si>
    <t>TVL ambulance</t>
  </si>
  <si>
    <t>TVL ambulance Celkem</t>
  </si>
  <si>
    <t>SumaNS</t>
  </si>
  <si>
    <t>mezeraNS</t>
  </si>
  <si>
    <t>50113001</t>
  </si>
  <si>
    <t>O</t>
  </si>
  <si>
    <t>100362</t>
  </si>
  <si>
    <t>362</t>
  </si>
  <si>
    <t>ADRENALIN LECIVA</t>
  </si>
  <si>
    <t>INJ 5X1ML/1MG</t>
  </si>
  <si>
    <t>100802</t>
  </si>
  <si>
    <t>802</t>
  </si>
  <si>
    <t>OPHTHALMO-SEPTONEX</t>
  </si>
  <si>
    <t>GTT OPH 1X10ML</t>
  </si>
  <si>
    <t>395997</t>
  </si>
  <si>
    <t>DZ SOFTASEPT N BEZBARVÝ 250 ml</t>
  </si>
  <si>
    <t>847713</t>
  </si>
  <si>
    <t>125526</t>
  </si>
  <si>
    <t>APO-IBUPROFEN 400 MG</t>
  </si>
  <si>
    <t>POR TBL FLM 100X400MG</t>
  </si>
  <si>
    <t>848950</t>
  </si>
  <si>
    <t>155148</t>
  </si>
  <si>
    <t>PARALEN 500</t>
  </si>
  <si>
    <t>POR TBL NOB 12X500MG</t>
  </si>
  <si>
    <t>900321</t>
  </si>
  <si>
    <t>KL PRIPRAVEK</t>
  </si>
  <si>
    <t>930661</t>
  </si>
  <si>
    <t>KL AQUA PURIF. BAG IN BOX 5 l</t>
  </si>
  <si>
    <t>155911</t>
  </si>
  <si>
    <t>55911</t>
  </si>
  <si>
    <t>PEROXID VODÍKU 3% COO</t>
  </si>
  <si>
    <t>DRM SOL 1X100ML 3%</t>
  </si>
  <si>
    <t>149562</t>
  </si>
  <si>
    <t>49562</t>
  </si>
  <si>
    <t>TENSIOMIN 25MG</t>
  </si>
  <si>
    <t>TBL 90X25MG</t>
  </si>
  <si>
    <t>P</t>
  </si>
  <si>
    <t>131934</t>
  </si>
  <si>
    <t>31934</t>
  </si>
  <si>
    <t>VENTOLIN INHALER N</t>
  </si>
  <si>
    <t>INHSUSPSS200X100RG</t>
  </si>
  <si>
    <t>Klinika TVL a kardiovaskulární rehabilitace</t>
  </si>
  <si>
    <t>TVL, TVL ambulance</t>
  </si>
  <si>
    <t>Lékárna - léčiva</t>
  </si>
  <si>
    <t>2721 - TVL, TVL ambulance</t>
  </si>
  <si>
    <t>R03AC02 - Salbutamol</t>
  </si>
  <si>
    <t>R03AC02</t>
  </si>
  <si>
    <t>INH SUS PSS 200X100RG</t>
  </si>
  <si>
    <t>Přehled plnění pozitivního listu - spotřeba léčivých přípravků - orientační přehled</t>
  </si>
  <si>
    <t>27 - Klinika tělovýchovného lékařství a kardiovaskulární rehabilitace</t>
  </si>
  <si>
    <t>2721 - TVL ambulance</t>
  </si>
  <si>
    <t>HVLP</t>
  </si>
  <si>
    <t>89301273</t>
  </si>
  <si>
    <t>Ambulance - tělovýchovné lékařství Celkem</t>
  </si>
  <si>
    <t>89301275</t>
  </si>
  <si>
    <t>Ambulance kardiologická Celkem</t>
  </si>
  <si>
    <t>Klinika TVL a kardiovaskulární rehabilitace Celkem</t>
  </si>
  <si>
    <t>Fargašová Hana</t>
  </si>
  <si>
    <t>Kocvrlich Marek</t>
  </si>
  <si>
    <t>Malinčíková Jana</t>
  </si>
  <si>
    <t>Pastucha Dalibor</t>
  </si>
  <si>
    <t>Sovová Eliška</t>
  </si>
  <si>
    <t>Amoxicilin a enzymový inhibitor</t>
  </si>
  <si>
    <t>5951</t>
  </si>
  <si>
    <t>AMOKSIKLAV 1 G</t>
  </si>
  <si>
    <t>POR TBL FLM 14X1GM</t>
  </si>
  <si>
    <t>Atorvastatin</t>
  </si>
  <si>
    <t>50311</t>
  </si>
  <si>
    <t>TULIP 10 MG POTAHOVANÉ TABLETY</t>
  </si>
  <si>
    <t>POR TBL FLM 90X10MG</t>
  </si>
  <si>
    <t>Azithromycin</t>
  </si>
  <si>
    <t>45011</t>
  </si>
  <si>
    <t>AZITROMYCIN SANDOZ 500 MG</t>
  </si>
  <si>
    <t>POR TBL FLM 6X500MG</t>
  </si>
  <si>
    <t>Bisoprolol</t>
  </si>
  <si>
    <t>94164</t>
  </si>
  <si>
    <t>CONCOR 5</t>
  </si>
  <si>
    <t>POR TBL FLM 30X5MG</t>
  </si>
  <si>
    <t>Cefuroxim</t>
  </si>
  <si>
    <t>47727</t>
  </si>
  <si>
    <t>ZINNAT 500 MG</t>
  </si>
  <si>
    <t>POR TBL FLM 10X500MG</t>
  </si>
  <si>
    <t>Diosmin, kombinace</t>
  </si>
  <si>
    <t>14075</t>
  </si>
  <si>
    <t>DETRALEX</t>
  </si>
  <si>
    <t>POR TBL FLM 60X500MG</t>
  </si>
  <si>
    <t>Drospirenon a ethinylestradiol</t>
  </si>
  <si>
    <t>66196</t>
  </si>
  <si>
    <t>YADINE</t>
  </si>
  <si>
    <t>POR TBL FLM 3X21</t>
  </si>
  <si>
    <t>Fluoxetin</t>
  </si>
  <si>
    <t>32738</t>
  </si>
  <si>
    <t>FLUZAK</t>
  </si>
  <si>
    <t>POR CPS DUR 30X20MG</t>
  </si>
  <si>
    <t>Hořčík (různé sole v kombinaci)</t>
  </si>
  <si>
    <t>66555</t>
  </si>
  <si>
    <t>MAGNOSOLV</t>
  </si>
  <si>
    <t>POR GRA SOL 30</t>
  </si>
  <si>
    <t>Chondroitin-sulfát</t>
  </si>
  <si>
    <t>14821</t>
  </si>
  <si>
    <t>CONDROSULF 800</t>
  </si>
  <si>
    <t>POR TBL OBD 30X800MG</t>
  </si>
  <si>
    <t>Ibuprofen</t>
  </si>
  <si>
    <t>11063</t>
  </si>
  <si>
    <t>IBALGIN 600</t>
  </si>
  <si>
    <t>POR TBL FLM 30X600MG</t>
  </si>
  <si>
    <t>11064</t>
  </si>
  <si>
    <t>POR TBL FLM 100X600MG</t>
  </si>
  <si>
    <t>Jiná antibiotika pro lokální aplikaci</t>
  </si>
  <si>
    <t>1066</t>
  </si>
  <si>
    <t>FRAMYKOIN</t>
  </si>
  <si>
    <t>DRM UNG 1X10GM</t>
  </si>
  <si>
    <t>Ketoprofen</t>
  </si>
  <si>
    <t>76655</t>
  </si>
  <si>
    <t>KETONAL</t>
  </si>
  <si>
    <t>POR CPS DUR 25X50MG</t>
  </si>
  <si>
    <t>Levothyroxin, sodná sůl</t>
  </si>
  <si>
    <t>69189</t>
  </si>
  <si>
    <t>EUTHYROX 50 MIKROGRAMŮ</t>
  </si>
  <si>
    <t>POR TBL NOB 100X50RG</t>
  </si>
  <si>
    <t>97186</t>
  </si>
  <si>
    <t>EUTHYROX 100 MIKROGRAMŮ</t>
  </si>
  <si>
    <t>POR TBL NOB 100X100RG</t>
  </si>
  <si>
    <t>Losartan a diuretika</t>
  </si>
  <si>
    <t>15317</t>
  </si>
  <si>
    <t>LOZAP H</t>
  </si>
  <si>
    <t>POR TBL FLM 90</t>
  </si>
  <si>
    <t>Magnesium-laktát</t>
  </si>
  <si>
    <t>17992</t>
  </si>
  <si>
    <t>MAGNESII LACTICI 0,5 TBL. MEDICAMENTA</t>
  </si>
  <si>
    <t>POR TBL NOB 100X0.5GM</t>
  </si>
  <si>
    <t>Metformin</t>
  </si>
  <si>
    <t>152145</t>
  </si>
  <si>
    <t>GLUCOPHAGE XR 750 MG TABLETY S PRODLOUŽENÝM UVOLŇOVÁNÍM</t>
  </si>
  <si>
    <t>POR TBL PRO 60X750MG II</t>
  </si>
  <si>
    <t>Nitrofurantoin</t>
  </si>
  <si>
    <t>154748</t>
  </si>
  <si>
    <t>NITROFURANTOIN - RATIOPHARM 100 MG</t>
  </si>
  <si>
    <t>POR CPS PRO 50X100MG</t>
  </si>
  <si>
    <t>Norethisteron</t>
  </si>
  <si>
    <t>125226</t>
  </si>
  <si>
    <t>NORETHISTERON ZENTIVA</t>
  </si>
  <si>
    <t>POR TBL NOB 30X5MG</t>
  </si>
  <si>
    <t>Perindopril a diuretika</t>
  </si>
  <si>
    <t>122690</t>
  </si>
  <si>
    <t>PRESTARIUM NEO COMBI 5 MG/1,25 MG</t>
  </si>
  <si>
    <t>Pitofenon a analgetika</t>
  </si>
  <si>
    <t>50335</t>
  </si>
  <si>
    <t>ALGIFEN NEO</t>
  </si>
  <si>
    <t>POR GTT SOL 1X25ML</t>
  </si>
  <si>
    <t>Ranitidin</t>
  </si>
  <si>
    <t>91280</t>
  </si>
  <si>
    <t>RANITAL 150 MG POTAHOVANÉ TABLETY</t>
  </si>
  <si>
    <t>POR TBL FLM 30X150MG</t>
  </si>
  <si>
    <t>Rutosid, kombinace</t>
  </si>
  <si>
    <t>98194</t>
  </si>
  <si>
    <t>CYCLO 3 FORT</t>
  </si>
  <si>
    <t>POR CPS DUR 30</t>
  </si>
  <si>
    <t>Sumatriptan</t>
  </si>
  <si>
    <t>102500</t>
  </si>
  <si>
    <t>CINIE 100</t>
  </si>
  <si>
    <t>POR TBL NOB 6X100MG</t>
  </si>
  <si>
    <t>Cetirizin</t>
  </si>
  <si>
    <t>155686</t>
  </si>
  <si>
    <t>ZYRTEC</t>
  </si>
  <si>
    <t>99600</t>
  </si>
  <si>
    <t>ZODAC</t>
  </si>
  <si>
    <t>Klíšťová encefalitida, inaktivovaný celý virus</t>
  </si>
  <si>
    <t>55111</t>
  </si>
  <si>
    <t>FSME-IMMUN 0,5 ML BAXTER</t>
  </si>
  <si>
    <t>INJ SUS ISP 1X0.5ML/DÁV+ INTJ</t>
  </si>
  <si>
    <t>Nimesulid</t>
  </si>
  <si>
    <t>12891</t>
  </si>
  <si>
    <t>AULIN</t>
  </si>
  <si>
    <t>POR TBL NOB 15X100MG</t>
  </si>
  <si>
    <t>Omeprazol</t>
  </si>
  <si>
    <t>25365</t>
  </si>
  <si>
    <t>HELICID 20 ZENTIVA</t>
  </si>
  <si>
    <t>POR CPS ETD 28X20MG SKLO</t>
  </si>
  <si>
    <t>85524</t>
  </si>
  <si>
    <t>AMOKSIKLAV 375 MG</t>
  </si>
  <si>
    <t>POR TBL FLM 21X375MG</t>
  </si>
  <si>
    <t>200525</t>
  </si>
  <si>
    <t>AUGMENTIN 1 G</t>
  </si>
  <si>
    <t>POR TBL FLM 4X1GM</t>
  </si>
  <si>
    <t>132632</t>
  </si>
  <si>
    <t>132634</t>
  </si>
  <si>
    <t>132633</t>
  </si>
  <si>
    <t>POR TBL FLM 30X500MG</t>
  </si>
  <si>
    <t>Fytomenadion</t>
  </si>
  <si>
    <t>720</t>
  </si>
  <si>
    <t>KANAVIT</t>
  </si>
  <si>
    <t>POR GTT EML 1X5ML/100MG</t>
  </si>
  <si>
    <t>Klarithromycin</t>
  </si>
  <si>
    <t>132560</t>
  </si>
  <si>
    <t>FROMILID 500</t>
  </si>
  <si>
    <t>POR TBL FLM 14X500MG</t>
  </si>
  <si>
    <t>53853</t>
  </si>
  <si>
    <t>KLACID 500</t>
  </si>
  <si>
    <t>Kodein</t>
  </si>
  <si>
    <t>56993</t>
  </si>
  <si>
    <t>CODEIN SLOVAKOFARMA 30 MG</t>
  </si>
  <si>
    <t>POR TBL NOB 10X30MG</t>
  </si>
  <si>
    <t>Kombinace různých antibiotik</t>
  </si>
  <si>
    <t>1076</t>
  </si>
  <si>
    <t>OPHTHALMO-FRAMYKOIN</t>
  </si>
  <si>
    <t>OPH UNG 1X5GM</t>
  </si>
  <si>
    <t>Kyselina listová</t>
  </si>
  <si>
    <t>76064</t>
  </si>
  <si>
    <t>ACIDUM FOLICUM LÉČIVA</t>
  </si>
  <si>
    <t>POR TBL OBD 30X10MG</t>
  </si>
  <si>
    <t>Kyselina ursodeoxycholová</t>
  </si>
  <si>
    <t>13808</t>
  </si>
  <si>
    <t>URSOSAN</t>
  </si>
  <si>
    <t>POR CPS DUR 100X250MG</t>
  </si>
  <si>
    <t>Levodropropizin</t>
  </si>
  <si>
    <t>44258</t>
  </si>
  <si>
    <t>LEVOPRONT KAPKY</t>
  </si>
  <si>
    <t>POR GTT SOL 1X15ML I</t>
  </si>
  <si>
    <t>Losartan</t>
  </si>
  <si>
    <t>47610</t>
  </si>
  <si>
    <t>LORISTA 50</t>
  </si>
  <si>
    <t>POR TBL FLM 84X50MG</t>
  </si>
  <si>
    <t>Mebendazol</t>
  </si>
  <si>
    <t>122198</t>
  </si>
  <si>
    <t>VERMOX</t>
  </si>
  <si>
    <t>Mefenoxalon</t>
  </si>
  <si>
    <t>85656</t>
  </si>
  <si>
    <t>DORSIFLEX 200 MG</t>
  </si>
  <si>
    <t>POR TBL NOB 30X200MG</t>
  </si>
  <si>
    <t>Metoklopramid</t>
  </si>
  <si>
    <t>93104</t>
  </si>
  <si>
    <t>DEGAN 10 MG TABLETY</t>
  </si>
  <si>
    <t>POR TBL NOB 40X10MG</t>
  </si>
  <si>
    <t>Nifuroxazid</t>
  </si>
  <si>
    <t>155871</t>
  </si>
  <si>
    <t>ERCEFURYL 200 MG CPS.</t>
  </si>
  <si>
    <t>POR CPS DUR 14X200MG</t>
  </si>
  <si>
    <t>12892</t>
  </si>
  <si>
    <t>POR TBL NOB 30X100MG</t>
  </si>
  <si>
    <t>12893</t>
  </si>
  <si>
    <t>POR TBL NOB 60X100MG</t>
  </si>
  <si>
    <t>Pantoprazol</t>
  </si>
  <si>
    <t>109415</t>
  </si>
  <si>
    <t>NOLPAZA 40 MG ENTEROSOLVENTNÍ TABLETY</t>
  </si>
  <si>
    <t>POR TBL ENT 84X40MG</t>
  </si>
  <si>
    <t>109416</t>
  </si>
  <si>
    <t>POR TBL ENT 100X40MG</t>
  </si>
  <si>
    <t>49123</t>
  </si>
  <si>
    <t>CONTROLOC 40 MG</t>
  </si>
  <si>
    <t>POR TBL ENT 28X40MG I</t>
  </si>
  <si>
    <t>49122</t>
  </si>
  <si>
    <t>POR TBL ENT 28X40MG</t>
  </si>
  <si>
    <t>180643</t>
  </si>
  <si>
    <t>POR TBL ENT 60X40MG II</t>
  </si>
  <si>
    <t>180642</t>
  </si>
  <si>
    <t>POR TBL ENT 56X40MG II</t>
  </si>
  <si>
    <t>180640</t>
  </si>
  <si>
    <t>POR TBL ENT 30X40MG II</t>
  </si>
  <si>
    <t>Perindopril</t>
  </si>
  <si>
    <t>101205</t>
  </si>
  <si>
    <t>PRESTARIUM NEO</t>
  </si>
  <si>
    <t>101209</t>
  </si>
  <si>
    <t>POR TBL FLM 60X5MG</t>
  </si>
  <si>
    <t>120796</t>
  </si>
  <si>
    <t>APO-PERINDO 4 MG</t>
  </si>
  <si>
    <t>POR TBL NOB 100X4MG</t>
  </si>
  <si>
    <t>Ramipril</t>
  </si>
  <si>
    <t>56973</t>
  </si>
  <si>
    <t>TRITACE 1,25 MG</t>
  </si>
  <si>
    <t>POR TBL NOB 30X1.25MG</t>
  </si>
  <si>
    <t>Různé jiné kombinace železa</t>
  </si>
  <si>
    <t>94584</t>
  </si>
  <si>
    <t>AKTIFERRIN</t>
  </si>
  <si>
    <t>POR CPS MOL 50</t>
  </si>
  <si>
    <t>Salbutamol</t>
  </si>
  <si>
    <t>Simvastatin</t>
  </si>
  <si>
    <t>95250</t>
  </si>
  <si>
    <t>VASILIP 10</t>
  </si>
  <si>
    <t>POR TBL FLM 84X10 MG</t>
  </si>
  <si>
    <t>Sodná sůl metamizolu</t>
  </si>
  <si>
    <t>55823</t>
  </si>
  <si>
    <t>NOVALGIN TABLETY</t>
  </si>
  <si>
    <t>POR TBL FLM 20X500MG</t>
  </si>
  <si>
    <t>Sulfamethoxazol a trimethoprim</t>
  </si>
  <si>
    <t>3377</t>
  </si>
  <si>
    <t>BISEPTOL 480</t>
  </si>
  <si>
    <t>POR TBL NOB 20X480MG</t>
  </si>
  <si>
    <t>Sultamicilin</t>
  </si>
  <si>
    <t>17149</t>
  </si>
  <si>
    <t>UNASYN</t>
  </si>
  <si>
    <t>POR TBL FLM 12X375MG</t>
  </si>
  <si>
    <t>Aciklovir</t>
  </si>
  <si>
    <t>155941</t>
  </si>
  <si>
    <t>HERPESIN KRÉM</t>
  </si>
  <si>
    <t>DRM CRM 1X5GM 5%</t>
  </si>
  <si>
    <t>Amidy</t>
  </si>
  <si>
    <t>2684</t>
  </si>
  <si>
    <t>MESOCAIN</t>
  </si>
  <si>
    <t>URT GEL 1X20GM/200MG</t>
  </si>
  <si>
    <t>12494</t>
  </si>
  <si>
    <t>93021</t>
  </si>
  <si>
    <t>SORTIS 40 MG</t>
  </si>
  <si>
    <t>POR TBL FLM 100X40MG</t>
  </si>
  <si>
    <t>155859</t>
  </si>
  <si>
    <t>SUMAMED 500 MG</t>
  </si>
  <si>
    <t>POR TBL FLM 3X500MG</t>
  </si>
  <si>
    <t>45010</t>
  </si>
  <si>
    <t>Benzathin-fenoxymethylpenicilin</t>
  </si>
  <si>
    <t>49549</t>
  </si>
  <si>
    <t>OSPEN 400</t>
  </si>
  <si>
    <t>POR SIR 1X150ML</t>
  </si>
  <si>
    <t>Betamethason</t>
  </si>
  <si>
    <t>19757</t>
  </si>
  <si>
    <t>BELODERM</t>
  </si>
  <si>
    <t>DRM UNG 1X30GM 0.05%</t>
  </si>
  <si>
    <t>19759</t>
  </si>
  <si>
    <t>DRM CRM 1X30GM 0.05%</t>
  </si>
  <si>
    <t>Bilastin</t>
  </si>
  <si>
    <t>148673</t>
  </si>
  <si>
    <t>XADOS 20 MG TABLETY</t>
  </si>
  <si>
    <t>POR TBL NOB 30X20MG</t>
  </si>
  <si>
    <t>148675</t>
  </si>
  <si>
    <t>POR TBL NOB 50X20MG</t>
  </si>
  <si>
    <t>148674</t>
  </si>
  <si>
    <t>POR TBL NOB 40X20MG</t>
  </si>
  <si>
    <t>Bimatoprost</t>
  </si>
  <si>
    <t>167415</t>
  </si>
  <si>
    <t>LUMIGAN 0,1 MG/ML</t>
  </si>
  <si>
    <t>OPH GTT SOL 1X3ML</t>
  </si>
  <si>
    <t>Bromazepam</t>
  </si>
  <si>
    <t>132676</t>
  </si>
  <si>
    <t>LEXAURIN 1,5</t>
  </si>
  <si>
    <t>POR TBL NOB 30X1.5MG</t>
  </si>
  <si>
    <t>132639</t>
  </si>
  <si>
    <t>LEXAURIN 3</t>
  </si>
  <si>
    <t>POR TBL NOB 30X3MG</t>
  </si>
  <si>
    <t>Ciklopirox</t>
  </si>
  <si>
    <t>76150</t>
  </si>
  <si>
    <t>BATRAFEN KRÉM</t>
  </si>
  <si>
    <t>DRM CRM 1X20GM/200MG</t>
  </si>
  <si>
    <t>Diklofenak</t>
  </si>
  <si>
    <t>125122</t>
  </si>
  <si>
    <t>APO-DICLO SR 100</t>
  </si>
  <si>
    <t>POR TBL RET 100X100MG</t>
  </si>
  <si>
    <t>Doxycyklin</t>
  </si>
  <si>
    <t>32954</t>
  </si>
  <si>
    <t>DOXYHEXAL TABS</t>
  </si>
  <si>
    <t>POR TBL NOB 20X100MG</t>
  </si>
  <si>
    <t>12737</t>
  </si>
  <si>
    <t>DOXYHEXAL 200 TABS</t>
  </si>
  <si>
    <t>POR TBL NOB 10X200MG</t>
  </si>
  <si>
    <t>Dydrogesteron</t>
  </si>
  <si>
    <t>59870</t>
  </si>
  <si>
    <t>DUPHASTON</t>
  </si>
  <si>
    <t>POR TBL FLM 20X10MG</t>
  </si>
  <si>
    <t>Erythromycin</t>
  </si>
  <si>
    <t>98204</t>
  </si>
  <si>
    <t>ERYFLUID</t>
  </si>
  <si>
    <t>DRM SOL 1X30ML</t>
  </si>
  <si>
    <t>Esomeprazol</t>
  </si>
  <si>
    <t>147921</t>
  </si>
  <si>
    <t>EMANERA 20 MG</t>
  </si>
  <si>
    <t>POR CPS ETD 90X20MG I</t>
  </si>
  <si>
    <t>147933</t>
  </si>
  <si>
    <t>EMANERA 40 MG</t>
  </si>
  <si>
    <t>POR CPS ETD 90X40MG I</t>
  </si>
  <si>
    <t>180079</t>
  </si>
  <si>
    <t>HELIDES 40 MG ENTEROSOLVENTNÍ TVRDÉ TOBOLKY</t>
  </si>
  <si>
    <t>POR CPS ETD 98X40MG</t>
  </si>
  <si>
    <t>180080</t>
  </si>
  <si>
    <t>147922</t>
  </si>
  <si>
    <t>POR CPS ETD 98X20MG I</t>
  </si>
  <si>
    <t>Fenoxymethylpenicilin</t>
  </si>
  <si>
    <t>45997</t>
  </si>
  <si>
    <t>OSPEN 1000</t>
  </si>
  <si>
    <t>POR TBL FLM 30X1000KU</t>
  </si>
  <si>
    <t>Fentermin</t>
  </si>
  <si>
    <t>97374</t>
  </si>
  <si>
    <t>ADIPEX RETARD</t>
  </si>
  <si>
    <t>POR CPS RML 100X15MG</t>
  </si>
  <si>
    <t>Fluocinolon-acetonid</t>
  </si>
  <si>
    <t>3388</t>
  </si>
  <si>
    <t>FLUCINAR</t>
  </si>
  <si>
    <t>DRM UNG 1X15GM 0.025%</t>
  </si>
  <si>
    <t>Furosemid</t>
  </si>
  <si>
    <t>98218</t>
  </si>
  <si>
    <t>FURON 40 MG</t>
  </si>
  <si>
    <t>POR TBL NOB 20X40MG</t>
  </si>
  <si>
    <t>Heparin</t>
  </si>
  <si>
    <t>17165</t>
  </si>
  <si>
    <t>LIOTON 100 000 GEL</t>
  </si>
  <si>
    <t>DRM GEL 1X100GM</t>
  </si>
  <si>
    <t>83106</t>
  </si>
  <si>
    <t>DRM GEL 1X50GM</t>
  </si>
  <si>
    <t>14817</t>
  </si>
  <si>
    <t>CONDROSULF 400</t>
  </si>
  <si>
    <t>POR CPS DUR 60X400MG</t>
  </si>
  <si>
    <t>Indapamid</t>
  </si>
  <si>
    <t>151949</t>
  </si>
  <si>
    <t>INDAP</t>
  </si>
  <si>
    <t>POR CPS DUR 100X2.5MG</t>
  </si>
  <si>
    <t>96696</t>
  </si>
  <si>
    <t>POR CPS DUR 30X2.5MG</t>
  </si>
  <si>
    <t>158289</t>
  </si>
  <si>
    <t>INDAP 2,5 MG</t>
  </si>
  <si>
    <t>POR TBL NOB 60X2.5MG</t>
  </si>
  <si>
    <t>Indometacin</t>
  </si>
  <si>
    <t>93724</t>
  </si>
  <si>
    <t>INDOMETACIN 100 BERLIN-CHEMIE</t>
  </si>
  <si>
    <t>RCT SUP 10X100MG</t>
  </si>
  <si>
    <t>48261</t>
  </si>
  <si>
    <t>PLV ADS 1X20GM</t>
  </si>
  <si>
    <t>201970</t>
  </si>
  <si>
    <t>PAMYCON NA PŘÍPRAVU KAPEK</t>
  </si>
  <si>
    <t>DRM PLV SOL 1X1LAH</t>
  </si>
  <si>
    <t>Jiná kapiláry stabilizující látky</t>
  </si>
  <si>
    <t>202700</t>
  </si>
  <si>
    <t>AESCIN-TEVA</t>
  </si>
  <si>
    <t>POR TBL ENT 60X20MG</t>
  </si>
  <si>
    <t>16287</t>
  </si>
  <si>
    <t>FASTUM GEL</t>
  </si>
  <si>
    <t>53190</t>
  </si>
  <si>
    <t>KLACID SR</t>
  </si>
  <si>
    <t>POR TBL RET 14X500MG</t>
  </si>
  <si>
    <t>132734</t>
  </si>
  <si>
    <t>32825</t>
  </si>
  <si>
    <t>ENCEPUR PRO DOSPĚLÉ</t>
  </si>
  <si>
    <t>INJ SUS 1X0.5ML</t>
  </si>
  <si>
    <t>32827</t>
  </si>
  <si>
    <t>INJ SUS 1X0.5ML+JEH</t>
  </si>
  <si>
    <t>90</t>
  </si>
  <si>
    <t>Kortikosteroidy</t>
  </si>
  <si>
    <t>84700</t>
  </si>
  <si>
    <t>OTOBACID N</t>
  </si>
  <si>
    <t>AUR GTT SOL 1X5ML</t>
  </si>
  <si>
    <t>Kyanokobalamin</t>
  </si>
  <si>
    <t>643</t>
  </si>
  <si>
    <t>VITAMIN B12 LÉČIVA 1000 MCG</t>
  </si>
  <si>
    <t>INJ SOL 5X1ML/1000RG</t>
  </si>
  <si>
    <t>Kyselina acetylsalicylová</t>
  </si>
  <si>
    <t>151142</t>
  </si>
  <si>
    <t>ANOPYRIN 100 MG</t>
  </si>
  <si>
    <t>Lansoprazol</t>
  </si>
  <si>
    <t>17122</t>
  </si>
  <si>
    <t>LANZUL 30 MG</t>
  </si>
  <si>
    <t>POR CPS DUR 56X30MG</t>
  </si>
  <si>
    <t>Levocetirizin</t>
  </si>
  <si>
    <t>85142</t>
  </si>
  <si>
    <t>XYZAL</t>
  </si>
  <si>
    <t>POR TBL FLM 90X5MG</t>
  </si>
  <si>
    <t>30018</t>
  </si>
  <si>
    <t>LETROX 75</t>
  </si>
  <si>
    <t>POR TBL NOB 100X75MCG I</t>
  </si>
  <si>
    <t>104950</t>
  </si>
  <si>
    <t>POR TBL FLM 98X50MG</t>
  </si>
  <si>
    <t>107166</t>
  </si>
  <si>
    <t>LORISTA 100</t>
  </si>
  <si>
    <t>POR TBL FLM 28X100MG</t>
  </si>
  <si>
    <t>169123</t>
  </si>
  <si>
    <t>POR TBL FLM 90X50MG</t>
  </si>
  <si>
    <t>Mupirocin</t>
  </si>
  <si>
    <t>90778</t>
  </si>
  <si>
    <t>BACTROBAN</t>
  </si>
  <si>
    <t>DRM UNG 1X15GM</t>
  </si>
  <si>
    <t>46405</t>
  </si>
  <si>
    <t>12895</t>
  </si>
  <si>
    <t>POR GRA SUS 30SÁČ I</t>
  </si>
  <si>
    <t>17187</t>
  </si>
  <si>
    <t>NIMESIL</t>
  </si>
  <si>
    <t>POR GRA SUS 30X100MG</t>
  </si>
  <si>
    <t>115318</t>
  </si>
  <si>
    <t>POR CPS ETD 90X20MG HDPE</t>
  </si>
  <si>
    <t>25366</t>
  </si>
  <si>
    <t>POR CPS ETD 90X20MG SKLO</t>
  </si>
  <si>
    <t>162081</t>
  </si>
  <si>
    <t>POR TBL ENT 98X40MG</t>
  </si>
  <si>
    <t>180664</t>
  </si>
  <si>
    <t>POR TBL ENT 90X40MG HOSP</t>
  </si>
  <si>
    <t>101211</t>
  </si>
  <si>
    <t>Perindopril a amlodipin</t>
  </si>
  <si>
    <t>124091</t>
  </si>
  <si>
    <t>PRESTANCE 5 MG/5 MG</t>
  </si>
  <si>
    <t>POR TBL NOB 90</t>
  </si>
  <si>
    <t>Piroxikam</t>
  </si>
  <si>
    <t>49522</t>
  </si>
  <si>
    <t>FLAMEXIN</t>
  </si>
  <si>
    <t>176954</t>
  </si>
  <si>
    <t>POR GTT SOL 1X50ML</t>
  </si>
  <si>
    <t>Progvanil, kombinace</t>
  </si>
  <si>
    <t>30690</t>
  </si>
  <si>
    <t>MALARONE</t>
  </si>
  <si>
    <t>POR TBL FLM 12</t>
  </si>
  <si>
    <t>Pseudoefedrin, kombinace</t>
  </si>
  <si>
    <t>191949</t>
  </si>
  <si>
    <t>CLARINASE REPETABS</t>
  </si>
  <si>
    <t>POR TBL RET 14 I</t>
  </si>
  <si>
    <t>83059</t>
  </si>
  <si>
    <t>POR TBL RET 14</t>
  </si>
  <si>
    <t>Sertralin</t>
  </si>
  <si>
    <t>107888</t>
  </si>
  <si>
    <t>APO-SERTRAL 100</t>
  </si>
  <si>
    <t>POR CPS DUR 30X100MG</t>
  </si>
  <si>
    <t>Síran hořečnatý</t>
  </si>
  <si>
    <t>498</t>
  </si>
  <si>
    <t>MAGNESIUM SULFURICUM BIOTIKA 10%</t>
  </si>
  <si>
    <t>INJ SOL 5X10ML 10%</t>
  </si>
  <si>
    <t>Tadalafil</t>
  </si>
  <si>
    <t>185351</t>
  </si>
  <si>
    <t>CIALIS 20 MG</t>
  </si>
  <si>
    <t>POR TBL FLM 8X20MG</t>
  </si>
  <si>
    <t>Tobramycin</t>
  </si>
  <si>
    <t>86264</t>
  </si>
  <si>
    <t>TOBREX</t>
  </si>
  <si>
    <t>OPH GTT SOL 1X5ML/15MG</t>
  </si>
  <si>
    <t>Tramadol</t>
  </si>
  <si>
    <t>42780</t>
  </si>
  <si>
    <t>TRALGIT SR 200</t>
  </si>
  <si>
    <t>POR TBL PRO 30X200MG</t>
  </si>
  <si>
    <t>84262</t>
  </si>
  <si>
    <t>TRALGIT GTT.</t>
  </si>
  <si>
    <t>POR GTT SOL 1X96ML</t>
  </si>
  <si>
    <t>Trazodon</t>
  </si>
  <si>
    <t>54094</t>
  </si>
  <si>
    <t>TRITTICO AC 75</t>
  </si>
  <si>
    <t>POR TBL RET 30X75MG</t>
  </si>
  <si>
    <t>Zolpidem</t>
  </si>
  <si>
    <t>16286</t>
  </si>
  <si>
    <t>STILNOX</t>
  </si>
  <si>
    <t>132642</t>
  </si>
  <si>
    <t>132803</t>
  </si>
  <si>
    <t>Zopiklon</t>
  </si>
  <si>
    <t>102591</t>
  </si>
  <si>
    <t>ZOPITIN 7,5 MG</t>
  </si>
  <si>
    <t>POR TBL FLM 30X7,5MG</t>
  </si>
  <si>
    <t>102592</t>
  </si>
  <si>
    <t>POR TBL FLM 100X7,5MG</t>
  </si>
  <si>
    <t>Kombinace vakcín proti hepatitidě</t>
  </si>
  <si>
    <t>26810</t>
  </si>
  <si>
    <t>TWINRIX ADULT</t>
  </si>
  <si>
    <t>INJ SUS 1X1ML-STŘ+BS</t>
  </si>
  <si>
    <t>Alopurinol</t>
  </si>
  <si>
    <t>107869</t>
  </si>
  <si>
    <t>APO-ALLOPURINOL</t>
  </si>
  <si>
    <t>POR TBL NOB 100X100MG</t>
  </si>
  <si>
    <t>Amlodipin</t>
  </si>
  <si>
    <t>125059</t>
  </si>
  <si>
    <t>APO-AMLO 5</t>
  </si>
  <si>
    <t>93015</t>
  </si>
  <si>
    <t>SORTIS 10 MG</t>
  </si>
  <si>
    <t>POR TBL FLM 100X10MG</t>
  </si>
  <si>
    <t>Betaxolol</t>
  </si>
  <si>
    <t>49910</t>
  </si>
  <si>
    <t>LOKREN 20 MG</t>
  </si>
  <si>
    <t>POR TBL FLM 98X20MG</t>
  </si>
  <si>
    <t>3801</t>
  </si>
  <si>
    <t>CONCOR COR 2,5 MG</t>
  </si>
  <si>
    <t>POR TBL FLM 28X2.5MG</t>
  </si>
  <si>
    <t>47740</t>
  </si>
  <si>
    <t>RIVOCOR 5</t>
  </si>
  <si>
    <t>Cilazapril a diuretika</t>
  </si>
  <si>
    <t>14934</t>
  </si>
  <si>
    <t>INHIBACE PLUS</t>
  </si>
  <si>
    <t>POR TBL FLM 98</t>
  </si>
  <si>
    <t>Hydrochlorothiazid</t>
  </si>
  <si>
    <t>168</t>
  </si>
  <si>
    <t>HYDROCHLOROTHIAZID LÉČIVA</t>
  </si>
  <si>
    <t>POR TBL NOB 20X25MG</t>
  </si>
  <si>
    <t>Isradipin</t>
  </si>
  <si>
    <t>16439</t>
  </si>
  <si>
    <t>LOMIR SRO</t>
  </si>
  <si>
    <t>POR CPS PRO 30X5MG</t>
  </si>
  <si>
    <t>Jiná</t>
  </si>
  <si>
    <t>Jiný</t>
  </si>
  <si>
    <t>187145</t>
  </si>
  <si>
    <t>200214</t>
  </si>
  <si>
    <t>POR TBL NOB 56X100MG</t>
  </si>
  <si>
    <t>Léčiva k terapii onemocnění jater</t>
  </si>
  <si>
    <t>125752</t>
  </si>
  <si>
    <t>ESSENTIALE FORTE N</t>
  </si>
  <si>
    <t>POR CPS DUR 50</t>
  </si>
  <si>
    <t>Linagliptin</t>
  </si>
  <si>
    <t>168452</t>
  </si>
  <si>
    <t>TRAJENTA 5 MG</t>
  </si>
  <si>
    <t>POR TBL FLM 98X5MG</t>
  </si>
  <si>
    <t>56503</t>
  </si>
  <si>
    <t>SIOFOR 500</t>
  </si>
  <si>
    <t>119513</t>
  </si>
  <si>
    <t>LOSEPRAZOL 20 MG</t>
  </si>
  <si>
    <t>POR CPS ETD 98X20MG</t>
  </si>
  <si>
    <t>132531</t>
  </si>
  <si>
    <t>HELICID 20</t>
  </si>
  <si>
    <t>POR CPS ETD 90X20MG</t>
  </si>
  <si>
    <t>122685</t>
  </si>
  <si>
    <t>POR TBL FLM 30</t>
  </si>
  <si>
    <t>Propafenon</t>
  </si>
  <si>
    <t>91003</t>
  </si>
  <si>
    <t>RYTMONORM 150 MG</t>
  </si>
  <si>
    <t>POR TBL FLM 50X150MG</t>
  </si>
  <si>
    <t>Rilmenidin</t>
  </si>
  <si>
    <t>125641</t>
  </si>
  <si>
    <t>TENAXUM</t>
  </si>
  <si>
    <t>POR TBL NOB 90X1MG</t>
  </si>
  <si>
    <t>84360</t>
  </si>
  <si>
    <t>POR TBL NOB 30X1MG</t>
  </si>
  <si>
    <t>Silymarin</t>
  </si>
  <si>
    <t>19570</t>
  </si>
  <si>
    <t>LAGOSA</t>
  </si>
  <si>
    <t>POR TBL OBD 50X150MG</t>
  </si>
  <si>
    <t>Telmisartan</t>
  </si>
  <si>
    <t>26546</t>
  </si>
  <si>
    <t>MICARDIS 40 MG</t>
  </si>
  <si>
    <t>POR TBL NOB 28X40MG</t>
  </si>
  <si>
    <t>26555</t>
  </si>
  <si>
    <t>MICARDIS 80 MG</t>
  </si>
  <si>
    <t>POR TBL NOB 56X80MG</t>
  </si>
  <si>
    <t>Telmisartan a amlodipin</t>
  </si>
  <si>
    <t>167853</t>
  </si>
  <si>
    <t>TWYNSTA 80 MG/5 MG</t>
  </si>
  <si>
    <t>POR TBL NOB 30X1</t>
  </si>
  <si>
    <t>167856</t>
  </si>
  <si>
    <t>POR TBL NOB 98</t>
  </si>
  <si>
    <t>Telmisartan a diuretika</t>
  </si>
  <si>
    <t>26578</t>
  </si>
  <si>
    <t>MICARDISPLUS 80/12,5 MG</t>
  </si>
  <si>
    <t>POR TBL NOB 28</t>
  </si>
  <si>
    <t>Ambulance - tělovýchovné lékařství</t>
  </si>
  <si>
    <t>Ambulance kardiologická</t>
  </si>
  <si>
    <t>Preskripce a záchyt receptů a poukazů - orientační přehled</t>
  </si>
  <si>
    <t>Přehled plnění pozitivního listu (PL) - 
   preskripce léčivých přípravků dle objemu Kč mimo PL</t>
  </si>
  <si>
    <t>A02BC02 - Pantoprazol</t>
  </si>
  <si>
    <t>A02BC05 - Esomeprazol</t>
  </si>
  <si>
    <t>C09CA01 - Losartan</t>
  </si>
  <si>
    <t>M01AX17 - Nimesulid</t>
  </si>
  <si>
    <t>J01FA09 - Klarithromycin</t>
  </si>
  <si>
    <t>C10AA01 - Simvastatin</t>
  </si>
  <si>
    <t>N02CC01 - Sumatriptan</t>
  </si>
  <si>
    <t>C01BC03 - Propafenon</t>
  </si>
  <si>
    <t>R06AE07 - Cetirizin</t>
  </si>
  <si>
    <t>R06AE09 - Levocetirizin</t>
  </si>
  <si>
    <t>J01FA10 - Azithromycin</t>
  </si>
  <si>
    <t>C09CA07 - Telmisartan</t>
  </si>
  <si>
    <t>C10AA05 - Atorvastatin</t>
  </si>
  <si>
    <t>C07AB07 - Bisoprolol</t>
  </si>
  <si>
    <t>A10BA02 - Metformin</t>
  </si>
  <si>
    <t>J01AA02 - Doxycyklin</t>
  </si>
  <si>
    <t>N06AB06 - Sertralin</t>
  </si>
  <si>
    <t>M04AA01 - Alopurinol</t>
  </si>
  <si>
    <t>A02BA02 - Ranitidin</t>
  </si>
  <si>
    <t>C09AA05 - Ramipril</t>
  </si>
  <si>
    <t>J01CR02 - Amoxicilin a enzymový inhibitor</t>
  </si>
  <si>
    <t>H03AA01 - Levothyroxin, sodná sůl</t>
  </si>
  <si>
    <t>N02AX02 - Tramadol</t>
  </si>
  <si>
    <t>J01DC02 - Cefuroxim</t>
  </si>
  <si>
    <t>A02BC03 - Lansoprazol</t>
  </si>
  <si>
    <t>C09DA01 - Losartan a diuretika</t>
  </si>
  <si>
    <t>C07AB05 - Betaxolol</t>
  </si>
  <si>
    <t>C09AA04 - Perindopril</t>
  </si>
  <si>
    <t>A02BA02</t>
  </si>
  <si>
    <t>A10BA02</t>
  </si>
  <si>
    <t>C07AB07</t>
  </si>
  <si>
    <t>C09DA01</t>
  </si>
  <si>
    <t>C10AA05</t>
  </si>
  <si>
    <t>J01DC02</t>
  </si>
  <si>
    <t>J01FA10</t>
  </si>
  <si>
    <t>N02CC01</t>
  </si>
  <si>
    <t>M01AX17</t>
  </si>
  <si>
    <t>R06AE07</t>
  </si>
  <si>
    <t>A02BC02</t>
  </si>
  <si>
    <t>C09AA04</t>
  </si>
  <si>
    <t>C09AA05</t>
  </si>
  <si>
    <t>C09CA01</t>
  </si>
  <si>
    <t>C10AA01</t>
  </si>
  <si>
    <t>J01CR02</t>
  </si>
  <si>
    <t>J01FA09</t>
  </si>
  <si>
    <t>A02BC03</t>
  </si>
  <si>
    <t>A02BC05</t>
  </si>
  <si>
    <t>H03AA01</t>
  </si>
  <si>
    <t>J01AA02</t>
  </si>
  <si>
    <t>N02AX02</t>
  </si>
  <si>
    <t>N06AB06</t>
  </si>
  <si>
    <t>R06AE09</t>
  </si>
  <si>
    <t>C01BC03</t>
  </si>
  <si>
    <t>C07AB05</t>
  </si>
  <si>
    <t>C09CA07</t>
  </si>
  <si>
    <t>TELMISARTAN +PHARMA 80 MG</t>
  </si>
  <si>
    <t>POR TBL NOB 90X80MG</t>
  </si>
  <si>
    <t>M04AA01</t>
  </si>
  <si>
    <t>Přehled plnění PL - Preskripce léčivých přípravků - orientační přehled</t>
  </si>
  <si>
    <t>50115063     ostatní ZPr - vaky, sety (sk.Z_528)</t>
  </si>
  <si>
    <t>2722</t>
  </si>
  <si>
    <t>(prázdné)</t>
  </si>
  <si>
    <t>(prázdné) Celkem</t>
  </si>
  <si>
    <t>ZA429</t>
  </si>
  <si>
    <t>Obinadlo elastické idealtex   8 cm x 5 m 931061</t>
  </si>
  <si>
    <t>ZA443</t>
  </si>
  <si>
    <t>Šátek trojcípý pletený 125 x 85 x 85 cm 20001</t>
  </si>
  <si>
    <t>ZB404</t>
  </si>
  <si>
    <t>Náplast cosmos 8 cm x 1 m 5403353</t>
  </si>
  <si>
    <t>ZC100</t>
  </si>
  <si>
    <t>Vata buničitá dělená 2 role / 500 ks 40 x 50 mm 1230200310</t>
  </si>
  <si>
    <t>ZC854</t>
  </si>
  <si>
    <t xml:space="preserve">Kompresa NT 7,5 x 7,5 cm / 2 ks sterilní 26510 </t>
  </si>
  <si>
    <t>ZD740</t>
  </si>
  <si>
    <t>Kompresa gáza 7,5 x 7,5 cm / 5 ks sterilní 1325019265</t>
  </si>
  <si>
    <t>ZL996</t>
  </si>
  <si>
    <t>Obinadlo hyrofilní sterilní  8 cm x 5 m  004310182</t>
  </si>
  <si>
    <t>ZL997</t>
  </si>
  <si>
    <t>Obinadlo hyrofilní sterilní 10 cm x 5 m  004310174</t>
  </si>
  <si>
    <t>ZL995</t>
  </si>
  <si>
    <t>Obinadlo hyrofilní sterilní  6 cm x 5 m  004310190</t>
  </si>
  <si>
    <t>ZL999</t>
  </si>
  <si>
    <t>Rychloobvaz 8 x 4 cm / 3 ks ( pro obj. 1 kus = 3 náplasti) 001445510</t>
  </si>
  <si>
    <t>ZA728</t>
  </si>
  <si>
    <t>Lopatka lékařská nesterilní dřevěná ústní bal. á 100 ks 1320100655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</si>
  <si>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</si>
  <si>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</si>
  <si>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</si>
  <si>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</si>
  <si>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</si>
  <si>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</si>
  <si>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ZB387</t>
  </si>
  <si>
    <t>Kanyla ET 8,0 s manžetou 9480E</t>
  </si>
  <si>
    <t>ZB449</t>
  </si>
  <si>
    <t>Kanyla ET 7,0 s manžetou 9570E</t>
  </si>
  <si>
    <t>ZB586</t>
  </si>
  <si>
    <t>Vzduchovod nosní PVC 7/9 579209</t>
  </si>
  <si>
    <t>ZB754</t>
  </si>
  <si>
    <t>Zkumavka černá 2 ml 454073</t>
  </si>
  <si>
    <t>ZB755</t>
  </si>
  <si>
    <t>Zkumavka 1 ml K3 edta fialová 454034</t>
  </si>
  <si>
    <t>Zkumavka 1,0 ml K3 edta fialová 454034</t>
  </si>
  <si>
    <t>ZB756</t>
  </si>
  <si>
    <t>Zkumavka 3 ml K3 edta fialová 454086</t>
  </si>
  <si>
    <t>ZB764</t>
  </si>
  <si>
    <t>Zkumavka zelená 4 ml 454051</t>
  </si>
  <si>
    <t>ZB767</t>
  </si>
  <si>
    <t>Jehla vakuová 226/38 mm černá 450075</t>
  </si>
  <si>
    <t>ZB774</t>
  </si>
  <si>
    <t>Zkumavka červená 5 ml gel 456071</t>
  </si>
  <si>
    <t>ZB775</t>
  </si>
  <si>
    <t>Zkumavka koagulace 4 ml modrá 454328</t>
  </si>
  <si>
    <t>ZB777</t>
  </si>
  <si>
    <t>Zkumavka červená 4 ml gel 454071</t>
  </si>
  <si>
    <t>ZC648</t>
  </si>
  <si>
    <t>Elektroda EKG s gelem ovál 51 x 33 mm pro dospělé H-108006</t>
  </si>
  <si>
    <t>ZD801</t>
  </si>
  <si>
    <t>Fonendoskop jednostranný červený P00176</t>
  </si>
  <si>
    <t>ZG515</t>
  </si>
  <si>
    <t>Zkumavka močová vacuette 10,5 ml bal. á 50 ks 455007</t>
  </si>
  <si>
    <t>ZI180</t>
  </si>
  <si>
    <t>Zkumavka s mediem+ flovakovaný tampon eSwab minitip oranžový 491CE.A</t>
  </si>
  <si>
    <t>ZI182</t>
  </si>
  <si>
    <t>Zkumavka + aplikátor s chem.stabilizátorem UriSwab žlutá 802CE.A</t>
  </si>
  <si>
    <t>ZB533</t>
  </si>
  <si>
    <t>Zkumavka na kovy 6 ml 456080</t>
  </si>
  <si>
    <t>ZG088</t>
  </si>
  <si>
    <t>Elektroda bio TABS dlouhá á 40 ks BD00023</t>
  </si>
  <si>
    <t>ZB584</t>
  </si>
  <si>
    <t>Vzduchovod nosní PVC 5/7 579207</t>
  </si>
  <si>
    <t>ZJ673</t>
  </si>
  <si>
    <t>Pohár na moč 100 ml UH GAMA204808</t>
  </si>
  <si>
    <t>ZH129</t>
  </si>
  <si>
    <t>Balónek k tonometru kompletní s red. ventilem 80 ml KVS B80US</t>
  </si>
  <si>
    <t>ZD150</t>
  </si>
  <si>
    <t>Sada laryngoskopu v kufříku B02-2060</t>
  </si>
  <si>
    <t>ZL679</t>
  </si>
  <si>
    <t>Manžeta standard měřící custo 23070</t>
  </si>
  <si>
    <t>ZI611</t>
  </si>
  <si>
    <t>Manžeta TK dvouhadičková dospělá omyvatelná 12-22 cm KVS M2 5ZOMG</t>
  </si>
  <si>
    <t>ZI133</t>
  </si>
  <si>
    <t>Manžeta TK dvouhadičková dětská 9 x 15 cm s konektorem suchým zipem KVS M2 K4Z</t>
  </si>
  <si>
    <t>ZB768</t>
  </si>
  <si>
    <t>Jehla vakuová 216/38 mm zelená 450076</t>
  </si>
  <si>
    <t>DA002</t>
  </si>
  <si>
    <t>PROUZKY TETRAPHAN DIA  KATALOGO</t>
  </si>
  <si>
    <t>50115050</t>
  </si>
  <si>
    <t>502 SZM obvazový (112 02 040)</t>
  </si>
  <si>
    <t>50115060</t>
  </si>
  <si>
    <t>503 SZM ostatní zdravotnický (112 02 100)</t>
  </si>
  <si>
    <t>50115065</t>
  </si>
  <si>
    <t>530 SZM jehly (112 02 107)</t>
  </si>
  <si>
    <t>50115020</t>
  </si>
  <si>
    <t>Diagnostika (112 04 004, 132 01 004)</t>
  </si>
  <si>
    <t>Spotřeba zdravotnického materiálu - orientační přehled</t>
  </si>
  <si>
    <t>ON Data</t>
  </si>
  <si>
    <t>101 - Pracoviště interního lékařství</t>
  </si>
  <si>
    <t>107 - Pracoviště kardiologie</t>
  </si>
  <si>
    <t>204 - Pracoviště tělovýchovného lékařství</t>
  </si>
  <si>
    <t>207 - Pracoviště alergologie a klinické imunologie</t>
  </si>
  <si>
    <t>301 - Pracoviště pediatrie</t>
  </si>
  <si>
    <t>902 - Samostatné pracoviště fyzioterapeutů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</si>
  <si>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</si>
  <si>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</si>
  <si>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</si>
  <si>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</si>
  <si>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beze jména</t>
  </si>
  <si>
    <t>Kaniová Bohdana</t>
  </si>
  <si>
    <t>Ripplová Dana</t>
  </si>
  <si>
    <t>Zdravotní výkony vykázané na pracovišti v rámci ambulantní péče dle lékařů *</t>
  </si>
  <si>
    <t>V</t>
  </si>
  <si>
    <t>09511</t>
  </si>
  <si>
    <t>MINIMÁLNÍ KONTAKT LÉKAŘE S PACIENTEM</t>
  </si>
  <si>
    <t>11110</t>
  </si>
  <si>
    <t>TEST IZOMETRICKÉ ZÁTĚŽE (HAND-GRIP)</t>
  </si>
  <si>
    <t>11220</t>
  </si>
  <si>
    <t>NEPŘÍMÁ KALORIMETRIE</t>
  </si>
  <si>
    <t>17111</t>
  </si>
  <si>
    <t>EKG VYŠETŘENÍ SPECIALISTOU</t>
  </si>
  <si>
    <t>17215</t>
  </si>
  <si>
    <t>ZÁKLADNÍ ERGOMETRICKÉ VYŠETŘENÍ</t>
  </si>
  <si>
    <t>11022</t>
  </si>
  <si>
    <t>CÍLENÉ VYŠETŘENÍ INTERNISTOU</t>
  </si>
  <si>
    <t>09543</t>
  </si>
  <si>
    <t>REGULAČNÍ POPLATEK ZA NÁVŠTĚVU -- POPLATEK UHRAZEN</t>
  </si>
  <si>
    <t>09119</t>
  </si>
  <si>
    <t xml:space="preserve">ODBĚR KRVE ZE ŽÍLY U DOSPĚLÉHO NEBO DÍTĚTE NAD 10 </t>
  </si>
  <si>
    <t>11111</t>
  </si>
  <si>
    <t>EKG VYŠETŘENÍ INTERNISTOU</t>
  </si>
  <si>
    <t>17129</t>
  </si>
  <si>
    <t>NEINVASIVNÍ AMBULANTNÍ MONITOROVÁNÍ KREVNÍHO TLAKU</t>
  </si>
  <si>
    <t>11021</t>
  </si>
  <si>
    <t>KOMPLEXNÍ VYŠETŘENÍ INTERNISTOU</t>
  </si>
  <si>
    <t>11023</t>
  </si>
  <si>
    <t>KONTROLNÍ VYŠETŘENÍ INTERNISTOU</t>
  </si>
  <si>
    <t>17113</t>
  </si>
  <si>
    <t>SPECIALIZOVANÉ ERGOMETRICKÉ VYŠETŘENÍ</t>
  </si>
  <si>
    <t>09513</t>
  </si>
  <si>
    <t>TELEFONICKÁ KONZULTACE OŠETŘUJÍCÍHO LÉKAŘE PACIENT</t>
  </si>
  <si>
    <t>09523</t>
  </si>
  <si>
    <t>EDUKAČNÍ POHOVOR LÉKAŘE S NEMOCNÝM ČI RODINOU</t>
  </si>
  <si>
    <t>09125</t>
  </si>
  <si>
    <t>PULZNÍ OXYMETRIE</t>
  </si>
  <si>
    <t>11011</t>
  </si>
  <si>
    <t>11012</t>
  </si>
  <si>
    <t>09525</t>
  </si>
  <si>
    <t>ROZHOVOR LÉKAŘE S RODINOU</t>
  </si>
  <si>
    <t>09115</t>
  </si>
  <si>
    <t>ODBĚR BIOLOGICKÉHO MATERIÁLU JINÉHO NEŽ KREV NA KV</t>
  </si>
  <si>
    <t>107</t>
  </si>
  <si>
    <t>17021</t>
  </si>
  <si>
    <t>KOMPLEXNÍ VYŠETŘENÍ KARDIOLOGEM</t>
  </si>
  <si>
    <t>17240</t>
  </si>
  <si>
    <t>HOLTEROVSKÉ VYŠETŘENÍ</t>
  </si>
  <si>
    <t>17022</t>
  </si>
  <si>
    <t>CÍLENÉ VYŠETŘENÍ KARDIOLOGEM</t>
  </si>
  <si>
    <t>17023</t>
  </si>
  <si>
    <t>KONTROLNÍ VYŠETŘENÍ KARDIOLOGEM</t>
  </si>
  <si>
    <t>204</t>
  </si>
  <si>
    <t>09111</t>
  </si>
  <si>
    <t>ODBĚR KAPILÁRNÍ KRVE</t>
  </si>
  <si>
    <t>09117</t>
  </si>
  <si>
    <t>ODBĚR KRVE ZE ŽÍLY U DÍTĚTĚ DO 10 LET</t>
  </si>
  <si>
    <t>09220</t>
  </si>
  <si>
    <t>KANYLACE PERIFERNÍ ŽÍLY VČETNĚ INFÚZE</t>
  </si>
  <si>
    <t>09551</t>
  </si>
  <si>
    <t>SIGNÁLNÍ VÝKON - INFORMACE O VYDÁNÍ ROZHODNUTÍ O U</t>
  </si>
  <si>
    <t>31023</t>
  </si>
  <si>
    <t>KONTROLNÍ VYŠETŘENÍ DĚTSKÝM LÉKAŘEM</t>
  </si>
  <si>
    <t>24040</t>
  </si>
  <si>
    <t>TELEMETRICKÉ SLEDOVÁNÍ ZÁKLADNÍCH KARDIORESPIRAČNÍ</t>
  </si>
  <si>
    <t>09215</t>
  </si>
  <si>
    <t>INJEKCE I. M., S. C., I. D.</t>
  </si>
  <si>
    <t>24023</t>
  </si>
  <si>
    <t>KONTROLNÍ VYŠETŘENÍ TĚLOVÝCHOVNÝM LÉKAŘEM ZE ZDRAV</t>
  </si>
  <si>
    <t>21022</t>
  </si>
  <si>
    <t>CÍLENÉ VYŠETŘENÍ REHABILITAČNÍM LÉKAŘEM</t>
  </si>
  <si>
    <t>09113</t>
  </si>
  <si>
    <t>ODBĚR KRVE Z ARTERIE</t>
  </si>
  <si>
    <t>31021</t>
  </si>
  <si>
    <t>KOMPLEXNÍ VYŠETŘENÍ DĚTSKÝM LÉKAŘEM</t>
  </si>
  <si>
    <t>09219</t>
  </si>
  <si>
    <t xml:space="preserve">INTRAVENÓZNÍ INJEKCE U DOSPĚLÉHO ČI DÍTĚTE NAD 10 </t>
  </si>
  <si>
    <t>24022</t>
  </si>
  <si>
    <t>CÍLENÉ VYŠETŘENÍ TĚLOVÝCHOVNÝM LÉKAŘEM ZE ZDRAVOTN</t>
  </si>
  <si>
    <t>24021</t>
  </si>
  <si>
    <t>KOMPLEXNÍ VYŠETŘENÍ TĚLOVÝCHOVNÝM LÉKAŘEM ZE ZDRAV</t>
  </si>
  <si>
    <t>207</t>
  </si>
  <si>
    <t>301</t>
  </si>
  <si>
    <t>09555</t>
  </si>
  <si>
    <t>OŠETŘENÍ DÍTĚTE DO 6 LET</t>
  </si>
  <si>
    <t>31022</t>
  </si>
  <si>
    <t>CÍLENÉ VYŠETŘENÍ DĚTSKÝM LÉKAŘEM</t>
  </si>
  <si>
    <t>902</t>
  </si>
  <si>
    <t>21115</t>
  </si>
  <si>
    <t>FYZIKÁLNÍ TERAPIE III</t>
  </si>
  <si>
    <t>21215</t>
  </si>
  <si>
    <t>LÉČEBNÁ TĚLESNÁ VÝCHOVA - INSTRUKTÁŽ A ZÁCVIK PACI</t>
  </si>
  <si>
    <t>21219</t>
  </si>
  <si>
    <t xml:space="preserve">LÉČEBNÁ TĚLESNÁ VÝCHOVA INDIVIDUÁLNÍ POD DOHLEDEM </t>
  </si>
  <si>
    <t>21225</t>
  </si>
  <si>
    <t xml:space="preserve">LÉČEBNÁ TĚLESNÁ VÝCHOVA INDIVIDUÁLNÍ - KONDIČNÍ A </t>
  </si>
  <si>
    <t>21001</t>
  </si>
  <si>
    <t>KOMPLEXNÍ KINEZIOLOGICKÉ VYŠETŘENÍ</t>
  </si>
  <si>
    <t>21413</t>
  </si>
  <si>
    <t>TECHNIKY MĚKKÝCH TKÁNÍ</t>
  </si>
  <si>
    <t>21003</t>
  </si>
  <si>
    <t>KONTROLNÍ KINEZIOLOGICKÉ VYŠETŘENÍ</t>
  </si>
  <si>
    <t>21113</t>
  </si>
  <si>
    <t>FYZIKÁLNÍ TERAPIE II</t>
  </si>
  <si>
    <t>21713</t>
  </si>
  <si>
    <t>MASÁŽ REFLEXNÍ A VAZIVOVÁ</t>
  </si>
  <si>
    <t>21117</t>
  </si>
  <si>
    <t>FYZIKÁLNÍ TERAPIE IV</t>
  </si>
  <si>
    <t>21002</t>
  </si>
  <si>
    <t>KINEZIOLOGICKÉ VYŠETŘENÍ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</si>
  <si>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</si>
  <si>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</si>
  <si>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</si>
  <si>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</si>
  <si>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10 - Dětská klinika</t>
  </si>
  <si>
    <t>11 - Ortopedická klinika</t>
  </si>
  <si>
    <t>16 - Klinika plicních nemocí a tuberkulózy</t>
  </si>
  <si>
    <t>25 - Klinika ústní,čelistní a obličejové chirurgie</t>
  </si>
  <si>
    <t>31 - Traumatologické oddělení</t>
  </si>
  <si>
    <t>01</t>
  </si>
  <si>
    <t>02</t>
  </si>
  <si>
    <t>03</t>
  </si>
  <si>
    <t>10</t>
  </si>
  <si>
    <t>11</t>
  </si>
  <si>
    <t>16</t>
  </si>
  <si>
    <t>25</t>
  </si>
  <si>
    <t>31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</si>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</sst>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33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2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2" fontId="29" fillId="3" borderId="27" xfId="81" applyNumberFormat="1" applyFont="1" applyFill="1" applyBorder="1"/>
    <xf numFmtId="172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1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5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170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5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6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1" xfId="0" applyNumberFormat="1" applyFont="1" applyFill="1" applyBorder="1"/>
    <xf numFmtId="0" fontId="50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0" fontId="46" fillId="2" borderId="34" xfId="1" applyFont="1" applyFill="1" applyBorder="1" applyAlignment="1">
      <alignment horizontal="left" indent="4"/>
    </xf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0" fillId="4" borderId="58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2" fontId="41" fillId="0" borderId="0" xfId="0" applyNumberFormat="1" applyFont="1" applyFill="1"/>
    <xf numFmtId="173" fontId="41" fillId="0" borderId="0" xfId="0" applyNumberFormat="1" applyFont="1" applyFill="1"/>
    <xf numFmtId="3" fontId="41" fillId="0" borderId="0" xfId="0" applyNumberFormat="1" applyFont="1" applyFill="1"/>
    <xf numFmtId="0" fontId="8" fillId="0" borderId="0" xfId="81" applyFont="1" applyFill="1"/>
    <xf numFmtId="0" fontId="51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5" fontId="33" fillId="0" borderId="0" xfId="0" applyNumberFormat="1" applyFont="1" applyFill="1"/>
    <xf numFmtId="9" fontId="33" fillId="0" borderId="0" xfId="0" applyNumberFormat="1" applyFont="1" applyFill="1"/>
    <xf numFmtId="165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5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6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70" fontId="40" fillId="0" borderId="19" xfId="0" applyNumberFormat="1" applyFont="1" applyFill="1" applyBorder="1" applyAlignment="1"/>
    <xf numFmtId="170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70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70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0" fillId="0" borderId="0" xfId="0" applyNumberFormat="1"/>
    <xf numFmtId="3" fontId="0" fillId="7" borderId="74" xfId="0" applyNumberFormat="1" applyFont="1" applyFill="1" applyBorder="1"/>
    <xf numFmtId="3" fontId="53" fillId="8" borderId="75" xfId="0" applyNumberFormat="1" applyFont="1" applyFill="1" applyBorder="1"/>
    <xf numFmtId="3" fontId="53" fillId="8" borderId="74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40" fillId="2" borderId="78" xfId="0" applyNumberFormat="1" applyFont="1" applyFill="1" applyBorder="1" applyAlignment="1">
      <alignment horizontal="center" vertical="center"/>
    </xf>
    <xf numFmtId="0" fontId="40" fillId="2" borderId="79" xfId="0" applyFont="1" applyFill="1" applyBorder="1" applyAlignment="1">
      <alignment horizontal="center" vertical="center"/>
    </xf>
    <xf numFmtId="3" fontId="55" fillId="2" borderId="81" xfId="0" applyNumberFormat="1" applyFont="1" applyFill="1" applyBorder="1" applyAlignment="1">
      <alignment horizontal="center" vertical="center" wrapText="1"/>
    </xf>
    <xf numFmtId="0" fontId="55" fillId="2" borderId="82" xfId="0" applyFont="1" applyFill="1" applyBorder="1" applyAlignment="1">
      <alignment horizontal="center" vertical="center" wrapText="1"/>
    </xf>
    <xf numFmtId="0" fontId="40" fillId="2" borderId="84" xfId="0" applyFont="1" applyFill="1" applyBorder="1" applyAlignment="1"/>
    <xf numFmtId="0" fontId="40" fillId="2" borderId="86" xfId="0" applyFont="1" applyFill="1" applyBorder="1" applyAlignment="1">
      <alignment horizontal="left" indent="1"/>
    </xf>
    <xf numFmtId="0" fontId="40" fillId="2" borderId="92" xfId="0" applyFont="1" applyFill="1" applyBorder="1" applyAlignment="1">
      <alignment horizontal="left" indent="1"/>
    </xf>
    <xf numFmtId="0" fontId="40" fillId="4" borderId="84" xfId="0" applyFont="1" applyFill="1" applyBorder="1" applyAlignment="1"/>
    <xf numFmtId="0" fontId="40" fillId="4" borderId="86" xfId="0" applyFont="1" applyFill="1" applyBorder="1" applyAlignment="1">
      <alignment horizontal="left" indent="1"/>
    </xf>
    <xf numFmtId="0" fontId="40" fillId="4" borderId="97" xfId="0" applyFont="1" applyFill="1" applyBorder="1" applyAlignment="1">
      <alignment horizontal="left" indent="1"/>
    </xf>
    <xf numFmtId="0" fontId="33" fillId="2" borderId="86" xfId="0" quotePrefix="1" applyFont="1" applyFill="1" applyBorder="1" applyAlignment="1">
      <alignment horizontal="left" indent="2"/>
    </xf>
    <xf numFmtId="0" fontId="33" fillId="2" borderId="92" xfId="0" quotePrefix="1" applyFont="1" applyFill="1" applyBorder="1" applyAlignment="1">
      <alignment horizontal="left" indent="2"/>
    </xf>
    <xf numFmtId="0" fontId="40" fillId="2" borderId="84" xfId="0" applyFont="1" applyFill="1" applyBorder="1" applyAlignment="1">
      <alignment horizontal="left" indent="1"/>
    </xf>
    <xf numFmtId="0" fontId="40" fillId="2" borderId="97" xfId="0" applyFont="1" applyFill="1" applyBorder="1" applyAlignment="1">
      <alignment horizontal="left" indent="1"/>
    </xf>
    <xf numFmtId="0" fontId="40" fillId="4" borderId="92" xfId="0" applyFont="1" applyFill="1" applyBorder="1" applyAlignment="1">
      <alignment horizontal="left" indent="1"/>
    </xf>
    <xf numFmtId="0" fontId="33" fillId="0" borderId="102" xfId="0" applyFont="1" applyBorder="1"/>
    <xf numFmtId="3" fontId="33" fillId="0" borderId="102" xfId="0" applyNumberFormat="1" applyFont="1" applyBorder="1"/>
    <xf numFmtId="0" fontId="40" fillId="4" borderId="76" xfId="0" applyFont="1" applyFill="1" applyBorder="1" applyAlignment="1">
      <alignment horizontal="center" vertical="center"/>
    </xf>
    <xf numFmtId="0" fontId="40" fillId="4" borderId="62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1" xfId="0" applyNumberFormat="1" applyFont="1" applyFill="1" applyBorder="1" applyAlignment="1">
      <alignment horizontal="center" vertical="center"/>
    </xf>
    <xf numFmtId="3" fontId="55" fillId="2" borderId="99" xfId="0" applyNumberFormat="1" applyFont="1" applyFill="1" applyBorder="1" applyAlignment="1">
      <alignment horizontal="center" vertical="center" wrapText="1"/>
    </xf>
    <xf numFmtId="174" fontId="40" fillId="4" borderId="85" xfId="0" applyNumberFormat="1" applyFont="1" applyFill="1" applyBorder="1" applyAlignment="1"/>
    <xf numFmtId="174" fontId="40" fillId="4" borderId="78" xfId="0" applyNumberFormat="1" applyFont="1" applyFill="1" applyBorder="1" applyAlignment="1"/>
    <xf numFmtId="174" fontId="40" fillId="4" borderId="79" xfId="0" applyNumberFormat="1" applyFont="1" applyFill="1" applyBorder="1" applyAlignment="1"/>
    <xf numFmtId="174" fontId="40" fillId="0" borderId="87" xfId="0" applyNumberFormat="1" applyFont="1" applyBorder="1"/>
    <xf numFmtId="174" fontId="33" fillId="0" borderId="91" xfId="0" applyNumberFormat="1" applyFont="1" applyBorder="1"/>
    <xf numFmtId="174" fontId="33" fillId="0" borderId="89" xfId="0" applyNumberFormat="1" applyFont="1" applyBorder="1"/>
    <xf numFmtId="174" fontId="40" fillId="0" borderId="98" xfId="0" applyNumberFormat="1" applyFont="1" applyBorder="1"/>
    <xf numFmtId="174" fontId="33" fillId="0" borderId="99" xfId="0" applyNumberFormat="1" applyFont="1" applyBorder="1"/>
    <xf numFmtId="174" fontId="33" fillId="0" borderId="82" xfId="0" applyNumberFormat="1" applyFont="1" applyBorder="1"/>
    <xf numFmtId="174" fontId="40" fillId="2" borderId="100" xfId="0" applyNumberFormat="1" applyFont="1" applyFill="1" applyBorder="1" applyAlignment="1"/>
    <xf numFmtId="174" fontId="40" fillId="2" borderId="78" xfId="0" applyNumberFormat="1" applyFont="1" applyFill="1" applyBorder="1" applyAlignment="1"/>
    <xf numFmtId="174" fontId="40" fillId="2" borderId="79" xfId="0" applyNumberFormat="1" applyFont="1" applyFill="1" applyBorder="1" applyAlignment="1"/>
    <xf numFmtId="174" fontId="40" fillId="0" borderId="93" xfId="0" applyNumberFormat="1" applyFont="1" applyBorder="1"/>
    <xf numFmtId="174" fontId="33" fillId="0" borderId="94" xfId="0" applyNumberFormat="1" applyFont="1" applyBorder="1"/>
    <xf numFmtId="174" fontId="33" fillId="0" borderId="95" xfId="0" applyNumberFormat="1" applyFont="1" applyBorder="1"/>
    <xf numFmtId="174" fontId="40" fillId="0" borderId="85" xfId="0" applyNumberFormat="1" applyFont="1" applyBorder="1"/>
    <xf numFmtId="174" fontId="33" fillId="0" borderId="101" xfId="0" applyNumberFormat="1" applyFont="1" applyBorder="1"/>
    <xf numFmtId="174" fontId="33" fillId="0" borderId="79" xfId="0" applyNumberFormat="1" applyFont="1" applyBorder="1"/>
    <xf numFmtId="175" fontId="40" fillId="2" borderId="85" xfId="0" applyNumberFormat="1" applyFont="1" applyFill="1" applyBorder="1" applyAlignment="1"/>
    <xf numFmtId="175" fontId="33" fillId="2" borderId="78" xfId="0" applyNumberFormat="1" applyFont="1" applyFill="1" applyBorder="1" applyAlignment="1"/>
    <xf numFmtId="175" fontId="33" fillId="2" borderId="79" xfId="0" applyNumberFormat="1" applyFont="1" applyFill="1" applyBorder="1" applyAlignment="1"/>
    <xf numFmtId="175" fontId="40" fillId="0" borderId="87" xfId="0" applyNumberFormat="1" applyFont="1" applyBorder="1"/>
    <xf numFmtId="175" fontId="33" fillId="0" borderId="88" xfId="0" applyNumberFormat="1" applyFont="1" applyBorder="1"/>
    <xf numFmtId="175" fontId="33" fillId="0" borderId="89" xfId="0" applyNumberFormat="1" applyFont="1" applyBorder="1"/>
    <xf numFmtId="175" fontId="33" fillId="0" borderId="91" xfId="0" applyNumberFormat="1" applyFont="1" applyBorder="1"/>
    <xf numFmtId="175" fontId="40" fillId="0" borderId="93" xfId="0" applyNumberFormat="1" applyFont="1" applyBorder="1"/>
    <xf numFmtId="175" fontId="33" fillId="0" borderId="94" xfId="0" applyNumberFormat="1" applyFont="1" applyBorder="1"/>
    <xf numFmtId="175" fontId="33" fillId="0" borderId="95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4" fontId="40" fillId="4" borderId="85" xfId="0" applyNumberFormat="1" applyFont="1" applyFill="1" applyBorder="1" applyAlignment="1">
      <alignment horizontal="center"/>
    </xf>
    <xf numFmtId="176" fontId="40" fillId="0" borderId="93" xfId="0" applyNumberFormat="1" applyFont="1" applyBorder="1"/>
    <xf numFmtId="0" fontId="32" fillId="2" borderId="10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0" xfId="0" applyFont="1" applyFill="1" applyBorder="1"/>
    <xf numFmtId="0" fontId="33" fillId="0" borderId="91" xfId="0" applyFont="1" applyBorder="1" applyAlignment="1"/>
    <xf numFmtId="9" fontId="33" fillId="0" borderId="89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2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70" fontId="40" fillId="0" borderId="20" xfId="0" applyNumberFormat="1" applyFont="1" applyFill="1" applyBorder="1" applyAlignment="1"/>
    <xf numFmtId="9" fontId="40" fillId="0" borderId="87" xfId="0" applyNumberFormat="1" applyFont="1" applyBorder="1"/>
    <xf numFmtId="9" fontId="33" fillId="0" borderId="91" xfId="0" applyNumberFormat="1" applyFont="1" applyBorder="1"/>
    <xf numFmtId="9" fontId="33" fillId="0" borderId="89" xfId="0" applyNumberFormat="1" applyFont="1" applyBorder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9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2" fillId="2" borderId="108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5" fontId="32" fillId="0" borderId="0" xfId="53" applyNumberFormat="1" applyFont="1" applyFill="1" applyBorder="1" applyAlignment="1">
      <alignment horizontal="center"/>
    </xf>
    <xf numFmtId="165" fontId="30" fillId="0" borderId="0" xfId="79" applyNumberFormat="1" applyFont="1" applyFill="1" applyBorder="1" applyAlignment="1">
      <alignment horizontal="center"/>
    </xf>
    <xf numFmtId="165" fontId="32" fillId="2" borderId="24" xfId="53" applyNumberFormat="1" applyFont="1" applyFill="1" applyBorder="1" applyAlignment="1">
      <alignment horizontal="right"/>
    </xf>
    <xf numFmtId="165" fontId="30" fillId="2" borderId="29" xfId="79" applyNumberFormat="1" applyFont="1" applyFill="1" applyBorder="1" applyAlignment="1">
      <alignment horizontal="right"/>
    </xf>
    <xf numFmtId="165" fontId="43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2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1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0" fontId="2" fillId="0" borderId="1" xfId="26" applyFont="1" applyFill="1" applyBorder="1" applyAlignment="1"/>
    <xf numFmtId="167" fontId="40" fillId="2" borderId="77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10" xfId="26" applyNumberFormat="1" applyFont="1" applyFill="1" applyBorder="1" applyAlignment="1">
      <alignment horizontal="center"/>
    </xf>
    <xf numFmtId="3" fontId="32" fillId="2" borderId="102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4" fillId="2" borderId="50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4" fillId="2" borderId="50" xfId="0" applyNumberFormat="1" applyFont="1" applyFill="1" applyBorder="1" applyAlignment="1">
      <alignment horizontal="center" vertical="top"/>
    </xf>
    <xf numFmtId="3" fontId="34" fillId="9" borderId="114" xfId="0" applyNumberFormat="1" applyFont="1" applyFill="1" applyBorder="1" applyAlignment="1">
      <alignment horizontal="right" vertical="top"/>
    </xf>
    <xf numFmtId="3" fontId="34" fillId="9" borderId="115" xfId="0" applyNumberFormat="1" applyFont="1" applyFill="1" applyBorder="1" applyAlignment="1">
      <alignment horizontal="right" vertical="top"/>
    </xf>
    <xf numFmtId="177" fontId="34" fillId="9" borderId="116" xfId="0" applyNumberFormat="1" applyFont="1" applyFill="1" applyBorder="1" applyAlignment="1">
      <alignment horizontal="right" vertical="top"/>
    </xf>
    <xf numFmtId="3" fontId="34" fillId="0" borderId="114" xfId="0" applyNumberFormat="1" applyFont="1" applyBorder="1" applyAlignment="1">
      <alignment horizontal="right" vertical="top"/>
    </xf>
    <xf numFmtId="177" fontId="34" fillId="9" borderId="117" xfId="0" applyNumberFormat="1" applyFont="1" applyFill="1" applyBorder="1" applyAlignment="1">
      <alignment horizontal="right" vertical="top"/>
    </xf>
    <xf numFmtId="3" fontId="36" fillId="9" borderId="119" xfId="0" applyNumberFormat="1" applyFont="1" applyFill="1" applyBorder="1" applyAlignment="1">
      <alignment horizontal="right" vertical="top"/>
    </xf>
    <xf numFmtId="3" fontId="36" fillId="9" borderId="120" xfId="0" applyNumberFormat="1" applyFont="1" applyFill="1" applyBorder="1" applyAlignment="1">
      <alignment horizontal="right" vertical="top"/>
    </xf>
    <xf numFmtId="0" fontId="36" fillId="9" borderId="121" xfId="0" applyFont="1" applyFill="1" applyBorder="1" applyAlignment="1">
      <alignment horizontal="right" vertical="top"/>
    </xf>
    <xf numFmtId="3" fontId="36" fillId="0" borderId="119" xfId="0" applyNumberFormat="1" applyFont="1" applyBorder="1" applyAlignment="1">
      <alignment horizontal="right" vertical="top"/>
    </xf>
    <xf numFmtId="0" fontId="36" fillId="9" borderId="122" xfId="0" applyFont="1" applyFill="1" applyBorder="1" applyAlignment="1">
      <alignment horizontal="right" vertical="top"/>
    </xf>
    <xf numFmtId="0" fontId="34" fillId="9" borderId="116" xfId="0" applyFont="1" applyFill="1" applyBorder="1" applyAlignment="1">
      <alignment horizontal="right" vertical="top"/>
    </xf>
    <xf numFmtId="0" fontId="34" fillId="9" borderId="117" xfId="0" applyFont="1" applyFill="1" applyBorder="1" applyAlignment="1">
      <alignment horizontal="right" vertical="top"/>
    </xf>
    <xf numFmtId="177" fontId="36" fillId="9" borderId="121" xfId="0" applyNumberFormat="1" applyFont="1" applyFill="1" applyBorder="1" applyAlignment="1">
      <alignment horizontal="right" vertical="top"/>
    </xf>
    <xf numFmtId="177" fontId="36" fillId="9" borderId="122" xfId="0" applyNumberFormat="1" applyFont="1" applyFill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0" borderId="125" xfId="0" applyFont="1" applyBorder="1" applyAlignment="1">
      <alignment horizontal="right" vertical="top"/>
    </xf>
    <xf numFmtId="177" fontId="36" fillId="9" borderId="126" xfId="0" applyNumberFormat="1" applyFont="1" applyFill="1" applyBorder="1" applyAlignment="1">
      <alignment horizontal="right" vertical="top"/>
    </xf>
    <xf numFmtId="0" fontId="38" fillId="10" borderId="113" xfId="0" applyFont="1" applyFill="1" applyBorder="1" applyAlignment="1">
      <alignment vertical="top"/>
    </xf>
    <xf numFmtId="0" fontId="38" fillId="10" borderId="113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 indent="6"/>
    </xf>
    <xf numFmtId="0" fontId="38" fillId="10" borderId="113" xfId="0" applyFont="1" applyFill="1" applyBorder="1" applyAlignment="1">
      <alignment vertical="top" indent="8"/>
    </xf>
    <xf numFmtId="0" fontId="39" fillId="10" borderId="118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6"/>
    </xf>
    <xf numFmtId="0" fontId="39" fillId="10" borderId="118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/>
    </xf>
    <xf numFmtId="0" fontId="33" fillId="10" borderId="113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5" fontId="32" fillId="2" borderId="127" xfId="53" applyNumberFormat="1" applyFont="1" applyFill="1" applyBorder="1" applyAlignment="1">
      <alignment horizontal="left"/>
    </xf>
    <xf numFmtId="165" fontId="32" fillId="2" borderId="128" xfId="53" applyNumberFormat="1" applyFont="1" applyFill="1" applyBorder="1" applyAlignment="1">
      <alignment horizontal="left"/>
    </xf>
    <xf numFmtId="165" fontId="32" fillId="2" borderId="59" xfId="53" applyNumberFormat="1" applyFont="1" applyFill="1" applyBorder="1" applyAlignment="1">
      <alignment horizontal="left"/>
    </xf>
    <xf numFmtId="3" fontId="32" fillId="2" borderId="59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3" fontId="33" fillId="0" borderId="128" xfId="0" applyNumberFormat="1" applyFont="1" applyFill="1" applyBorder="1"/>
    <xf numFmtId="3" fontId="33" fillId="0" borderId="130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5" fontId="33" fillId="0" borderId="79" xfId="0" applyNumberFormat="1" applyFont="1" applyFill="1" applyBorder="1"/>
    <xf numFmtId="165" fontId="33" fillId="0" borderId="79" xfId="0" applyNumberFormat="1" applyFont="1" applyFill="1" applyBorder="1" applyAlignment="1">
      <alignment horizontal="right"/>
    </xf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8" xfId="0" applyFont="1" applyFill="1" applyBorder="1"/>
    <xf numFmtId="0" fontId="33" fillId="0" borderId="89" xfId="0" applyFont="1" applyFill="1" applyBorder="1"/>
    <xf numFmtId="165" fontId="33" fillId="0" borderId="89" xfId="0" applyNumberFormat="1" applyFont="1" applyFill="1" applyBorder="1"/>
    <xf numFmtId="165" fontId="33" fillId="0" borderId="89" xfId="0" applyNumberFormat="1" applyFont="1" applyFill="1" applyBorder="1" applyAlignment="1">
      <alignment horizontal="right"/>
    </xf>
    <xf numFmtId="3" fontId="33" fillId="0" borderId="89" xfId="0" applyNumberFormat="1" applyFont="1" applyFill="1" applyBorder="1"/>
    <xf numFmtId="3" fontId="33" fillId="0" borderId="90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5" fontId="33" fillId="0" borderId="82" xfId="0" applyNumberFormat="1" applyFont="1" applyFill="1" applyBorder="1"/>
    <xf numFmtId="165" fontId="33" fillId="0" borderId="82" xfId="0" applyNumberFormat="1" applyFont="1" applyFill="1" applyBorder="1" applyAlignment="1">
      <alignment horizontal="right"/>
    </xf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27" xfId="0" applyFont="1" applyFill="1" applyBorder="1"/>
    <xf numFmtId="3" fontId="40" fillId="2" borderId="129" xfId="0" applyNumberFormat="1" applyFont="1" applyFill="1" applyBorder="1"/>
    <xf numFmtId="9" fontId="40" fillId="2" borderId="73" xfId="0" applyNumberFormat="1" applyFont="1" applyFill="1" applyBorder="1"/>
    <xf numFmtId="3" fontId="40" fillId="2" borderId="67" xfId="0" applyNumberFormat="1" applyFont="1" applyFill="1" applyBorder="1"/>
    <xf numFmtId="9" fontId="33" fillId="0" borderId="128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33" fillId="0" borderId="19" xfId="0" applyFont="1" applyFill="1" applyBorder="1"/>
    <xf numFmtId="3" fontId="33" fillId="0" borderId="27" xfId="0" applyNumberFormat="1" applyFont="1" applyFill="1" applyBorder="1"/>
    <xf numFmtId="3" fontId="33" fillId="0" borderId="20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127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28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0" fontId="33" fillId="0" borderId="109" xfId="0" applyFont="1" applyFill="1" applyBorder="1"/>
    <xf numFmtId="0" fontId="33" fillId="0" borderId="27" xfId="0" applyFont="1" applyFill="1" applyBorder="1"/>
    <xf numFmtId="0" fontId="3" fillId="2" borderId="127" xfId="79" applyFont="1" applyFill="1" applyBorder="1" applyAlignment="1">
      <alignment horizontal="left"/>
    </xf>
    <xf numFmtId="3" fontId="3" fillId="2" borderId="95" xfId="80" applyNumberFormat="1" applyFont="1" applyFill="1" applyBorder="1"/>
    <xf numFmtId="3" fontId="3" fillId="2" borderId="96" xfId="80" applyNumberFormat="1" applyFont="1" applyFill="1" applyBorder="1"/>
    <xf numFmtId="9" fontId="3" fillId="2" borderId="94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3" fillId="0" borderId="80" xfId="0" applyNumberFormat="1" applyFont="1" applyFill="1" applyBorder="1"/>
    <xf numFmtId="9" fontId="33" fillId="0" borderId="83" xfId="0" applyNumberFormat="1" applyFont="1" applyFill="1" applyBorder="1"/>
    <xf numFmtId="0" fontId="40" fillId="0" borderId="109" xfId="0" applyFont="1" applyFill="1" applyBorder="1"/>
    <xf numFmtId="0" fontId="40" fillId="0" borderId="108" xfId="0" applyFont="1" applyFill="1" applyBorder="1" applyAlignment="1">
      <alignment horizontal="left" indent="1"/>
    </xf>
    <xf numFmtId="9" fontId="33" fillId="0" borderId="101" xfId="0" applyNumberFormat="1" applyFont="1" applyFill="1" applyBorder="1"/>
    <xf numFmtId="9" fontId="33" fillId="0" borderId="99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05" xfId="0" applyNumberFormat="1" applyFont="1" applyFill="1" applyBorder="1"/>
    <xf numFmtId="9" fontId="33" fillId="0" borderId="104" xfId="0" applyNumberFormat="1" applyFont="1" applyFill="1" applyBorder="1"/>
    <xf numFmtId="9" fontId="30" fillId="0" borderId="0" xfId="0" applyNumberFormat="1" applyFont="1" applyFill="1" applyBorder="1"/>
    <xf numFmtId="0" fontId="40" fillId="10" borderId="109" xfId="0" applyFont="1" applyFill="1" applyBorder="1"/>
    <xf numFmtId="0" fontId="40" fillId="10" borderId="107" xfId="0" applyFont="1" applyFill="1" applyBorder="1"/>
    <xf numFmtId="0" fontId="40" fillId="10" borderId="108" xfId="0" applyFont="1" applyFill="1" applyBorder="1"/>
    <xf numFmtId="0" fontId="3" fillId="2" borderId="95" xfId="80" applyFont="1" applyFill="1" applyBorder="1"/>
    <xf numFmtId="3" fontId="33" fillId="0" borderId="88" xfId="0" applyNumberFormat="1" applyFont="1" applyFill="1" applyBorder="1"/>
    <xf numFmtId="3" fontId="33" fillId="0" borderId="105" xfId="0" applyNumberFormat="1" applyFont="1" applyFill="1" applyBorder="1"/>
    <xf numFmtId="3" fontId="33" fillId="0" borderId="103" xfId="0" applyNumberFormat="1" applyFont="1" applyFill="1" applyBorder="1"/>
    <xf numFmtId="3" fontId="33" fillId="0" borderId="104" xfId="0" applyNumberFormat="1" applyFont="1" applyFill="1" applyBorder="1"/>
    <xf numFmtId="9" fontId="33" fillId="0" borderId="89" xfId="0" applyNumberFormat="1" applyFont="1" applyFill="1" applyBorder="1"/>
    <xf numFmtId="9" fontId="33" fillId="0" borderId="90" xfId="0" applyNumberFormat="1" applyFont="1" applyFill="1" applyBorder="1"/>
    <xf numFmtId="0" fontId="33" fillId="0" borderId="107" xfId="0" applyFont="1" applyFill="1" applyBorder="1"/>
    <xf numFmtId="0" fontId="33" fillId="0" borderId="108" xfId="0" applyFont="1" applyFill="1" applyBorder="1"/>
    <xf numFmtId="3" fontId="33" fillId="0" borderId="101" xfId="0" applyNumberFormat="1" applyFont="1" applyFill="1" applyBorder="1"/>
    <xf numFmtId="3" fontId="33" fillId="0" borderId="91" xfId="0" applyNumberFormat="1" applyFont="1" applyFill="1" applyBorder="1"/>
    <xf numFmtId="3" fontId="33" fillId="0" borderId="99" xfId="0" applyNumberFormat="1" applyFont="1" applyFill="1" applyBorder="1"/>
    <xf numFmtId="0" fontId="3" fillId="2" borderId="131" xfId="79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0" fontId="3" fillId="2" borderId="133" xfId="80" applyFont="1" applyFill="1" applyBorder="1" applyAlignment="1">
      <alignment horizontal="left"/>
    </xf>
    <xf numFmtId="0" fontId="3" fillId="2" borderId="133" xfId="79" applyFont="1" applyFill="1" applyBorder="1" applyAlignment="1">
      <alignment horizontal="left"/>
    </xf>
    <xf numFmtId="0" fontId="3" fillId="2" borderId="134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5" fontId="33" fillId="0" borderId="29" xfId="0" applyNumberFormat="1" applyFont="1" applyFill="1" applyBorder="1"/>
    <xf numFmtId="166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5" xfId="0" applyFont="1" applyFill="1" applyBorder="1"/>
    <xf numFmtId="0" fontId="33" fillId="0" borderId="136" xfId="0" applyFont="1" applyFill="1" applyBorder="1"/>
    <xf numFmtId="0" fontId="33" fillId="0" borderId="136" xfId="0" applyFont="1" applyFill="1" applyBorder="1" applyAlignment="1">
      <alignment horizontal="right"/>
    </xf>
    <xf numFmtId="0" fontId="33" fillId="0" borderId="136" xfId="0" applyFont="1" applyFill="1" applyBorder="1" applyAlignment="1">
      <alignment horizontal="left"/>
    </xf>
    <xf numFmtId="165" fontId="33" fillId="0" borderId="136" xfId="0" applyNumberFormat="1" applyFont="1" applyFill="1" applyBorder="1"/>
    <xf numFmtId="166" fontId="33" fillId="0" borderId="136" xfId="0" applyNumberFormat="1" applyFont="1" applyFill="1" applyBorder="1"/>
    <xf numFmtId="9" fontId="33" fillId="0" borderId="136" xfId="0" applyNumberFormat="1" applyFont="1" applyFill="1" applyBorder="1"/>
    <xf numFmtId="9" fontId="33" fillId="0" borderId="137" xfId="0" applyNumberFormat="1" applyFont="1" applyFill="1" applyBorder="1"/>
    <xf numFmtId="0" fontId="33" fillId="0" borderId="138" xfId="0" applyFont="1" applyFill="1" applyBorder="1"/>
    <xf numFmtId="0" fontId="33" fillId="0" borderId="139" xfId="0" applyFont="1" applyFill="1" applyBorder="1"/>
    <xf numFmtId="0" fontId="33" fillId="0" borderId="139" xfId="0" applyFont="1" applyFill="1" applyBorder="1" applyAlignment="1">
      <alignment horizontal="right"/>
    </xf>
    <xf numFmtId="0" fontId="33" fillId="0" borderId="139" xfId="0" applyFont="1" applyFill="1" applyBorder="1" applyAlignment="1">
      <alignment horizontal="left"/>
    </xf>
    <xf numFmtId="165" fontId="33" fillId="0" borderId="139" xfId="0" applyNumberFormat="1" applyFont="1" applyFill="1" applyBorder="1"/>
    <xf numFmtId="166" fontId="33" fillId="0" borderId="139" xfId="0" applyNumberFormat="1" applyFont="1" applyFill="1" applyBorder="1"/>
    <xf numFmtId="9" fontId="33" fillId="0" borderId="139" xfId="0" applyNumberFormat="1" applyFont="1" applyFill="1" applyBorder="1"/>
    <xf numFmtId="9" fontId="33" fillId="0" borderId="140" xfId="0" applyNumberFormat="1" applyFont="1" applyFill="1" applyBorder="1"/>
    <xf numFmtId="0" fontId="40" fillId="2" borderId="52" xfId="0" applyFont="1" applyFill="1" applyBorder="1"/>
    <xf numFmtId="3" fontId="33" fillId="0" borderId="25" xfId="0" applyNumberFormat="1" applyFont="1" applyFill="1" applyBorder="1"/>
    <xf numFmtId="3" fontId="33" fillId="0" borderId="136" xfId="0" applyNumberFormat="1" applyFont="1" applyFill="1" applyBorder="1"/>
    <xf numFmtId="3" fontId="33" fillId="0" borderId="137" xfId="0" applyNumberFormat="1" applyFont="1" applyFill="1" applyBorder="1"/>
    <xf numFmtId="3" fontId="33" fillId="0" borderId="139" xfId="0" applyNumberFormat="1" applyFont="1" applyFill="1" applyBorder="1"/>
    <xf numFmtId="3" fontId="33" fillId="0" borderId="140" xfId="0" applyNumberFormat="1" applyFont="1" applyFill="1" applyBorder="1"/>
    <xf numFmtId="3" fontId="33" fillId="0" borderId="142" xfId="0" applyNumberFormat="1" applyFont="1" applyFill="1" applyBorder="1"/>
    <xf numFmtId="9" fontId="33" fillId="0" borderId="142" xfId="0" applyNumberFormat="1" applyFont="1" applyFill="1" applyBorder="1"/>
    <xf numFmtId="3" fontId="33" fillId="0" borderId="143" xfId="0" applyNumberFormat="1" applyFont="1" applyFill="1" applyBorder="1"/>
    <xf numFmtId="0" fontId="40" fillId="0" borderId="24" xfId="0" applyFont="1" applyFill="1" applyBorder="1"/>
    <xf numFmtId="0" fontId="40" fillId="0" borderId="135" xfId="0" applyFont="1" applyFill="1" applyBorder="1"/>
    <xf numFmtId="0" fontId="40" fillId="0" borderId="141" xfId="0" applyFont="1" applyFill="1" applyBorder="1"/>
    <xf numFmtId="0" fontId="40" fillId="2" borderId="54" xfId="0" applyFont="1" applyFill="1" applyBorder="1"/>
    <xf numFmtId="165" fontId="32" fillId="2" borderId="52" xfId="53" applyNumberFormat="1" applyFont="1" applyFill="1" applyBorder="1" applyAlignment="1">
      <alignment horizontal="left"/>
    </xf>
    <xf numFmtId="165" fontId="32" fillId="2" borderId="54" xfId="53" applyNumberFormat="1" applyFont="1" applyFill="1" applyBorder="1" applyAlignment="1">
      <alignment horizontal="left"/>
    </xf>
    <xf numFmtId="165" fontId="33" fillId="0" borderId="29" xfId="0" applyNumberFormat="1" applyFont="1" applyFill="1" applyBorder="1" applyAlignment="1">
      <alignment horizontal="right"/>
    </xf>
    <xf numFmtId="165" fontId="33" fillId="0" borderId="136" xfId="0" applyNumberFormat="1" applyFont="1" applyFill="1" applyBorder="1" applyAlignment="1">
      <alignment horizontal="right"/>
    </xf>
    <xf numFmtId="165" fontId="33" fillId="0" borderId="139" xfId="0" applyNumberFormat="1" applyFont="1" applyFill="1" applyBorder="1" applyAlignment="1">
      <alignment horizontal="right"/>
    </xf>
    <xf numFmtId="174" fontId="40" fillId="4" borderId="147" xfId="0" applyNumberFormat="1" applyFont="1" applyFill="1" applyBorder="1" applyAlignment="1">
      <alignment horizontal="center"/>
    </xf>
    <xf numFmtId="174" fontId="40" fillId="4" borderId="148" xfId="0" applyNumberFormat="1" applyFont="1" applyFill="1" applyBorder="1" applyAlignment="1">
      <alignment horizontal="center"/>
    </xf>
    <xf numFmtId="174" fontId="33" fillId="0" borderId="149" xfId="0" applyNumberFormat="1" applyFont="1" applyBorder="1" applyAlignment="1">
      <alignment horizontal="right"/>
    </xf>
    <xf numFmtId="174" fontId="33" fillId="0" borderId="150" xfId="0" applyNumberFormat="1" applyFont="1" applyBorder="1" applyAlignment="1">
      <alignment horizontal="right"/>
    </xf>
    <xf numFmtId="174" fontId="33" fillId="0" borderId="150" xfId="0" applyNumberFormat="1" applyFont="1" applyBorder="1" applyAlignment="1">
      <alignment horizontal="right" wrapText="1"/>
    </xf>
    <xf numFmtId="176" fontId="33" fillId="0" borderId="149" xfId="0" applyNumberFormat="1" applyFont="1" applyBorder="1" applyAlignment="1">
      <alignment horizontal="right"/>
    </xf>
    <xf numFmtId="176" fontId="33" fillId="0" borderId="150" xfId="0" applyNumberFormat="1" applyFont="1" applyBorder="1" applyAlignment="1">
      <alignment horizontal="right"/>
    </xf>
    <xf numFmtId="174" fontId="33" fillId="0" borderId="151" xfId="0" applyNumberFormat="1" applyFont="1" applyBorder="1" applyAlignment="1">
      <alignment horizontal="right"/>
    </xf>
    <xf numFmtId="174" fontId="33" fillId="0" borderId="152" xfId="0" applyNumberFormat="1" applyFont="1" applyBorder="1" applyAlignment="1">
      <alignment horizontal="right"/>
    </xf>
    <xf numFmtId="0" fontId="40" fillId="2" borderId="57" xfId="0" applyFont="1" applyFill="1" applyBorder="1" applyAlignment="1">
      <alignment horizontal="center" vertical="center"/>
    </xf>
    <xf numFmtId="0" fontId="55" fillId="2" borderId="146" xfId="0" applyFont="1" applyFill="1" applyBorder="1" applyAlignment="1">
      <alignment horizontal="center" vertical="center" wrapText="1"/>
    </xf>
    <xf numFmtId="175" fontId="33" fillId="2" borderId="57" xfId="0" applyNumberFormat="1" applyFont="1" applyFill="1" applyBorder="1" applyAlignment="1"/>
    <xf numFmtId="175" fontId="33" fillId="0" borderId="145" xfId="0" applyNumberFormat="1" applyFont="1" applyBorder="1"/>
    <xf numFmtId="175" fontId="33" fillId="0" borderId="153" xfId="0" applyNumberFormat="1" applyFont="1" applyBorder="1"/>
    <xf numFmtId="174" fontId="40" fillId="4" borderId="57" xfId="0" applyNumberFormat="1" applyFont="1" applyFill="1" applyBorder="1" applyAlignment="1"/>
    <xf numFmtId="174" fontId="33" fillId="0" borderId="145" xfId="0" applyNumberFormat="1" applyFont="1" applyBorder="1"/>
    <xf numFmtId="174" fontId="33" fillId="0" borderId="146" xfId="0" applyNumberFormat="1" applyFont="1" applyBorder="1"/>
    <xf numFmtId="174" fontId="40" fillId="2" borderId="57" xfId="0" applyNumberFormat="1" applyFont="1" applyFill="1" applyBorder="1" applyAlignment="1"/>
    <xf numFmtId="174" fontId="33" fillId="0" borderId="153" xfId="0" applyNumberFormat="1" applyFont="1" applyBorder="1"/>
    <xf numFmtId="174" fontId="33" fillId="0" borderId="57" xfId="0" applyNumberFormat="1" applyFont="1" applyBorder="1"/>
    <xf numFmtId="9" fontId="33" fillId="0" borderId="145" xfId="0" applyNumberFormat="1" applyFont="1" applyBorder="1"/>
    <xf numFmtId="174" fontId="40" fillId="4" borderId="154" xfId="0" applyNumberFormat="1" applyFont="1" applyFill="1" applyBorder="1" applyAlignment="1">
      <alignment horizontal="center"/>
    </xf>
    <xf numFmtId="174" fontId="33" fillId="0" borderId="155" xfId="0" applyNumberFormat="1" applyFont="1" applyBorder="1" applyAlignment="1">
      <alignment horizontal="right"/>
    </xf>
    <xf numFmtId="176" fontId="33" fillId="0" borderId="155" xfId="0" applyNumberFormat="1" applyFont="1" applyBorder="1" applyAlignment="1">
      <alignment horizontal="right"/>
    </xf>
    <xf numFmtId="174" fontId="33" fillId="0" borderId="156" xfId="0" applyNumberFormat="1" applyFont="1" applyBorder="1" applyAlignment="1">
      <alignment horizontal="right"/>
    </xf>
    <xf numFmtId="0" fontId="0" fillId="0" borderId="15" xfId="0" applyBorder="1"/>
    <xf numFmtId="174" fontId="40" fillId="4" borderId="33" xfId="0" applyNumberFormat="1" applyFont="1" applyFill="1" applyBorder="1" applyAlignment="1">
      <alignment horizontal="center"/>
    </xf>
    <xf numFmtId="174" fontId="33" fillId="0" borderId="157" xfId="0" applyNumberFormat="1" applyFont="1" applyBorder="1" applyAlignment="1">
      <alignment horizontal="right"/>
    </xf>
    <xf numFmtId="176" fontId="33" fillId="0" borderId="157" xfId="0" applyNumberFormat="1" applyFont="1" applyBorder="1" applyAlignment="1">
      <alignment horizontal="right"/>
    </xf>
    <xf numFmtId="174" fontId="33" fillId="0" borderId="144" xfId="0" applyNumberFormat="1" applyFont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70" fontId="33" fillId="0" borderId="29" xfId="0" applyNumberFormat="1" applyFont="1" applyFill="1" applyBorder="1"/>
    <xf numFmtId="170" fontId="33" fillId="0" borderId="136" xfId="0" applyNumberFormat="1" applyFont="1" applyFill="1" applyBorder="1"/>
    <xf numFmtId="170" fontId="33" fillId="0" borderId="139" xfId="0" applyNumberFormat="1" applyFont="1" applyFill="1" applyBorder="1"/>
    <xf numFmtId="0" fontId="40" fillId="0" borderId="138" xfId="0" applyFont="1" applyFill="1" applyBorder="1"/>
    <xf numFmtId="0" fontId="59" fillId="0" borderId="0" xfId="0" applyFont="1" applyFill="1"/>
    <xf numFmtId="0" fontId="60" fillId="0" borderId="0" xfId="0" applyFont="1" applyFill="1"/>
    <xf numFmtId="0" fontId="32" fillId="2" borderId="16" xfId="26" applyNumberFormat="1" applyFont="1" applyFill="1" applyBorder="1"/>
    <xf numFmtId="170" fontId="33" fillId="0" borderId="25" xfId="0" applyNumberFormat="1" applyFont="1" applyFill="1" applyBorder="1"/>
    <xf numFmtId="170" fontId="33" fillId="0" borderId="137" xfId="0" applyNumberFormat="1" applyFont="1" applyFill="1" applyBorder="1"/>
    <xf numFmtId="170" fontId="33" fillId="0" borderId="140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8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0.45544780501348031</c:v>
                </c:pt>
                <c:pt idx="1">
                  <c:v>0.43604974901892196</c:v>
                </c:pt>
                <c:pt idx="2">
                  <c:v>0.41797971420677321</c:v>
                </c:pt>
                <c:pt idx="3">
                  <c:v>0.41615853606500552</c:v>
                </c:pt>
                <c:pt idx="4">
                  <c:v>0.41934207057598377</c:v>
                </c:pt>
                <c:pt idx="5">
                  <c:v>0.42489922696494581</c:v>
                </c:pt>
                <c:pt idx="6">
                  <c:v>0.37836849006530088</c:v>
                </c:pt>
                <c:pt idx="7">
                  <c:v>0.36750954514327799</c:v>
                </c:pt>
                <c:pt idx="8">
                  <c:v>0.36514902621308087</c:v>
                </c:pt>
                <c:pt idx="9">
                  <c:v>0.35945188564941588</c:v>
                </c:pt>
                <c:pt idx="10">
                  <c:v>0.3526649096588943</c:v>
                </c:pt>
                <c:pt idx="11">
                  <c:v>0.34529880028975457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6917120"/>
        <c:axId val="120772236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0.2784877717415935</c:v>
                </c:pt>
                <c:pt idx="1">
                  <c:v>0.2784877717415935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7723904"/>
        <c:axId val="1214660992"/>
      </c:scatterChart>
      <c:catAx>
        <c:axId val="1176917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07722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77223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76917120"/>
        <c:crosses val="autoZero"/>
        <c:crossBetween val="between"/>
      </c:valAx>
      <c:valAx>
        <c:axId val="120772390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14660992"/>
        <c:crosses val="max"/>
        <c:crossBetween val="midCat"/>
      </c:valAx>
      <c:valAx>
        <c:axId val="12146609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20772390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0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25" t="s">
        <v>109</v>
      </c>
      <c r="B1" s="325"/>
    </row>
    <row r="2" spans="1:3" ht="14.4" customHeight="1" thickBot="1" x14ac:dyDescent="0.35">
      <c r="A2" s="235" t="s">
        <v>281</v>
      </c>
      <c r="B2" s="46"/>
    </row>
    <row r="3" spans="1:3" ht="14.4" customHeight="1" thickBot="1" x14ac:dyDescent="0.35">
      <c r="A3" s="321" t="s">
        <v>142</v>
      </c>
      <c r="B3" s="322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122</v>
      </c>
      <c r="C4" s="47" t="s">
        <v>123</v>
      </c>
    </row>
    <row r="5" spans="1:3" ht="14.4" customHeight="1" x14ac:dyDescent="0.3">
      <c r="A5" s="146" t="str">
        <f t="shared" si="0"/>
        <v>HI</v>
      </c>
      <c r="B5" s="89" t="s">
        <v>138</v>
      </c>
      <c r="C5" s="47" t="s">
        <v>112</v>
      </c>
    </row>
    <row r="6" spans="1:3" ht="14.4" customHeight="1" x14ac:dyDescent="0.3">
      <c r="A6" s="147" t="str">
        <f t="shared" si="0"/>
        <v>HI Graf</v>
      </c>
      <c r="B6" s="90" t="s">
        <v>105</v>
      </c>
      <c r="C6" s="47" t="s">
        <v>113</v>
      </c>
    </row>
    <row r="7" spans="1:3" ht="14.4" customHeight="1" x14ac:dyDescent="0.3">
      <c r="A7" s="147" t="str">
        <f t="shared" si="0"/>
        <v>Man Tab</v>
      </c>
      <c r="B7" s="90" t="s">
        <v>283</v>
      </c>
      <c r="C7" s="47" t="s">
        <v>114</v>
      </c>
    </row>
    <row r="8" spans="1:3" ht="14.4" customHeight="1" thickBot="1" x14ac:dyDescent="0.35">
      <c r="A8" s="148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3" t="s">
        <v>110</v>
      </c>
      <c r="B10" s="322"/>
    </row>
    <row r="11" spans="1:3" ht="14.4" customHeight="1" x14ac:dyDescent="0.3">
      <c r="A11" s="149" t="str">
        <f t="shared" ref="A11" si="1">HYPERLINK("#'"&amp;C11&amp;"'!A1",C11)</f>
        <v>Léky Žádanky</v>
      </c>
      <c r="B11" s="89" t="s">
        <v>139</v>
      </c>
      <c r="C11" s="47" t="s">
        <v>115</v>
      </c>
    </row>
    <row r="12" spans="1:3" ht="14.4" customHeight="1" x14ac:dyDescent="0.3">
      <c r="A12" s="147" t="str">
        <f t="shared" ref="A12:A23" si="2">HYPERLINK("#'"&amp;C12&amp;"'!A1",C12)</f>
        <v>LŽ Detail</v>
      </c>
      <c r="B12" s="90" t="s">
        <v>166</v>
      </c>
      <c r="C12" s="47" t="s">
        <v>116</v>
      </c>
    </row>
    <row r="13" spans="1:3" ht="28.8" customHeight="1" x14ac:dyDescent="0.3">
      <c r="A13" s="147" t="str">
        <f t="shared" si="2"/>
        <v>LŽ PL</v>
      </c>
      <c r="B13" s="491" t="s">
        <v>167</v>
      </c>
      <c r="C13" s="47" t="s">
        <v>146</v>
      </c>
    </row>
    <row r="14" spans="1:3" ht="14.4" customHeight="1" x14ac:dyDescent="0.3">
      <c r="A14" s="147" t="str">
        <f t="shared" si="2"/>
        <v>LŽ PL Detail</v>
      </c>
      <c r="B14" s="90" t="s">
        <v>507</v>
      </c>
      <c r="C14" s="47" t="s">
        <v>148</v>
      </c>
    </row>
    <row r="15" spans="1:3" ht="14.4" customHeight="1" x14ac:dyDescent="0.3">
      <c r="A15" s="147" t="str">
        <f t="shared" si="2"/>
        <v>LŽ Statim</v>
      </c>
      <c r="B15" s="309" t="s">
        <v>267</v>
      </c>
      <c r="C15" s="47" t="s">
        <v>277</v>
      </c>
    </row>
    <row r="16" spans="1:3" ht="14.4" customHeight="1" x14ac:dyDescent="0.3">
      <c r="A16" s="147" t="str">
        <f t="shared" si="2"/>
        <v>Léky Recepty</v>
      </c>
      <c r="B16" s="90" t="s">
        <v>140</v>
      </c>
      <c r="C16" s="47" t="s">
        <v>117</v>
      </c>
    </row>
    <row r="17" spans="1:3" ht="14.4" customHeight="1" x14ac:dyDescent="0.3">
      <c r="A17" s="147" t="str">
        <f t="shared" si="2"/>
        <v>LRp Lékaři</v>
      </c>
      <c r="B17" s="90" t="s">
        <v>151</v>
      </c>
      <c r="C17" s="47" t="s">
        <v>152</v>
      </c>
    </row>
    <row r="18" spans="1:3" ht="14.4" customHeight="1" x14ac:dyDescent="0.3">
      <c r="A18" s="147" t="str">
        <f t="shared" si="2"/>
        <v>LRp Detail</v>
      </c>
      <c r="B18" s="90" t="s">
        <v>1087</v>
      </c>
      <c r="C18" s="47" t="s">
        <v>118</v>
      </c>
    </row>
    <row r="19" spans="1:3" ht="28.8" customHeight="1" x14ac:dyDescent="0.3">
      <c r="A19" s="147" t="str">
        <f t="shared" si="2"/>
        <v>LRp PL</v>
      </c>
      <c r="B19" s="491" t="s">
        <v>1088</v>
      </c>
      <c r="C19" s="47" t="s">
        <v>147</v>
      </c>
    </row>
    <row r="20" spans="1:3" ht="14.4" customHeight="1" x14ac:dyDescent="0.3">
      <c r="A20" s="147" t="str">
        <f>HYPERLINK("#'"&amp;C20&amp;"'!A1",C20)</f>
        <v>LRp PL Detail</v>
      </c>
      <c r="B20" s="90" t="s">
        <v>1147</v>
      </c>
      <c r="C20" s="47" t="s">
        <v>149</v>
      </c>
    </row>
    <row r="21" spans="1:3" ht="14.4" customHeight="1" x14ac:dyDescent="0.3">
      <c r="A21" s="149" t="str">
        <f t="shared" ref="A21" si="3">HYPERLINK("#'"&amp;C21&amp;"'!A1",C21)</f>
        <v>Materiál Žádanky</v>
      </c>
      <c r="B21" s="90" t="s">
        <v>141</v>
      </c>
      <c r="C21" s="47" t="s">
        <v>119</v>
      </c>
    </row>
    <row r="22" spans="1:3" ht="14.4" customHeight="1" x14ac:dyDescent="0.3">
      <c r="A22" s="147" t="str">
        <f t="shared" si="2"/>
        <v>MŽ Detail</v>
      </c>
      <c r="B22" s="90" t="s">
        <v>1243</v>
      </c>
      <c r="C22" s="47" t="s">
        <v>120</v>
      </c>
    </row>
    <row r="23" spans="1:3" ht="14.4" customHeight="1" thickBot="1" x14ac:dyDescent="0.35">
      <c r="A23" s="149" t="str">
        <f t="shared" si="2"/>
        <v>Osobní náklady</v>
      </c>
      <c r="B23" s="90" t="s">
        <v>107</v>
      </c>
      <c r="C23" s="47" t="s">
        <v>121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4" t="s">
        <v>111</v>
      </c>
      <c r="B25" s="322"/>
    </row>
    <row r="26" spans="1:3" ht="14.4" customHeight="1" x14ac:dyDescent="0.3">
      <c r="A26" s="150" t="str">
        <f t="shared" ref="A26:A30" si="4">HYPERLINK("#'"&amp;C26&amp;"'!A1",C26)</f>
        <v>ZV Vykáz.-A</v>
      </c>
      <c r="B26" s="89" t="s">
        <v>1254</v>
      </c>
      <c r="C26" s="47" t="s">
        <v>124</v>
      </c>
    </row>
    <row r="27" spans="1:3" ht="14.4" customHeight="1" x14ac:dyDescent="0.3">
      <c r="A27" s="147" t="str">
        <f t="shared" ref="A27" si="5">HYPERLINK("#'"&amp;C27&amp;"'!A1",C27)</f>
        <v>ZV Vykáz.-A Lékaři</v>
      </c>
      <c r="B27" s="90" t="s">
        <v>1258</v>
      </c>
      <c r="C27" s="47" t="s">
        <v>280</v>
      </c>
    </row>
    <row r="28" spans="1:3" ht="14.4" customHeight="1" x14ac:dyDescent="0.3">
      <c r="A28" s="147" t="str">
        <f t="shared" si="4"/>
        <v>ZV Vykáz.-A Detail</v>
      </c>
      <c r="B28" s="90" t="s">
        <v>1365</v>
      </c>
      <c r="C28" s="47" t="s">
        <v>125</v>
      </c>
    </row>
    <row r="29" spans="1:3" ht="14.4" customHeight="1" x14ac:dyDescent="0.3">
      <c r="A29" s="147" t="str">
        <f t="shared" si="4"/>
        <v>ZV Vykáz.-H</v>
      </c>
      <c r="B29" s="90" t="s">
        <v>128</v>
      </c>
      <c r="C29" s="47" t="s">
        <v>126</v>
      </c>
    </row>
    <row r="30" spans="1:3" ht="14.4" customHeight="1" x14ac:dyDescent="0.3">
      <c r="A30" s="147" t="str">
        <f t="shared" si="4"/>
        <v>ZV Vykáz.-H Detail</v>
      </c>
      <c r="B30" s="90" t="s">
        <v>1382</v>
      </c>
      <c r="C30" s="47" t="s">
        <v>127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30" bestFit="1" customWidth="1"/>
    <col min="2" max="2" width="8.88671875" style="130" bestFit="1" customWidth="1"/>
    <col min="3" max="3" width="7" style="130" bestFit="1" customWidth="1"/>
    <col min="4" max="4" width="53.44140625" style="130" bestFit="1" customWidth="1"/>
    <col min="5" max="5" width="28.44140625" style="130" bestFit="1" customWidth="1"/>
    <col min="6" max="6" width="6.6640625" style="208" customWidth="1"/>
    <col min="7" max="7" width="10" style="208" customWidth="1"/>
    <col min="8" max="8" width="6.77734375" style="211" bestFit="1" customWidth="1"/>
    <col min="9" max="9" width="6.6640625" style="208" customWidth="1"/>
    <col min="10" max="10" width="10" style="208" customWidth="1"/>
    <col min="11" max="11" width="6.77734375" style="211" bestFit="1" customWidth="1"/>
    <col min="12" max="12" width="6.6640625" style="208" customWidth="1"/>
    <col min="13" max="13" width="10" style="208" customWidth="1"/>
    <col min="14" max="16384" width="8.88671875" style="130"/>
  </cols>
  <sheetData>
    <row r="1" spans="1:13" ht="18.600000000000001" customHeight="1" thickBot="1" x14ac:dyDescent="0.4">
      <c r="A1" s="363" t="s">
        <v>507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5" t="s">
        <v>281</v>
      </c>
      <c r="B2" s="207"/>
      <c r="C2" s="207"/>
      <c r="D2" s="207"/>
      <c r="E2" s="207"/>
      <c r="F2" s="215"/>
      <c r="G2" s="215"/>
      <c r="H2" s="216"/>
      <c r="I2" s="215"/>
      <c r="J2" s="215"/>
      <c r="K2" s="216"/>
      <c r="L2" s="215"/>
    </row>
    <row r="3" spans="1:13" ht="14.4" customHeight="1" thickBot="1" x14ac:dyDescent="0.35">
      <c r="E3" s="79" t="s">
        <v>129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</v>
      </c>
      <c r="J3" s="43">
        <f>SUBTOTAL(9,J6:J1048576)</f>
        <v>52.810000000000016</v>
      </c>
      <c r="K3" s="44">
        <f>IF(M3=0,0,J3/M3)</f>
        <v>1</v>
      </c>
      <c r="L3" s="43">
        <f>SUBTOTAL(9,L6:L1048576)</f>
        <v>1</v>
      </c>
      <c r="M3" s="45">
        <f>SUBTOTAL(9,M6:M1048576)</f>
        <v>52.810000000000016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131</v>
      </c>
      <c r="G4" s="368"/>
      <c r="H4" s="369"/>
      <c r="I4" s="370" t="s">
        <v>130</v>
      </c>
      <c r="J4" s="368"/>
      <c r="K4" s="369"/>
      <c r="L4" s="371" t="s">
        <v>3</v>
      </c>
      <c r="M4" s="372"/>
    </row>
    <row r="5" spans="1:13" ht="14.4" customHeight="1" thickBot="1" x14ac:dyDescent="0.35">
      <c r="A5" s="476" t="s">
        <v>132</v>
      </c>
      <c r="B5" s="492" t="s">
        <v>133</v>
      </c>
      <c r="C5" s="492" t="s">
        <v>71</v>
      </c>
      <c r="D5" s="492" t="s">
        <v>134</v>
      </c>
      <c r="E5" s="492" t="s">
        <v>135</v>
      </c>
      <c r="F5" s="493" t="s">
        <v>28</v>
      </c>
      <c r="G5" s="493" t="s">
        <v>14</v>
      </c>
      <c r="H5" s="478" t="s">
        <v>136</v>
      </c>
      <c r="I5" s="477" t="s">
        <v>28</v>
      </c>
      <c r="J5" s="493" t="s">
        <v>14</v>
      </c>
      <c r="K5" s="478" t="s">
        <v>136</v>
      </c>
      <c r="L5" s="477" t="s">
        <v>28</v>
      </c>
      <c r="M5" s="494" t="s">
        <v>14</v>
      </c>
    </row>
    <row r="6" spans="1:13" ht="14.4" customHeight="1" thickBot="1" x14ac:dyDescent="0.35">
      <c r="A6" s="483" t="s">
        <v>458</v>
      </c>
      <c r="B6" s="496" t="s">
        <v>505</v>
      </c>
      <c r="C6" s="496" t="s">
        <v>497</v>
      </c>
      <c r="D6" s="496" t="s">
        <v>498</v>
      </c>
      <c r="E6" s="496" t="s">
        <v>506</v>
      </c>
      <c r="F6" s="484"/>
      <c r="G6" s="484"/>
      <c r="H6" s="303">
        <v>0</v>
      </c>
      <c r="I6" s="484">
        <v>1</v>
      </c>
      <c r="J6" s="484">
        <v>52.810000000000016</v>
      </c>
      <c r="K6" s="303">
        <v>1</v>
      </c>
      <c r="L6" s="484">
        <v>1</v>
      </c>
      <c r="M6" s="485">
        <v>52.810000000000016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13" customWidth="1"/>
    <col min="2" max="2" width="5.44140625" style="208" bestFit="1" customWidth="1"/>
    <col min="3" max="3" width="6.109375" style="208" bestFit="1" customWidth="1"/>
    <col min="4" max="4" width="7.44140625" style="208" bestFit="1" customWidth="1"/>
    <col min="5" max="5" width="6.21875" style="208" bestFit="1" customWidth="1"/>
    <col min="6" max="6" width="6.33203125" style="211" bestFit="1" customWidth="1"/>
    <col min="7" max="7" width="6.109375" style="211" bestFit="1" customWidth="1"/>
    <col min="8" max="8" width="7.44140625" style="211" bestFit="1" customWidth="1"/>
    <col min="9" max="9" width="6.21875" style="211" bestFit="1" customWidth="1"/>
    <col min="10" max="10" width="5.44140625" style="208" bestFit="1" customWidth="1"/>
    <col min="11" max="11" width="6.109375" style="208" bestFit="1" customWidth="1"/>
    <col min="12" max="12" width="7.44140625" style="208" bestFit="1" customWidth="1"/>
    <col min="13" max="13" width="6.21875" style="208" bestFit="1" customWidth="1"/>
    <col min="14" max="14" width="5.33203125" style="211" bestFit="1" customWidth="1"/>
    <col min="15" max="15" width="6.109375" style="211" bestFit="1" customWidth="1"/>
    <col min="16" max="16" width="7.44140625" style="211" bestFit="1" customWidth="1"/>
    <col min="17" max="17" width="6.21875" style="211" bestFit="1" customWidth="1"/>
    <col min="18" max="16384" width="8.88671875" style="130"/>
  </cols>
  <sheetData>
    <row r="1" spans="1:17" ht="18.600000000000001" customHeight="1" thickBot="1" x14ac:dyDescent="0.4">
      <c r="A1" s="363" t="s">
        <v>267</v>
      </c>
      <c r="B1" s="363"/>
      <c r="C1" s="363"/>
      <c r="D1" s="363"/>
      <c r="E1" s="363"/>
      <c r="F1" s="326"/>
      <c r="G1" s="326"/>
      <c r="H1" s="326"/>
      <c r="I1" s="326"/>
      <c r="J1" s="356"/>
      <c r="K1" s="356"/>
      <c r="L1" s="356"/>
      <c r="M1" s="356"/>
      <c r="N1" s="356"/>
      <c r="O1" s="356"/>
      <c r="P1" s="356"/>
      <c r="Q1" s="356"/>
    </row>
    <row r="2" spans="1:17" ht="14.4" customHeight="1" thickBot="1" x14ac:dyDescent="0.35">
      <c r="A2" s="235" t="s">
        <v>281</v>
      </c>
      <c r="B2" s="215"/>
      <c r="C2" s="215"/>
      <c r="D2" s="215"/>
      <c r="E2" s="215"/>
    </row>
    <row r="3" spans="1:17" ht="14.4" customHeight="1" thickBot="1" x14ac:dyDescent="0.35">
      <c r="A3" s="302" t="s">
        <v>3</v>
      </c>
      <c r="B3" s="306">
        <f>SUM(B6:B1048576)</f>
        <v>24</v>
      </c>
      <c r="C3" s="307">
        <f>SUM(C6:C1048576)</f>
        <v>0</v>
      </c>
      <c r="D3" s="307">
        <f>SUM(D6:D1048576)</f>
        <v>0</v>
      </c>
      <c r="E3" s="308">
        <f>SUM(E6:E1048576)</f>
        <v>0</v>
      </c>
      <c r="F3" s="305">
        <f>IF(SUM($B3:$E3)=0,"",B3/SUM($B3:$E3))</f>
        <v>1</v>
      </c>
      <c r="G3" s="303">
        <f t="shared" ref="G3:I3" si="0">IF(SUM($B3:$E3)=0,"",C3/SUM($B3:$E3))</f>
        <v>0</v>
      </c>
      <c r="H3" s="303">
        <f t="shared" si="0"/>
        <v>0</v>
      </c>
      <c r="I3" s="304">
        <f t="shared" si="0"/>
        <v>0</v>
      </c>
      <c r="J3" s="307">
        <f>SUM(J6:J1048576)</f>
        <v>14</v>
      </c>
      <c r="K3" s="307">
        <f>SUM(K6:K1048576)</f>
        <v>0</v>
      </c>
      <c r="L3" s="307">
        <f>SUM(L6:L1048576)</f>
        <v>0</v>
      </c>
      <c r="M3" s="308">
        <f>SUM(M6:M1048576)</f>
        <v>0</v>
      </c>
      <c r="N3" s="305">
        <f>IF(SUM($J3:$M3)=0,"",J3/SUM($J3:$M3))</f>
        <v>1</v>
      </c>
      <c r="O3" s="303">
        <f t="shared" ref="O3:Q3" si="1">IF(SUM($J3:$M3)=0,"",K3/SUM($J3:$M3))</f>
        <v>0</v>
      </c>
      <c r="P3" s="303">
        <f t="shared" si="1"/>
        <v>0</v>
      </c>
      <c r="Q3" s="304">
        <f t="shared" si="1"/>
        <v>0</v>
      </c>
    </row>
    <row r="4" spans="1:17" ht="14.4" customHeight="1" thickBot="1" x14ac:dyDescent="0.35">
      <c r="A4" s="301"/>
      <c r="B4" s="376" t="s">
        <v>269</v>
      </c>
      <c r="C4" s="377"/>
      <c r="D4" s="377"/>
      <c r="E4" s="378"/>
      <c r="F4" s="373" t="s">
        <v>274</v>
      </c>
      <c r="G4" s="374"/>
      <c r="H4" s="374"/>
      <c r="I4" s="375"/>
      <c r="J4" s="376" t="s">
        <v>275</v>
      </c>
      <c r="K4" s="377"/>
      <c r="L4" s="377"/>
      <c r="M4" s="378"/>
      <c r="N4" s="373" t="s">
        <v>276</v>
      </c>
      <c r="O4" s="374"/>
      <c r="P4" s="374"/>
      <c r="Q4" s="375"/>
    </row>
    <row r="5" spans="1:17" ht="14.4" customHeight="1" thickBot="1" x14ac:dyDescent="0.35">
      <c r="A5" s="497" t="s">
        <v>268</v>
      </c>
      <c r="B5" s="498" t="s">
        <v>270</v>
      </c>
      <c r="C5" s="498" t="s">
        <v>271</v>
      </c>
      <c r="D5" s="498" t="s">
        <v>272</v>
      </c>
      <c r="E5" s="499" t="s">
        <v>273</v>
      </c>
      <c r="F5" s="500" t="s">
        <v>270</v>
      </c>
      <c r="G5" s="501" t="s">
        <v>271</v>
      </c>
      <c r="H5" s="501" t="s">
        <v>272</v>
      </c>
      <c r="I5" s="502" t="s">
        <v>273</v>
      </c>
      <c r="J5" s="498" t="s">
        <v>270</v>
      </c>
      <c r="K5" s="498" t="s">
        <v>271</v>
      </c>
      <c r="L5" s="498" t="s">
        <v>272</v>
      </c>
      <c r="M5" s="499" t="s">
        <v>273</v>
      </c>
      <c r="N5" s="500" t="s">
        <v>270</v>
      </c>
      <c r="O5" s="501" t="s">
        <v>271</v>
      </c>
      <c r="P5" s="501" t="s">
        <v>272</v>
      </c>
      <c r="Q5" s="502" t="s">
        <v>273</v>
      </c>
    </row>
    <row r="6" spans="1:17" ht="14.4" customHeight="1" x14ac:dyDescent="0.3">
      <c r="A6" s="505" t="s">
        <v>508</v>
      </c>
      <c r="B6" s="509"/>
      <c r="C6" s="462"/>
      <c r="D6" s="462"/>
      <c r="E6" s="463"/>
      <c r="F6" s="507"/>
      <c r="G6" s="481"/>
      <c r="H6" s="481"/>
      <c r="I6" s="511"/>
      <c r="J6" s="509"/>
      <c r="K6" s="462"/>
      <c r="L6" s="462"/>
      <c r="M6" s="463"/>
      <c r="N6" s="507"/>
      <c r="O6" s="481"/>
      <c r="P6" s="481"/>
      <c r="Q6" s="503"/>
    </row>
    <row r="7" spans="1:17" ht="14.4" customHeight="1" thickBot="1" x14ac:dyDescent="0.35">
      <c r="A7" s="506" t="s">
        <v>509</v>
      </c>
      <c r="B7" s="510">
        <v>24</v>
      </c>
      <c r="C7" s="474"/>
      <c r="D7" s="474"/>
      <c r="E7" s="475"/>
      <c r="F7" s="508">
        <v>1</v>
      </c>
      <c r="G7" s="482">
        <v>0</v>
      </c>
      <c r="H7" s="482">
        <v>0</v>
      </c>
      <c r="I7" s="512">
        <v>0</v>
      </c>
      <c r="J7" s="510">
        <v>14</v>
      </c>
      <c r="K7" s="474"/>
      <c r="L7" s="474"/>
      <c r="M7" s="475"/>
      <c r="N7" s="508">
        <v>1</v>
      </c>
      <c r="O7" s="482">
        <v>0</v>
      </c>
      <c r="P7" s="482">
        <v>0</v>
      </c>
      <c r="Q7" s="504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63" t="s">
        <v>140</v>
      </c>
      <c r="B1" s="363"/>
      <c r="C1" s="363"/>
      <c r="D1" s="363"/>
      <c r="E1" s="363"/>
      <c r="F1" s="363"/>
      <c r="G1" s="363"/>
      <c r="H1" s="363"/>
      <c r="I1" s="326"/>
      <c r="J1" s="326"/>
      <c r="K1" s="326"/>
      <c r="L1" s="326"/>
    </row>
    <row r="2" spans="1:14" ht="14.4" customHeight="1" thickBot="1" x14ac:dyDescent="0.35">
      <c r="A2" s="235" t="s">
        <v>281</v>
      </c>
      <c r="B2" s="207"/>
      <c r="C2" s="207"/>
      <c r="D2" s="207"/>
      <c r="E2" s="207"/>
      <c r="F2" s="207"/>
      <c r="G2" s="207"/>
      <c r="H2" s="207"/>
    </row>
    <row r="3" spans="1:14" ht="14.4" customHeight="1" thickBot="1" x14ac:dyDescent="0.35">
      <c r="A3" s="144"/>
      <c r="B3" s="144"/>
      <c r="C3" s="380" t="s">
        <v>15</v>
      </c>
      <c r="D3" s="379"/>
      <c r="E3" s="379" t="s">
        <v>16</v>
      </c>
      <c r="F3" s="379"/>
      <c r="G3" s="379"/>
      <c r="H3" s="379"/>
      <c r="I3" s="379" t="s">
        <v>150</v>
      </c>
      <c r="J3" s="379"/>
      <c r="K3" s="379"/>
      <c r="L3" s="381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46">
        <v>27</v>
      </c>
      <c r="B5" s="447" t="s">
        <v>500</v>
      </c>
      <c r="C5" s="450">
        <v>71135.359999999986</v>
      </c>
      <c r="D5" s="450">
        <v>297</v>
      </c>
      <c r="E5" s="450">
        <v>28109.749999999985</v>
      </c>
      <c r="F5" s="513">
        <v>0.39515861028889138</v>
      </c>
      <c r="G5" s="450">
        <v>131</v>
      </c>
      <c r="H5" s="513">
        <v>0.44107744107744107</v>
      </c>
      <c r="I5" s="450">
        <v>43025.61</v>
      </c>
      <c r="J5" s="513">
        <v>0.60484138971110868</v>
      </c>
      <c r="K5" s="450">
        <v>166</v>
      </c>
      <c r="L5" s="513">
        <v>0.55892255892255893</v>
      </c>
      <c r="M5" s="450" t="s">
        <v>69</v>
      </c>
      <c r="N5" s="151"/>
    </row>
    <row r="6" spans="1:14" ht="14.4" customHeight="1" x14ac:dyDescent="0.3">
      <c r="A6" s="446">
        <v>27</v>
      </c>
      <c r="B6" s="447" t="s">
        <v>510</v>
      </c>
      <c r="C6" s="450">
        <v>71135.359999999986</v>
      </c>
      <c r="D6" s="450">
        <v>297</v>
      </c>
      <c r="E6" s="450">
        <v>28109.749999999985</v>
      </c>
      <c r="F6" s="513">
        <v>0.39515861028889138</v>
      </c>
      <c r="G6" s="450">
        <v>131</v>
      </c>
      <c r="H6" s="513">
        <v>0.44107744107744107</v>
      </c>
      <c r="I6" s="450">
        <v>43025.61</v>
      </c>
      <c r="J6" s="513">
        <v>0.60484138971110868</v>
      </c>
      <c r="K6" s="450">
        <v>166</v>
      </c>
      <c r="L6" s="513">
        <v>0.55892255892255893</v>
      </c>
      <c r="M6" s="450" t="s">
        <v>1</v>
      </c>
      <c r="N6" s="151"/>
    </row>
    <row r="7" spans="1:14" ht="14.4" customHeight="1" x14ac:dyDescent="0.3">
      <c r="A7" s="446" t="s">
        <v>453</v>
      </c>
      <c r="B7" s="447" t="s">
        <v>3</v>
      </c>
      <c r="C7" s="450">
        <v>71135.359999999986</v>
      </c>
      <c r="D7" s="450">
        <v>297</v>
      </c>
      <c r="E7" s="450">
        <v>28109.749999999985</v>
      </c>
      <c r="F7" s="513">
        <v>0.39515861028889138</v>
      </c>
      <c r="G7" s="450">
        <v>131</v>
      </c>
      <c r="H7" s="513">
        <v>0.44107744107744107</v>
      </c>
      <c r="I7" s="450">
        <v>43025.61</v>
      </c>
      <c r="J7" s="513">
        <v>0.60484138971110868</v>
      </c>
      <c r="K7" s="450">
        <v>166</v>
      </c>
      <c r="L7" s="513">
        <v>0.55892255892255893</v>
      </c>
      <c r="M7" s="450" t="s">
        <v>457</v>
      </c>
      <c r="N7" s="151"/>
    </row>
    <row r="9" spans="1:14" ht="14.4" customHeight="1" x14ac:dyDescent="0.3">
      <c r="A9" s="446">
        <v>27</v>
      </c>
      <c r="B9" s="447" t="s">
        <v>500</v>
      </c>
      <c r="C9" s="450" t="s">
        <v>455</v>
      </c>
      <c r="D9" s="450" t="s">
        <v>455</v>
      </c>
      <c r="E9" s="450" t="s">
        <v>455</v>
      </c>
      <c r="F9" s="513" t="s">
        <v>455</v>
      </c>
      <c r="G9" s="450" t="s">
        <v>455</v>
      </c>
      <c r="H9" s="513" t="s">
        <v>455</v>
      </c>
      <c r="I9" s="450" t="s">
        <v>455</v>
      </c>
      <c r="J9" s="513" t="s">
        <v>455</v>
      </c>
      <c r="K9" s="450" t="s">
        <v>455</v>
      </c>
      <c r="L9" s="513" t="s">
        <v>455</v>
      </c>
      <c r="M9" s="450" t="s">
        <v>69</v>
      </c>
      <c r="N9" s="151"/>
    </row>
    <row r="10" spans="1:14" ht="14.4" customHeight="1" x14ac:dyDescent="0.3">
      <c r="A10" s="446">
        <v>89301273</v>
      </c>
      <c r="B10" s="447" t="s">
        <v>510</v>
      </c>
      <c r="C10" s="450">
        <v>70708.76999999999</v>
      </c>
      <c r="D10" s="450">
        <v>295</v>
      </c>
      <c r="E10" s="450">
        <v>28109.749999999985</v>
      </c>
      <c r="F10" s="513">
        <v>0.39754262448632594</v>
      </c>
      <c r="G10" s="450">
        <v>131</v>
      </c>
      <c r="H10" s="513">
        <v>0.44406779661016949</v>
      </c>
      <c r="I10" s="450">
        <v>42599.020000000004</v>
      </c>
      <c r="J10" s="513">
        <v>0.60245737551367406</v>
      </c>
      <c r="K10" s="450">
        <v>164</v>
      </c>
      <c r="L10" s="513">
        <v>0.55593220338983051</v>
      </c>
      <c r="M10" s="450" t="s">
        <v>1</v>
      </c>
      <c r="N10" s="151"/>
    </row>
    <row r="11" spans="1:14" ht="14.4" customHeight="1" x14ac:dyDescent="0.3">
      <c r="A11" s="446" t="s">
        <v>511</v>
      </c>
      <c r="B11" s="447" t="s">
        <v>512</v>
      </c>
      <c r="C11" s="450">
        <v>70708.76999999999</v>
      </c>
      <c r="D11" s="450">
        <v>295</v>
      </c>
      <c r="E11" s="450">
        <v>28109.749999999985</v>
      </c>
      <c r="F11" s="513">
        <v>0.39754262448632594</v>
      </c>
      <c r="G11" s="450">
        <v>131</v>
      </c>
      <c r="H11" s="513">
        <v>0.44406779661016949</v>
      </c>
      <c r="I11" s="450">
        <v>42599.020000000004</v>
      </c>
      <c r="J11" s="513">
        <v>0.60245737551367406</v>
      </c>
      <c r="K11" s="450">
        <v>164</v>
      </c>
      <c r="L11" s="513">
        <v>0.55593220338983051</v>
      </c>
      <c r="M11" s="450" t="s">
        <v>461</v>
      </c>
      <c r="N11" s="151"/>
    </row>
    <row r="12" spans="1:14" ht="14.4" customHeight="1" x14ac:dyDescent="0.3">
      <c r="A12" s="446" t="s">
        <v>455</v>
      </c>
      <c r="B12" s="447" t="s">
        <v>455</v>
      </c>
      <c r="C12" s="450" t="s">
        <v>455</v>
      </c>
      <c r="D12" s="450" t="s">
        <v>455</v>
      </c>
      <c r="E12" s="450" t="s">
        <v>455</v>
      </c>
      <c r="F12" s="513" t="s">
        <v>455</v>
      </c>
      <c r="G12" s="450" t="s">
        <v>455</v>
      </c>
      <c r="H12" s="513" t="s">
        <v>455</v>
      </c>
      <c r="I12" s="450" t="s">
        <v>455</v>
      </c>
      <c r="J12" s="513" t="s">
        <v>455</v>
      </c>
      <c r="K12" s="450" t="s">
        <v>455</v>
      </c>
      <c r="L12" s="513" t="s">
        <v>455</v>
      </c>
      <c r="M12" s="450" t="s">
        <v>462</v>
      </c>
      <c r="N12" s="151"/>
    </row>
    <row r="13" spans="1:14" ht="14.4" customHeight="1" x14ac:dyDescent="0.3">
      <c r="A13" s="446">
        <v>89301275</v>
      </c>
      <c r="B13" s="447" t="s">
        <v>510</v>
      </c>
      <c r="C13" s="450">
        <v>426.59000000000003</v>
      </c>
      <c r="D13" s="450">
        <v>2</v>
      </c>
      <c r="E13" s="450" t="s">
        <v>455</v>
      </c>
      <c r="F13" s="513">
        <v>0</v>
      </c>
      <c r="G13" s="450" t="s">
        <v>455</v>
      </c>
      <c r="H13" s="513">
        <v>0</v>
      </c>
      <c r="I13" s="450">
        <v>426.59000000000003</v>
      </c>
      <c r="J13" s="513">
        <v>1</v>
      </c>
      <c r="K13" s="450">
        <v>2</v>
      </c>
      <c r="L13" s="513">
        <v>1</v>
      </c>
      <c r="M13" s="450" t="s">
        <v>1</v>
      </c>
      <c r="N13" s="151"/>
    </row>
    <row r="14" spans="1:14" ht="14.4" customHeight="1" x14ac:dyDescent="0.3">
      <c r="A14" s="446" t="s">
        <v>513</v>
      </c>
      <c r="B14" s="447" t="s">
        <v>514</v>
      </c>
      <c r="C14" s="450">
        <v>426.59000000000003</v>
      </c>
      <c r="D14" s="450">
        <v>2</v>
      </c>
      <c r="E14" s="450" t="s">
        <v>455</v>
      </c>
      <c r="F14" s="513">
        <v>0</v>
      </c>
      <c r="G14" s="450" t="s">
        <v>455</v>
      </c>
      <c r="H14" s="513">
        <v>0</v>
      </c>
      <c r="I14" s="450">
        <v>426.59000000000003</v>
      </c>
      <c r="J14" s="513">
        <v>1</v>
      </c>
      <c r="K14" s="450">
        <v>2</v>
      </c>
      <c r="L14" s="513">
        <v>1</v>
      </c>
      <c r="M14" s="450" t="s">
        <v>461</v>
      </c>
      <c r="N14" s="151"/>
    </row>
    <row r="15" spans="1:14" ht="14.4" customHeight="1" x14ac:dyDescent="0.3">
      <c r="A15" s="446" t="s">
        <v>455</v>
      </c>
      <c r="B15" s="447" t="s">
        <v>455</v>
      </c>
      <c r="C15" s="450" t="s">
        <v>455</v>
      </c>
      <c r="D15" s="450" t="s">
        <v>455</v>
      </c>
      <c r="E15" s="450" t="s">
        <v>455</v>
      </c>
      <c r="F15" s="513" t="s">
        <v>455</v>
      </c>
      <c r="G15" s="450" t="s">
        <v>455</v>
      </c>
      <c r="H15" s="513" t="s">
        <v>455</v>
      </c>
      <c r="I15" s="450" t="s">
        <v>455</v>
      </c>
      <c r="J15" s="513" t="s">
        <v>455</v>
      </c>
      <c r="K15" s="450" t="s">
        <v>455</v>
      </c>
      <c r="L15" s="513" t="s">
        <v>455</v>
      </c>
      <c r="M15" s="450" t="s">
        <v>462</v>
      </c>
      <c r="N15" s="151"/>
    </row>
    <row r="16" spans="1:14" ht="14.4" customHeight="1" x14ac:dyDescent="0.3">
      <c r="A16" s="446" t="s">
        <v>453</v>
      </c>
      <c r="B16" s="447" t="s">
        <v>515</v>
      </c>
      <c r="C16" s="450">
        <v>71135.359999999986</v>
      </c>
      <c r="D16" s="450">
        <v>297</v>
      </c>
      <c r="E16" s="450">
        <v>28109.749999999985</v>
      </c>
      <c r="F16" s="513">
        <v>0.39515861028889138</v>
      </c>
      <c r="G16" s="450">
        <v>131</v>
      </c>
      <c r="H16" s="513">
        <v>0.44107744107744107</v>
      </c>
      <c r="I16" s="450">
        <v>43025.61</v>
      </c>
      <c r="J16" s="513">
        <v>0.60484138971110868</v>
      </c>
      <c r="K16" s="450">
        <v>166</v>
      </c>
      <c r="L16" s="513">
        <v>0.55892255892255893</v>
      </c>
      <c r="M16" s="450" t="s">
        <v>457</v>
      </c>
      <c r="N16" s="151"/>
    </row>
  </sheetData>
  <autoFilter ref="A4:M4"/>
  <mergeCells count="4">
    <mergeCell ref="E3:H3"/>
    <mergeCell ref="C3:D3"/>
    <mergeCell ref="I3:L3"/>
    <mergeCell ref="A1:L1"/>
  </mergeCells>
  <conditionalFormatting sqref="F4 F8 F17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6">
    <cfRule type="expression" dxfId="28" priority="4">
      <formula>AND(LEFT(M9,6)&lt;&gt;"mezera",M9&lt;&gt;"")</formula>
    </cfRule>
  </conditionalFormatting>
  <conditionalFormatting sqref="A9:A16">
    <cfRule type="expression" dxfId="27" priority="2">
      <formula>AND(M9&lt;&gt;"",M9&lt;&gt;"mezeraKL")</formula>
    </cfRule>
  </conditionalFormatting>
  <conditionalFormatting sqref="F9:F16">
    <cfRule type="cellIs" dxfId="26" priority="1" operator="lessThan">
      <formula>0.6</formula>
    </cfRule>
  </conditionalFormatting>
  <conditionalFormatting sqref="B9:L16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6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8" bestFit="1" customWidth="1"/>
    <col min="3" max="3" width="11.109375" style="130" hidden="1" customWidth="1"/>
    <col min="4" max="4" width="7.33203125" style="208" bestFit="1" customWidth="1"/>
    <col min="5" max="5" width="7.33203125" style="130" hidden="1" customWidth="1"/>
    <col min="6" max="6" width="11.109375" style="208" bestFit="1" customWidth="1"/>
    <col min="7" max="7" width="5.33203125" style="211" customWidth="1"/>
    <col min="8" max="8" width="7.33203125" style="208" bestFit="1" customWidth="1"/>
    <col min="9" max="9" width="5.33203125" style="211" customWidth="1"/>
    <col min="10" max="10" width="11.109375" style="208" customWidth="1"/>
    <col min="11" max="11" width="5.33203125" style="211" customWidth="1"/>
    <col min="12" max="12" width="7.33203125" style="208" customWidth="1"/>
    <col min="13" max="13" width="5.33203125" style="211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63" t="s">
        <v>151</v>
      </c>
      <c r="B1" s="363"/>
      <c r="C1" s="363"/>
      <c r="D1" s="363"/>
      <c r="E1" s="363"/>
      <c r="F1" s="363"/>
      <c r="G1" s="363"/>
      <c r="H1" s="363"/>
      <c r="I1" s="363"/>
      <c r="J1" s="326"/>
      <c r="K1" s="326"/>
      <c r="L1" s="326"/>
      <c r="M1" s="326"/>
    </row>
    <row r="2" spans="1:13" ht="14.4" customHeight="1" thickBot="1" x14ac:dyDescent="0.35">
      <c r="A2" s="235" t="s">
        <v>281</v>
      </c>
      <c r="B2" s="215"/>
      <c r="C2" s="207"/>
      <c r="D2" s="215"/>
      <c r="E2" s="207"/>
      <c r="F2" s="215"/>
      <c r="G2" s="216"/>
      <c r="H2" s="215"/>
      <c r="I2" s="216"/>
    </row>
    <row r="3" spans="1:13" ht="14.4" customHeight="1" thickBot="1" x14ac:dyDescent="0.35">
      <c r="A3" s="144"/>
      <c r="B3" s="380" t="s">
        <v>15</v>
      </c>
      <c r="C3" s="382"/>
      <c r="D3" s="379"/>
      <c r="E3" s="143"/>
      <c r="F3" s="379" t="s">
        <v>16</v>
      </c>
      <c r="G3" s="379"/>
      <c r="H3" s="379"/>
      <c r="I3" s="379"/>
      <c r="J3" s="379" t="s">
        <v>150</v>
      </c>
      <c r="K3" s="379"/>
      <c r="L3" s="379"/>
      <c r="M3" s="381"/>
    </row>
    <row r="4" spans="1:13" ht="14.4" customHeight="1" thickBot="1" x14ac:dyDescent="0.35">
      <c r="A4" s="497" t="s">
        <v>137</v>
      </c>
      <c r="B4" s="498" t="s">
        <v>19</v>
      </c>
      <c r="C4" s="517"/>
      <c r="D4" s="498" t="s">
        <v>20</v>
      </c>
      <c r="E4" s="517"/>
      <c r="F4" s="498" t="s">
        <v>19</v>
      </c>
      <c r="G4" s="501" t="s">
        <v>2</v>
      </c>
      <c r="H4" s="498" t="s">
        <v>20</v>
      </c>
      <c r="I4" s="501" t="s">
        <v>2</v>
      </c>
      <c r="J4" s="498" t="s">
        <v>19</v>
      </c>
      <c r="K4" s="501" t="s">
        <v>2</v>
      </c>
      <c r="L4" s="498" t="s">
        <v>20</v>
      </c>
      <c r="M4" s="502" t="s">
        <v>2</v>
      </c>
    </row>
    <row r="5" spans="1:13" ht="14.4" customHeight="1" x14ac:dyDescent="0.3">
      <c r="A5" s="514" t="s">
        <v>516</v>
      </c>
      <c r="B5" s="509">
        <v>7279.2000000000007</v>
      </c>
      <c r="C5" s="459">
        <v>1</v>
      </c>
      <c r="D5" s="519">
        <v>30</v>
      </c>
      <c r="E5" s="495" t="s">
        <v>516</v>
      </c>
      <c r="F5" s="509">
        <v>2741.8600000000006</v>
      </c>
      <c r="G5" s="481">
        <v>0.3766705132432136</v>
      </c>
      <c r="H5" s="462">
        <v>12</v>
      </c>
      <c r="I5" s="503">
        <v>0.4</v>
      </c>
      <c r="J5" s="526">
        <v>4537.34</v>
      </c>
      <c r="K5" s="481">
        <v>0.62332948675678646</v>
      </c>
      <c r="L5" s="462">
        <v>18</v>
      </c>
      <c r="M5" s="503">
        <v>0.6</v>
      </c>
    </row>
    <row r="6" spans="1:13" ht="14.4" customHeight="1" x14ac:dyDescent="0.3">
      <c r="A6" s="515" t="s">
        <v>517</v>
      </c>
      <c r="B6" s="518">
        <v>890.96</v>
      </c>
      <c r="C6" s="465">
        <v>1</v>
      </c>
      <c r="D6" s="520">
        <v>5</v>
      </c>
      <c r="E6" s="524" t="s">
        <v>517</v>
      </c>
      <c r="F6" s="518">
        <v>504.71000000000004</v>
      </c>
      <c r="G6" s="522">
        <v>0.56647885426955191</v>
      </c>
      <c r="H6" s="468">
        <v>3</v>
      </c>
      <c r="I6" s="523">
        <v>0.6</v>
      </c>
      <c r="J6" s="527">
        <v>386.25</v>
      </c>
      <c r="K6" s="522">
        <v>0.43352114573044803</v>
      </c>
      <c r="L6" s="468">
        <v>2</v>
      </c>
      <c r="M6" s="523">
        <v>0.4</v>
      </c>
    </row>
    <row r="7" spans="1:13" ht="14.4" customHeight="1" x14ac:dyDescent="0.3">
      <c r="A7" s="515" t="s">
        <v>518</v>
      </c>
      <c r="B7" s="518">
        <v>11565.38</v>
      </c>
      <c r="C7" s="465">
        <v>1</v>
      </c>
      <c r="D7" s="520">
        <v>60</v>
      </c>
      <c r="E7" s="524" t="s">
        <v>518</v>
      </c>
      <c r="F7" s="518">
        <v>10894.599999999999</v>
      </c>
      <c r="G7" s="522">
        <v>0.94200104103799431</v>
      </c>
      <c r="H7" s="468">
        <v>55</v>
      </c>
      <c r="I7" s="523">
        <v>0.91666666666666663</v>
      </c>
      <c r="J7" s="527">
        <v>670.78</v>
      </c>
      <c r="K7" s="522">
        <v>5.7998958962005576E-2</v>
      </c>
      <c r="L7" s="468">
        <v>5</v>
      </c>
      <c r="M7" s="523">
        <v>8.3333333333333329E-2</v>
      </c>
    </row>
    <row r="8" spans="1:13" ht="14.4" customHeight="1" x14ac:dyDescent="0.3">
      <c r="A8" s="515" t="s">
        <v>519</v>
      </c>
      <c r="B8" s="518">
        <v>38528.76</v>
      </c>
      <c r="C8" s="465">
        <v>1</v>
      </c>
      <c r="D8" s="520">
        <v>161</v>
      </c>
      <c r="E8" s="524" t="s">
        <v>519</v>
      </c>
      <c r="F8" s="518">
        <v>7608.2300000000005</v>
      </c>
      <c r="G8" s="522">
        <v>0.19746885183950899</v>
      </c>
      <c r="H8" s="468">
        <v>41</v>
      </c>
      <c r="I8" s="523">
        <v>0.25465838509316768</v>
      </c>
      <c r="J8" s="527">
        <v>30920.53</v>
      </c>
      <c r="K8" s="522">
        <v>0.80253114816049098</v>
      </c>
      <c r="L8" s="468">
        <v>120</v>
      </c>
      <c r="M8" s="523">
        <v>0.74534161490683226</v>
      </c>
    </row>
    <row r="9" spans="1:13" ht="14.4" customHeight="1" thickBot="1" x14ac:dyDescent="0.35">
      <c r="A9" s="516" t="s">
        <v>520</v>
      </c>
      <c r="B9" s="510">
        <v>12871.060000000001</v>
      </c>
      <c r="C9" s="471">
        <v>1</v>
      </c>
      <c r="D9" s="521">
        <v>41</v>
      </c>
      <c r="E9" s="525" t="s">
        <v>520</v>
      </c>
      <c r="F9" s="510">
        <v>6360.3500000000013</v>
      </c>
      <c r="G9" s="482">
        <v>0.49415898923631779</v>
      </c>
      <c r="H9" s="474">
        <v>20</v>
      </c>
      <c r="I9" s="504">
        <v>0.48780487804878048</v>
      </c>
      <c r="J9" s="528">
        <v>6510.7100000000009</v>
      </c>
      <c r="K9" s="482">
        <v>0.50584101076368226</v>
      </c>
      <c r="L9" s="474">
        <v>21</v>
      </c>
      <c r="M9" s="504">
        <v>0.51219512195121952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240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9" customWidth="1"/>
    <col min="5" max="5" width="13.5546875" style="209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10" customWidth="1"/>
    <col min="13" max="13" width="11.109375" style="210" customWidth="1"/>
    <col min="14" max="14" width="7.77734375" style="130" customWidth="1"/>
    <col min="15" max="15" width="7.77734375" style="220" customWidth="1"/>
    <col min="16" max="16" width="11.109375" style="210" customWidth="1"/>
    <col min="17" max="17" width="5.44140625" style="211" bestFit="1" customWidth="1"/>
    <col min="18" max="18" width="7.77734375" style="130" customWidth="1"/>
    <col min="19" max="19" width="5.44140625" style="211" bestFit="1" customWidth="1"/>
    <col min="20" max="20" width="7.77734375" style="220" customWidth="1"/>
    <col min="21" max="21" width="5.44140625" style="211" bestFit="1" customWidth="1"/>
    <col min="22" max="16384" width="8.88671875" style="130"/>
  </cols>
  <sheetData>
    <row r="1" spans="1:21" ht="18.600000000000001" customHeight="1" thickBot="1" x14ac:dyDescent="0.4">
      <c r="A1" s="354" t="s">
        <v>1087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</row>
    <row r="2" spans="1:21" ht="14.4" customHeight="1" thickBot="1" x14ac:dyDescent="0.35">
      <c r="A2" s="235" t="s">
        <v>281</v>
      </c>
      <c r="B2" s="217"/>
      <c r="C2" s="207"/>
      <c r="D2" s="207"/>
      <c r="E2" s="218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</row>
    <row r="3" spans="1:21" ht="14.4" customHeight="1" thickBot="1" x14ac:dyDescent="0.35">
      <c r="A3" s="386"/>
      <c r="B3" s="387"/>
      <c r="C3" s="387"/>
      <c r="D3" s="387"/>
      <c r="E3" s="387"/>
      <c r="F3" s="387"/>
      <c r="G3" s="387"/>
      <c r="H3" s="387"/>
      <c r="I3" s="387"/>
      <c r="J3" s="387"/>
      <c r="K3" s="388" t="s">
        <v>129</v>
      </c>
      <c r="L3" s="389"/>
      <c r="M3" s="66">
        <f>SUBTOTAL(9,M7:M1048576)</f>
        <v>71135.360000000001</v>
      </c>
      <c r="N3" s="66">
        <f>SUBTOTAL(9,N7:N1048576)</f>
        <v>591</v>
      </c>
      <c r="O3" s="66">
        <f>SUBTOTAL(9,O7:O1048576)</f>
        <v>297</v>
      </c>
      <c r="P3" s="66">
        <f>SUBTOTAL(9,P7:P1048576)</f>
        <v>28109.749999999996</v>
      </c>
      <c r="Q3" s="67">
        <f>IF(M3=0,0,P3/M3)</f>
        <v>0.39515861028889143</v>
      </c>
      <c r="R3" s="66">
        <f>SUBTOTAL(9,R7:R1048576)</f>
        <v>236</v>
      </c>
      <c r="S3" s="67">
        <f>IF(N3=0,0,R3/N3)</f>
        <v>0.39932318104906939</v>
      </c>
      <c r="T3" s="66">
        <f>SUBTOTAL(9,T7:T1048576)</f>
        <v>131</v>
      </c>
      <c r="U3" s="68">
        <f>IF(O3=0,0,T3/O3)</f>
        <v>0.44107744107744107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90" t="s">
        <v>15</v>
      </c>
      <c r="N4" s="391"/>
      <c r="O4" s="391"/>
      <c r="P4" s="392" t="s">
        <v>21</v>
      </c>
      <c r="Q4" s="391"/>
      <c r="R4" s="391"/>
      <c r="S4" s="391"/>
      <c r="T4" s="391"/>
      <c r="U4" s="393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3" t="s">
        <v>22</v>
      </c>
      <c r="Q5" s="384"/>
      <c r="R5" s="383" t="s">
        <v>13</v>
      </c>
      <c r="S5" s="384"/>
      <c r="T5" s="383" t="s">
        <v>20</v>
      </c>
      <c r="U5" s="385"/>
    </row>
    <row r="6" spans="1:21" s="209" customFormat="1" ht="14.4" customHeight="1" thickBot="1" x14ac:dyDescent="0.35">
      <c r="A6" s="529" t="s">
        <v>23</v>
      </c>
      <c r="B6" s="530" t="s">
        <v>5</v>
      </c>
      <c r="C6" s="529" t="s">
        <v>24</v>
      </c>
      <c r="D6" s="530" t="s">
        <v>6</v>
      </c>
      <c r="E6" s="530" t="s">
        <v>153</v>
      </c>
      <c r="F6" s="530" t="s">
        <v>25</v>
      </c>
      <c r="G6" s="530" t="s">
        <v>26</v>
      </c>
      <c r="H6" s="530" t="s">
        <v>8</v>
      </c>
      <c r="I6" s="530" t="s">
        <v>10</v>
      </c>
      <c r="J6" s="530" t="s">
        <v>11</v>
      </c>
      <c r="K6" s="530" t="s">
        <v>12</v>
      </c>
      <c r="L6" s="530" t="s">
        <v>27</v>
      </c>
      <c r="M6" s="531" t="s">
        <v>14</v>
      </c>
      <c r="N6" s="532" t="s">
        <v>28</v>
      </c>
      <c r="O6" s="532" t="s">
        <v>28</v>
      </c>
      <c r="P6" s="532" t="s">
        <v>14</v>
      </c>
      <c r="Q6" s="532" t="s">
        <v>2</v>
      </c>
      <c r="R6" s="532" t="s">
        <v>28</v>
      </c>
      <c r="S6" s="532" t="s">
        <v>2</v>
      </c>
      <c r="T6" s="532" t="s">
        <v>28</v>
      </c>
      <c r="U6" s="533" t="s">
        <v>2</v>
      </c>
    </row>
    <row r="7" spans="1:21" ht="14.4" customHeight="1" x14ac:dyDescent="0.3">
      <c r="A7" s="534">
        <v>27</v>
      </c>
      <c r="B7" s="535" t="s">
        <v>500</v>
      </c>
      <c r="C7" s="535">
        <v>89301273</v>
      </c>
      <c r="D7" s="536" t="s">
        <v>1085</v>
      </c>
      <c r="E7" s="537" t="s">
        <v>516</v>
      </c>
      <c r="F7" s="535" t="s">
        <v>510</v>
      </c>
      <c r="G7" s="535" t="s">
        <v>521</v>
      </c>
      <c r="H7" s="535" t="s">
        <v>495</v>
      </c>
      <c r="I7" s="535" t="s">
        <v>522</v>
      </c>
      <c r="J7" s="535" t="s">
        <v>523</v>
      </c>
      <c r="K7" s="535" t="s">
        <v>524</v>
      </c>
      <c r="L7" s="538">
        <v>156.86000000000001</v>
      </c>
      <c r="M7" s="538">
        <v>627.44000000000005</v>
      </c>
      <c r="N7" s="535">
        <v>4</v>
      </c>
      <c r="O7" s="539">
        <v>2</v>
      </c>
      <c r="P7" s="538">
        <v>156.86000000000001</v>
      </c>
      <c r="Q7" s="540">
        <v>0.25</v>
      </c>
      <c r="R7" s="535">
        <v>1</v>
      </c>
      <c r="S7" s="540">
        <v>0.25</v>
      </c>
      <c r="T7" s="539">
        <v>0.5</v>
      </c>
      <c r="U7" s="122">
        <v>0.25</v>
      </c>
    </row>
    <row r="8" spans="1:21" ht="14.4" customHeight="1" x14ac:dyDescent="0.3">
      <c r="A8" s="541">
        <v>27</v>
      </c>
      <c r="B8" s="542" t="s">
        <v>500</v>
      </c>
      <c r="C8" s="542">
        <v>89301273</v>
      </c>
      <c r="D8" s="543" t="s">
        <v>1085</v>
      </c>
      <c r="E8" s="544" t="s">
        <v>516</v>
      </c>
      <c r="F8" s="542" t="s">
        <v>510</v>
      </c>
      <c r="G8" s="542" t="s">
        <v>525</v>
      </c>
      <c r="H8" s="542" t="s">
        <v>455</v>
      </c>
      <c r="I8" s="542" t="s">
        <v>526</v>
      </c>
      <c r="J8" s="542" t="s">
        <v>527</v>
      </c>
      <c r="K8" s="542" t="s">
        <v>528</v>
      </c>
      <c r="L8" s="545">
        <v>195.89</v>
      </c>
      <c r="M8" s="545">
        <v>195.89</v>
      </c>
      <c r="N8" s="542">
        <v>1</v>
      </c>
      <c r="O8" s="546">
        <v>1</v>
      </c>
      <c r="P8" s="545">
        <v>195.89</v>
      </c>
      <c r="Q8" s="547">
        <v>1</v>
      </c>
      <c r="R8" s="542">
        <v>1</v>
      </c>
      <c r="S8" s="547">
        <v>1</v>
      </c>
      <c r="T8" s="546">
        <v>1</v>
      </c>
      <c r="U8" s="548">
        <v>1</v>
      </c>
    </row>
    <row r="9" spans="1:21" ht="14.4" customHeight="1" x14ac:dyDescent="0.3">
      <c r="A9" s="541">
        <v>27</v>
      </c>
      <c r="B9" s="542" t="s">
        <v>500</v>
      </c>
      <c r="C9" s="542">
        <v>89301273</v>
      </c>
      <c r="D9" s="543" t="s">
        <v>1085</v>
      </c>
      <c r="E9" s="544" t="s">
        <v>516</v>
      </c>
      <c r="F9" s="542" t="s">
        <v>510</v>
      </c>
      <c r="G9" s="542" t="s">
        <v>529</v>
      </c>
      <c r="H9" s="542" t="s">
        <v>495</v>
      </c>
      <c r="I9" s="542" t="s">
        <v>530</v>
      </c>
      <c r="J9" s="542" t="s">
        <v>531</v>
      </c>
      <c r="K9" s="542" t="s">
        <v>532</v>
      </c>
      <c r="L9" s="545">
        <v>0</v>
      </c>
      <c r="M9" s="545">
        <v>0</v>
      </c>
      <c r="N9" s="542">
        <v>2</v>
      </c>
      <c r="O9" s="546">
        <v>0.5</v>
      </c>
      <c r="P9" s="545">
        <v>0</v>
      </c>
      <c r="Q9" s="547"/>
      <c r="R9" s="542">
        <v>2</v>
      </c>
      <c r="S9" s="547">
        <v>1</v>
      </c>
      <c r="T9" s="546">
        <v>0.5</v>
      </c>
      <c r="U9" s="548">
        <v>1</v>
      </c>
    </row>
    <row r="10" spans="1:21" ht="14.4" customHeight="1" x14ac:dyDescent="0.3">
      <c r="A10" s="541">
        <v>27</v>
      </c>
      <c r="B10" s="542" t="s">
        <v>500</v>
      </c>
      <c r="C10" s="542">
        <v>89301273</v>
      </c>
      <c r="D10" s="543" t="s">
        <v>1085</v>
      </c>
      <c r="E10" s="544" t="s">
        <v>516</v>
      </c>
      <c r="F10" s="542" t="s">
        <v>510</v>
      </c>
      <c r="G10" s="542" t="s">
        <v>533</v>
      </c>
      <c r="H10" s="542" t="s">
        <v>455</v>
      </c>
      <c r="I10" s="542" t="s">
        <v>534</v>
      </c>
      <c r="J10" s="542" t="s">
        <v>535</v>
      </c>
      <c r="K10" s="542" t="s">
        <v>536</v>
      </c>
      <c r="L10" s="545">
        <v>44.89</v>
      </c>
      <c r="M10" s="545">
        <v>44.89</v>
      </c>
      <c r="N10" s="542">
        <v>1</v>
      </c>
      <c r="O10" s="546">
        <v>1</v>
      </c>
      <c r="P10" s="545">
        <v>44.89</v>
      </c>
      <c r="Q10" s="547">
        <v>1</v>
      </c>
      <c r="R10" s="542">
        <v>1</v>
      </c>
      <c r="S10" s="547">
        <v>1</v>
      </c>
      <c r="T10" s="546">
        <v>1</v>
      </c>
      <c r="U10" s="548">
        <v>1</v>
      </c>
    </row>
    <row r="11" spans="1:21" ht="14.4" customHeight="1" x14ac:dyDescent="0.3">
      <c r="A11" s="541">
        <v>27</v>
      </c>
      <c r="B11" s="542" t="s">
        <v>500</v>
      </c>
      <c r="C11" s="542">
        <v>89301273</v>
      </c>
      <c r="D11" s="543" t="s">
        <v>1085</v>
      </c>
      <c r="E11" s="544" t="s">
        <v>516</v>
      </c>
      <c r="F11" s="542" t="s">
        <v>510</v>
      </c>
      <c r="G11" s="542" t="s">
        <v>537</v>
      </c>
      <c r="H11" s="542" t="s">
        <v>495</v>
      </c>
      <c r="I11" s="542" t="s">
        <v>538</v>
      </c>
      <c r="J11" s="542" t="s">
        <v>539</v>
      </c>
      <c r="K11" s="542" t="s">
        <v>540</v>
      </c>
      <c r="L11" s="545">
        <v>184.22</v>
      </c>
      <c r="M11" s="545">
        <v>736.88</v>
      </c>
      <c r="N11" s="542">
        <v>4</v>
      </c>
      <c r="O11" s="546">
        <v>1</v>
      </c>
      <c r="P11" s="545">
        <v>368.44</v>
      </c>
      <c r="Q11" s="547">
        <v>0.5</v>
      </c>
      <c r="R11" s="542">
        <v>2</v>
      </c>
      <c r="S11" s="547">
        <v>0.5</v>
      </c>
      <c r="T11" s="546">
        <v>0.5</v>
      </c>
      <c r="U11" s="548">
        <v>0.5</v>
      </c>
    </row>
    <row r="12" spans="1:21" ht="14.4" customHeight="1" x14ac:dyDescent="0.3">
      <c r="A12" s="541">
        <v>27</v>
      </c>
      <c r="B12" s="542" t="s">
        <v>500</v>
      </c>
      <c r="C12" s="542">
        <v>89301273</v>
      </c>
      <c r="D12" s="543" t="s">
        <v>1085</v>
      </c>
      <c r="E12" s="544" t="s">
        <v>516</v>
      </c>
      <c r="F12" s="542" t="s">
        <v>510</v>
      </c>
      <c r="G12" s="542" t="s">
        <v>541</v>
      </c>
      <c r="H12" s="542" t="s">
        <v>455</v>
      </c>
      <c r="I12" s="542" t="s">
        <v>542</v>
      </c>
      <c r="J12" s="542" t="s">
        <v>543</v>
      </c>
      <c r="K12" s="542" t="s">
        <v>544</v>
      </c>
      <c r="L12" s="545">
        <v>115.3</v>
      </c>
      <c r="M12" s="545">
        <v>807.1</v>
      </c>
      <c r="N12" s="542">
        <v>7</v>
      </c>
      <c r="O12" s="546">
        <v>3</v>
      </c>
      <c r="P12" s="545"/>
      <c r="Q12" s="547">
        <v>0</v>
      </c>
      <c r="R12" s="542"/>
      <c r="S12" s="547">
        <v>0</v>
      </c>
      <c r="T12" s="546"/>
      <c r="U12" s="548">
        <v>0</v>
      </c>
    </row>
    <row r="13" spans="1:21" ht="14.4" customHeight="1" x14ac:dyDescent="0.3">
      <c r="A13" s="541">
        <v>27</v>
      </c>
      <c r="B13" s="542" t="s">
        <v>500</v>
      </c>
      <c r="C13" s="542">
        <v>89301273</v>
      </c>
      <c r="D13" s="543" t="s">
        <v>1085</v>
      </c>
      <c r="E13" s="544" t="s">
        <v>516</v>
      </c>
      <c r="F13" s="542" t="s">
        <v>510</v>
      </c>
      <c r="G13" s="542" t="s">
        <v>545</v>
      </c>
      <c r="H13" s="542" t="s">
        <v>455</v>
      </c>
      <c r="I13" s="542" t="s">
        <v>546</v>
      </c>
      <c r="J13" s="542" t="s">
        <v>547</v>
      </c>
      <c r="K13" s="542" t="s">
        <v>548</v>
      </c>
      <c r="L13" s="545">
        <v>0</v>
      </c>
      <c r="M13" s="545">
        <v>0</v>
      </c>
      <c r="N13" s="542">
        <v>2</v>
      </c>
      <c r="O13" s="546">
        <v>1.5</v>
      </c>
      <c r="P13" s="545"/>
      <c r="Q13" s="547"/>
      <c r="R13" s="542"/>
      <c r="S13" s="547">
        <v>0</v>
      </c>
      <c r="T13" s="546"/>
      <c r="U13" s="548">
        <v>0</v>
      </c>
    </row>
    <row r="14" spans="1:21" ht="14.4" customHeight="1" x14ac:dyDescent="0.3">
      <c r="A14" s="541">
        <v>27</v>
      </c>
      <c r="B14" s="542" t="s">
        <v>500</v>
      </c>
      <c r="C14" s="542">
        <v>89301273</v>
      </c>
      <c r="D14" s="543" t="s">
        <v>1085</v>
      </c>
      <c r="E14" s="544" t="s">
        <v>516</v>
      </c>
      <c r="F14" s="542" t="s">
        <v>510</v>
      </c>
      <c r="G14" s="542" t="s">
        <v>549</v>
      </c>
      <c r="H14" s="542" t="s">
        <v>455</v>
      </c>
      <c r="I14" s="542" t="s">
        <v>550</v>
      </c>
      <c r="J14" s="542" t="s">
        <v>551</v>
      </c>
      <c r="K14" s="542" t="s">
        <v>552</v>
      </c>
      <c r="L14" s="545">
        <v>138</v>
      </c>
      <c r="M14" s="545">
        <v>414</v>
      </c>
      <c r="N14" s="542">
        <v>3</v>
      </c>
      <c r="O14" s="546">
        <v>0.5</v>
      </c>
      <c r="P14" s="545"/>
      <c r="Q14" s="547">
        <v>0</v>
      </c>
      <c r="R14" s="542"/>
      <c r="S14" s="547">
        <v>0</v>
      </c>
      <c r="T14" s="546"/>
      <c r="U14" s="548">
        <v>0</v>
      </c>
    </row>
    <row r="15" spans="1:21" ht="14.4" customHeight="1" x14ac:dyDescent="0.3">
      <c r="A15" s="541">
        <v>27</v>
      </c>
      <c r="B15" s="542" t="s">
        <v>500</v>
      </c>
      <c r="C15" s="542">
        <v>89301273</v>
      </c>
      <c r="D15" s="543" t="s">
        <v>1085</v>
      </c>
      <c r="E15" s="544" t="s">
        <v>516</v>
      </c>
      <c r="F15" s="542" t="s">
        <v>510</v>
      </c>
      <c r="G15" s="542" t="s">
        <v>553</v>
      </c>
      <c r="H15" s="542" t="s">
        <v>455</v>
      </c>
      <c r="I15" s="542" t="s">
        <v>554</v>
      </c>
      <c r="J15" s="542" t="s">
        <v>555</v>
      </c>
      <c r="K15" s="542" t="s">
        <v>556</v>
      </c>
      <c r="L15" s="545">
        <v>163.9</v>
      </c>
      <c r="M15" s="545">
        <v>1966.8</v>
      </c>
      <c r="N15" s="542">
        <v>12</v>
      </c>
      <c r="O15" s="546">
        <v>3.5</v>
      </c>
      <c r="P15" s="545">
        <v>1147.3</v>
      </c>
      <c r="Q15" s="547">
        <v>0.58333333333333337</v>
      </c>
      <c r="R15" s="542">
        <v>7</v>
      </c>
      <c r="S15" s="547">
        <v>0.58333333333333337</v>
      </c>
      <c r="T15" s="546">
        <v>1.5</v>
      </c>
      <c r="U15" s="548">
        <v>0.42857142857142855</v>
      </c>
    </row>
    <row r="16" spans="1:21" ht="14.4" customHeight="1" x14ac:dyDescent="0.3">
      <c r="A16" s="541">
        <v>27</v>
      </c>
      <c r="B16" s="542" t="s">
        <v>500</v>
      </c>
      <c r="C16" s="542">
        <v>89301273</v>
      </c>
      <c r="D16" s="543" t="s">
        <v>1085</v>
      </c>
      <c r="E16" s="544" t="s">
        <v>516</v>
      </c>
      <c r="F16" s="542" t="s">
        <v>510</v>
      </c>
      <c r="G16" s="542" t="s">
        <v>557</v>
      </c>
      <c r="H16" s="542" t="s">
        <v>455</v>
      </c>
      <c r="I16" s="542" t="s">
        <v>558</v>
      </c>
      <c r="J16" s="542" t="s">
        <v>559</v>
      </c>
      <c r="K16" s="542" t="s">
        <v>560</v>
      </c>
      <c r="L16" s="545">
        <v>166.97</v>
      </c>
      <c r="M16" s="545">
        <v>333.94</v>
      </c>
      <c r="N16" s="542">
        <v>2</v>
      </c>
      <c r="O16" s="546">
        <v>1</v>
      </c>
      <c r="P16" s="545"/>
      <c r="Q16" s="547">
        <v>0</v>
      </c>
      <c r="R16" s="542"/>
      <c r="S16" s="547">
        <v>0</v>
      </c>
      <c r="T16" s="546"/>
      <c r="U16" s="548">
        <v>0</v>
      </c>
    </row>
    <row r="17" spans="1:21" ht="14.4" customHeight="1" x14ac:dyDescent="0.3">
      <c r="A17" s="541">
        <v>27</v>
      </c>
      <c r="B17" s="542" t="s">
        <v>500</v>
      </c>
      <c r="C17" s="542">
        <v>89301273</v>
      </c>
      <c r="D17" s="543" t="s">
        <v>1085</v>
      </c>
      <c r="E17" s="544" t="s">
        <v>516</v>
      </c>
      <c r="F17" s="542" t="s">
        <v>510</v>
      </c>
      <c r="G17" s="542" t="s">
        <v>561</v>
      </c>
      <c r="H17" s="542" t="s">
        <v>455</v>
      </c>
      <c r="I17" s="542" t="s">
        <v>562</v>
      </c>
      <c r="J17" s="542" t="s">
        <v>563</v>
      </c>
      <c r="K17" s="542" t="s">
        <v>564</v>
      </c>
      <c r="L17" s="545">
        <v>59.55</v>
      </c>
      <c r="M17" s="545">
        <v>119.1</v>
      </c>
      <c r="N17" s="542">
        <v>2</v>
      </c>
      <c r="O17" s="546">
        <v>0.5</v>
      </c>
      <c r="P17" s="545">
        <v>119.1</v>
      </c>
      <c r="Q17" s="547">
        <v>1</v>
      </c>
      <c r="R17" s="542">
        <v>2</v>
      </c>
      <c r="S17" s="547">
        <v>1</v>
      </c>
      <c r="T17" s="546">
        <v>0.5</v>
      </c>
      <c r="U17" s="548">
        <v>1</v>
      </c>
    </row>
    <row r="18" spans="1:21" ht="14.4" customHeight="1" x14ac:dyDescent="0.3">
      <c r="A18" s="541">
        <v>27</v>
      </c>
      <c r="B18" s="542" t="s">
        <v>500</v>
      </c>
      <c r="C18" s="542">
        <v>89301273</v>
      </c>
      <c r="D18" s="543" t="s">
        <v>1085</v>
      </c>
      <c r="E18" s="544" t="s">
        <v>516</v>
      </c>
      <c r="F18" s="542" t="s">
        <v>510</v>
      </c>
      <c r="G18" s="542" t="s">
        <v>561</v>
      </c>
      <c r="H18" s="542" t="s">
        <v>455</v>
      </c>
      <c r="I18" s="542" t="s">
        <v>565</v>
      </c>
      <c r="J18" s="542" t="s">
        <v>563</v>
      </c>
      <c r="K18" s="542" t="s">
        <v>566</v>
      </c>
      <c r="L18" s="545">
        <v>0</v>
      </c>
      <c r="M18" s="545">
        <v>0</v>
      </c>
      <c r="N18" s="542">
        <v>2</v>
      </c>
      <c r="O18" s="546">
        <v>1</v>
      </c>
      <c r="P18" s="545">
        <v>0</v>
      </c>
      <c r="Q18" s="547"/>
      <c r="R18" s="542">
        <v>2</v>
      </c>
      <c r="S18" s="547">
        <v>1</v>
      </c>
      <c r="T18" s="546">
        <v>1</v>
      </c>
      <c r="U18" s="548">
        <v>1</v>
      </c>
    </row>
    <row r="19" spans="1:21" ht="14.4" customHeight="1" x14ac:dyDescent="0.3">
      <c r="A19" s="541">
        <v>27</v>
      </c>
      <c r="B19" s="542" t="s">
        <v>500</v>
      </c>
      <c r="C19" s="542">
        <v>89301273</v>
      </c>
      <c r="D19" s="543" t="s">
        <v>1085</v>
      </c>
      <c r="E19" s="544" t="s">
        <v>516</v>
      </c>
      <c r="F19" s="542" t="s">
        <v>510</v>
      </c>
      <c r="G19" s="542" t="s">
        <v>567</v>
      </c>
      <c r="H19" s="542" t="s">
        <v>455</v>
      </c>
      <c r="I19" s="542" t="s">
        <v>568</v>
      </c>
      <c r="J19" s="542" t="s">
        <v>569</v>
      </c>
      <c r="K19" s="542" t="s">
        <v>570</v>
      </c>
      <c r="L19" s="545">
        <v>50.27</v>
      </c>
      <c r="M19" s="545">
        <v>251.35000000000002</v>
      </c>
      <c r="N19" s="542">
        <v>5</v>
      </c>
      <c r="O19" s="546">
        <v>1</v>
      </c>
      <c r="P19" s="545">
        <v>251.35000000000002</v>
      </c>
      <c r="Q19" s="547">
        <v>1</v>
      </c>
      <c r="R19" s="542">
        <v>5</v>
      </c>
      <c r="S19" s="547">
        <v>1</v>
      </c>
      <c r="T19" s="546">
        <v>1</v>
      </c>
      <c r="U19" s="548">
        <v>1</v>
      </c>
    </row>
    <row r="20" spans="1:21" ht="14.4" customHeight="1" x14ac:dyDescent="0.3">
      <c r="A20" s="541">
        <v>27</v>
      </c>
      <c r="B20" s="542" t="s">
        <v>500</v>
      </c>
      <c r="C20" s="542">
        <v>89301273</v>
      </c>
      <c r="D20" s="543" t="s">
        <v>1085</v>
      </c>
      <c r="E20" s="544" t="s">
        <v>516</v>
      </c>
      <c r="F20" s="542" t="s">
        <v>510</v>
      </c>
      <c r="G20" s="542" t="s">
        <v>571</v>
      </c>
      <c r="H20" s="542" t="s">
        <v>455</v>
      </c>
      <c r="I20" s="542" t="s">
        <v>572</v>
      </c>
      <c r="J20" s="542" t="s">
        <v>573</v>
      </c>
      <c r="K20" s="542" t="s">
        <v>574</v>
      </c>
      <c r="L20" s="545">
        <v>31.4</v>
      </c>
      <c r="M20" s="545">
        <v>31.4</v>
      </c>
      <c r="N20" s="542">
        <v>1</v>
      </c>
      <c r="O20" s="546">
        <v>1</v>
      </c>
      <c r="P20" s="545"/>
      <c r="Q20" s="547">
        <v>0</v>
      </c>
      <c r="R20" s="542"/>
      <c r="S20" s="547">
        <v>0</v>
      </c>
      <c r="T20" s="546"/>
      <c r="U20" s="548">
        <v>0</v>
      </c>
    </row>
    <row r="21" spans="1:21" ht="14.4" customHeight="1" x14ac:dyDescent="0.3">
      <c r="A21" s="541">
        <v>27</v>
      </c>
      <c r="B21" s="542" t="s">
        <v>500</v>
      </c>
      <c r="C21" s="542">
        <v>89301273</v>
      </c>
      <c r="D21" s="543" t="s">
        <v>1085</v>
      </c>
      <c r="E21" s="544" t="s">
        <v>516</v>
      </c>
      <c r="F21" s="542" t="s">
        <v>510</v>
      </c>
      <c r="G21" s="542" t="s">
        <v>575</v>
      </c>
      <c r="H21" s="542" t="s">
        <v>495</v>
      </c>
      <c r="I21" s="542" t="s">
        <v>576</v>
      </c>
      <c r="J21" s="542" t="s">
        <v>577</v>
      </c>
      <c r="K21" s="542" t="s">
        <v>578</v>
      </c>
      <c r="L21" s="545">
        <v>50.57</v>
      </c>
      <c r="M21" s="545">
        <v>50.57</v>
      </c>
      <c r="N21" s="542">
        <v>1</v>
      </c>
      <c r="O21" s="546">
        <v>1</v>
      </c>
      <c r="P21" s="545">
        <v>50.57</v>
      </c>
      <c r="Q21" s="547">
        <v>1</v>
      </c>
      <c r="R21" s="542">
        <v>1</v>
      </c>
      <c r="S21" s="547">
        <v>1</v>
      </c>
      <c r="T21" s="546">
        <v>1</v>
      </c>
      <c r="U21" s="548">
        <v>1</v>
      </c>
    </row>
    <row r="22" spans="1:21" ht="14.4" customHeight="1" x14ac:dyDescent="0.3">
      <c r="A22" s="541">
        <v>27</v>
      </c>
      <c r="B22" s="542" t="s">
        <v>500</v>
      </c>
      <c r="C22" s="542">
        <v>89301273</v>
      </c>
      <c r="D22" s="543" t="s">
        <v>1085</v>
      </c>
      <c r="E22" s="544" t="s">
        <v>516</v>
      </c>
      <c r="F22" s="542" t="s">
        <v>510</v>
      </c>
      <c r="G22" s="542" t="s">
        <v>575</v>
      </c>
      <c r="H22" s="542" t="s">
        <v>455</v>
      </c>
      <c r="I22" s="542" t="s">
        <v>579</v>
      </c>
      <c r="J22" s="542" t="s">
        <v>580</v>
      </c>
      <c r="K22" s="542" t="s">
        <v>581</v>
      </c>
      <c r="L22" s="545">
        <v>86.76</v>
      </c>
      <c r="M22" s="545">
        <v>86.76</v>
      </c>
      <c r="N22" s="542">
        <v>1</v>
      </c>
      <c r="O22" s="546">
        <v>1</v>
      </c>
      <c r="P22" s="545"/>
      <c r="Q22" s="547">
        <v>0</v>
      </c>
      <c r="R22" s="542"/>
      <c r="S22" s="547">
        <v>0</v>
      </c>
      <c r="T22" s="546"/>
      <c r="U22" s="548">
        <v>0</v>
      </c>
    </row>
    <row r="23" spans="1:21" ht="14.4" customHeight="1" x14ac:dyDescent="0.3">
      <c r="A23" s="541">
        <v>27</v>
      </c>
      <c r="B23" s="542" t="s">
        <v>500</v>
      </c>
      <c r="C23" s="542">
        <v>89301273</v>
      </c>
      <c r="D23" s="543" t="s">
        <v>1085</v>
      </c>
      <c r="E23" s="544" t="s">
        <v>516</v>
      </c>
      <c r="F23" s="542" t="s">
        <v>510</v>
      </c>
      <c r="G23" s="542" t="s">
        <v>582</v>
      </c>
      <c r="H23" s="542" t="s">
        <v>495</v>
      </c>
      <c r="I23" s="542" t="s">
        <v>583</v>
      </c>
      <c r="J23" s="542" t="s">
        <v>584</v>
      </c>
      <c r="K23" s="542" t="s">
        <v>585</v>
      </c>
      <c r="L23" s="545">
        <v>81.33</v>
      </c>
      <c r="M23" s="545">
        <v>81.33</v>
      </c>
      <c r="N23" s="542">
        <v>1</v>
      </c>
      <c r="O23" s="546">
        <v>1</v>
      </c>
      <c r="P23" s="545"/>
      <c r="Q23" s="547">
        <v>0</v>
      </c>
      <c r="R23" s="542"/>
      <c r="S23" s="547">
        <v>0</v>
      </c>
      <c r="T23" s="546"/>
      <c r="U23" s="548">
        <v>0</v>
      </c>
    </row>
    <row r="24" spans="1:21" ht="14.4" customHeight="1" x14ac:dyDescent="0.3">
      <c r="A24" s="541">
        <v>27</v>
      </c>
      <c r="B24" s="542" t="s">
        <v>500</v>
      </c>
      <c r="C24" s="542">
        <v>89301273</v>
      </c>
      <c r="D24" s="543" t="s">
        <v>1085</v>
      </c>
      <c r="E24" s="544" t="s">
        <v>516</v>
      </c>
      <c r="F24" s="542" t="s">
        <v>510</v>
      </c>
      <c r="G24" s="542" t="s">
        <v>586</v>
      </c>
      <c r="H24" s="542" t="s">
        <v>455</v>
      </c>
      <c r="I24" s="542" t="s">
        <v>587</v>
      </c>
      <c r="J24" s="542" t="s">
        <v>588</v>
      </c>
      <c r="K24" s="542" t="s">
        <v>589</v>
      </c>
      <c r="L24" s="545">
        <v>0</v>
      </c>
      <c r="M24" s="545">
        <v>0</v>
      </c>
      <c r="N24" s="542">
        <v>1</v>
      </c>
      <c r="O24" s="546">
        <v>0.5</v>
      </c>
      <c r="P24" s="545">
        <v>0</v>
      </c>
      <c r="Q24" s="547"/>
      <c r="R24" s="542">
        <v>1</v>
      </c>
      <c r="S24" s="547">
        <v>1</v>
      </c>
      <c r="T24" s="546">
        <v>0.5</v>
      </c>
      <c r="U24" s="548">
        <v>1</v>
      </c>
    </row>
    <row r="25" spans="1:21" ht="14.4" customHeight="1" x14ac:dyDescent="0.3">
      <c r="A25" s="541">
        <v>27</v>
      </c>
      <c r="B25" s="542" t="s">
        <v>500</v>
      </c>
      <c r="C25" s="542">
        <v>89301273</v>
      </c>
      <c r="D25" s="543" t="s">
        <v>1085</v>
      </c>
      <c r="E25" s="544" t="s">
        <v>516</v>
      </c>
      <c r="F25" s="542" t="s">
        <v>510</v>
      </c>
      <c r="G25" s="542" t="s">
        <v>590</v>
      </c>
      <c r="H25" s="542" t="s">
        <v>455</v>
      </c>
      <c r="I25" s="542" t="s">
        <v>591</v>
      </c>
      <c r="J25" s="542" t="s">
        <v>592</v>
      </c>
      <c r="K25" s="542" t="s">
        <v>593</v>
      </c>
      <c r="L25" s="545">
        <v>102.23</v>
      </c>
      <c r="M25" s="545">
        <v>102.23</v>
      </c>
      <c r="N25" s="542">
        <v>1</v>
      </c>
      <c r="O25" s="546">
        <v>1</v>
      </c>
      <c r="P25" s="545"/>
      <c r="Q25" s="547">
        <v>0</v>
      </c>
      <c r="R25" s="542"/>
      <c r="S25" s="547">
        <v>0</v>
      </c>
      <c r="T25" s="546"/>
      <c r="U25" s="548">
        <v>0</v>
      </c>
    </row>
    <row r="26" spans="1:21" ht="14.4" customHeight="1" x14ac:dyDescent="0.3">
      <c r="A26" s="541">
        <v>27</v>
      </c>
      <c r="B26" s="542" t="s">
        <v>500</v>
      </c>
      <c r="C26" s="542">
        <v>89301273</v>
      </c>
      <c r="D26" s="543" t="s">
        <v>1085</v>
      </c>
      <c r="E26" s="544" t="s">
        <v>516</v>
      </c>
      <c r="F26" s="542" t="s">
        <v>510</v>
      </c>
      <c r="G26" s="542" t="s">
        <v>594</v>
      </c>
      <c r="H26" s="542" t="s">
        <v>455</v>
      </c>
      <c r="I26" s="542" t="s">
        <v>595</v>
      </c>
      <c r="J26" s="542" t="s">
        <v>596</v>
      </c>
      <c r="K26" s="542" t="s">
        <v>597</v>
      </c>
      <c r="L26" s="545">
        <v>153.52000000000001</v>
      </c>
      <c r="M26" s="545">
        <v>153.52000000000001</v>
      </c>
      <c r="N26" s="542">
        <v>1</v>
      </c>
      <c r="O26" s="546">
        <v>0.5</v>
      </c>
      <c r="P26" s="545">
        <v>153.52000000000001</v>
      </c>
      <c r="Q26" s="547">
        <v>1</v>
      </c>
      <c r="R26" s="542">
        <v>1</v>
      </c>
      <c r="S26" s="547">
        <v>1</v>
      </c>
      <c r="T26" s="546">
        <v>0.5</v>
      </c>
      <c r="U26" s="548">
        <v>1</v>
      </c>
    </row>
    <row r="27" spans="1:21" ht="14.4" customHeight="1" x14ac:dyDescent="0.3">
      <c r="A27" s="541">
        <v>27</v>
      </c>
      <c r="B27" s="542" t="s">
        <v>500</v>
      </c>
      <c r="C27" s="542">
        <v>89301273</v>
      </c>
      <c r="D27" s="543" t="s">
        <v>1085</v>
      </c>
      <c r="E27" s="544" t="s">
        <v>516</v>
      </c>
      <c r="F27" s="542" t="s">
        <v>510</v>
      </c>
      <c r="G27" s="542" t="s">
        <v>598</v>
      </c>
      <c r="H27" s="542" t="s">
        <v>455</v>
      </c>
      <c r="I27" s="542" t="s">
        <v>599</v>
      </c>
      <c r="J27" s="542" t="s">
        <v>600</v>
      </c>
      <c r="K27" s="542" t="s">
        <v>601</v>
      </c>
      <c r="L27" s="545">
        <v>49.28</v>
      </c>
      <c r="M27" s="545">
        <v>98.56</v>
      </c>
      <c r="N27" s="542">
        <v>2</v>
      </c>
      <c r="O27" s="546">
        <v>0.5</v>
      </c>
      <c r="P27" s="545"/>
      <c r="Q27" s="547">
        <v>0</v>
      </c>
      <c r="R27" s="542"/>
      <c r="S27" s="547">
        <v>0</v>
      </c>
      <c r="T27" s="546"/>
      <c r="U27" s="548">
        <v>0</v>
      </c>
    </row>
    <row r="28" spans="1:21" ht="14.4" customHeight="1" x14ac:dyDescent="0.3">
      <c r="A28" s="541">
        <v>27</v>
      </c>
      <c r="B28" s="542" t="s">
        <v>500</v>
      </c>
      <c r="C28" s="542">
        <v>89301273</v>
      </c>
      <c r="D28" s="543" t="s">
        <v>1085</v>
      </c>
      <c r="E28" s="544" t="s">
        <v>516</v>
      </c>
      <c r="F28" s="542" t="s">
        <v>510</v>
      </c>
      <c r="G28" s="542" t="s">
        <v>602</v>
      </c>
      <c r="H28" s="542" t="s">
        <v>495</v>
      </c>
      <c r="I28" s="542" t="s">
        <v>603</v>
      </c>
      <c r="J28" s="542" t="s">
        <v>604</v>
      </c>
      <c r="K28" s="542" t="s">
        <v>585</v>
      </c>
      <c r="L28" s="545">
        <v>305.08</v>
      </c>
      <c r="M28" s="545">
        <v>305.08</v>
      </c>
      <c r="N28" s="542">
        <v>1</v>
      </c>
      <c r="O28" s="546">
        <v>0.5</v>
      </c>
      <c r="P28" s="545"/>
      <c r="Q28" s="547">
        <v>0</v>
      </c>
      <c r="R28" s="542"/>
      <c r="S28" s="547">
        <v>0</v>
      </c>
      <c r="T28" s="546"/>
      <c r="U28" s="548">
        <v>0</v>
      </c>
    </row>
    <row r="29" spans="1:21" ht="14.4" customHeight="1" x14ac:dyDescent="0.3">
      <c r="A29" s="541">
        <v>27</v>
      </c>
      <c r="B29" s="542" t="s">
        <v>500</v>
      </c>
      <c r="C29" s="542">
        <v>89301273</v>
      </c>
      <c r="D29" s="543" t="s">
        <v>1085</v>
      </c>
      <c r="E29" s="544" t="s">
        <v>516</v>
      </c>
      <c r="F29" s="542" t="s">
        <v>510</v>
      </c>
      <c r="G29" s="542" t="s">
        <v>605</v>
      </c>
      <c r="H29" s="542" t="s">
        <v>455</v>
      </c>
      <c r="I29" s="542" t="s">
        <v>606</v>
      </c>
      <c r="J29" s="542" t="s">
        <v>607</v>
      </c>
      <c r="K29" s="542" t="s">
        <v>608</v>
      </c>
      <c r="L29" s="545">
        <v>56.69</v>
      </c>
      <c r="M29" s="545">
        <v>226.76</v>
      </c>
      <c r="N29" s="542">
        <v>4</v>
      </c>
      <c r="O29" s="546">
        <v>1.5</v>
      </c>
      <c r="P29" s="545">
        <v>113.38</v>
      </c>
      <c r="Q29" s="547">
        <v>0.5</v>
      </c>
      <c r="R29" s="542">
        <v>2</v>
      </c>
      <c r="S29" s="547">
        <v>0.5</v>
      </c>
      <c r="T29" s="546">
        <v>0.5</v>
      </c>
      <c r="U29" s="548">
        <v>0.33333333333333331</v>
      </c>
    </row>
    <row r="30" spans="1:21" ht="14.4" customHeight="1" x14ac:dyDescent="0.3">
      <c r="A30" s="541">
        <v>27</v>
      </c>
      <c r="B30" s="542" t="s">
        <v>500</v>
      </c>
      <c r="C30" s="542">
        <v>89301273</v>
      </c>
      <c r="D30" s="543" t="s">
        <v>1085</v>
      </c>
      <c r="E30" s="544" t="s">
        <v>516</v>
      </c>
      <c r="F30" s="542" t="s">
        <v>510</v>
      </c>
      <c r="G30" s="542" t="s">
        <v>609</v>
      </c>
      <c r="H30" s="542" t="s">
        <v>495</v>
      </c>
      <c r="I30" s="542" t="s">
        <v>610</v>
      </c>
      <c r="J30" s="542" t="s">
        <v>611</v>
      </c>
      <c r="K30" s="542" t="s">
        <v>612</v>
      </c>
      <c r="L30" s="545">
        <v>32.630000000000003</v>
      </c>
      <c r="M30" s="545">
        <v>65.260000000000005</v>
      </c>
      <c r="N30" s="542">
        <v>2</v>
      </c>
      <c r="O30" s="546">
        <v>0.5</v>
      </c>
      <c r="P30" s="545">
        <v>65.260000000000005</v>
      </c>
      <c r="Q30" s="547">
        <v>1</v>
      </c>
      <c r="R30" s="542">
        <v>2</v>
      </c>
      <c r="S30" s="547">
        <v>1</v>
      </c>
      <c r="T30" s="546">
        <v>0.5</v>
      </c>
      <c r="U30" s="548">
        <v>1</v>
      </c>
    </row>
    <row r="31" spans="1:21" ht="14.4" customHeight="1" x14ac:dyDescent="0.3">
      <c r="A31" s="541">
        <v>27</v>
      </c>
      <c r="B31" s="542" t="s">
        <v>500</v>
      </c>
      <c r="C31" s="542">
        <v>89301273</v>
      </c>
      <c r="D31" s="543" t="s">
        <v>1085</v>
      </c>
      <c r="E31" s="544" t="s">
        <v>516</v>
      </c>
      <c r="F31" s="542" t="s">
        <v>510</v>
      </c>
      <c r="G31" s="542" t="s">
        <v>609</v>
      </c>
      <c r="H31" s="542" t="s">
        <v>495</v>
      </c>
      <c r="I31" s="542" t="s">
        <v>610</v>
      </c>
      <c r="J31" s="542" t="s">
        <v>611</v>
      </c>
      <c r="K31" s="542" t="s">
        <v>612</v>
      </c>
      <c r="L31" s="545">
        <v>37.65</v>
      </c>
      <c r="M31" s="545">
        <v>75.3</v>
      </c>
      <c r="N31" s="542">
        <v>2</v>
      </c>
      <c r="O31" s="546">
        <v>0.5</v>
      </c>
      <c r="P31" s="545">
        <v>75.3</v>
      </c>
      <c r="Q31" s="547">
        <v>1</v>
      </c>
      <c r="R31" s="542">
        <v>2</v>
      </c>
      <c r="S31" s="547">
        <v>1</v>
      </c>
      <c r="T31" s="546">
        <v>0.5</v>
      </c>
      <c r="U31" s="548">
        <v>1</v>
      </c>
    </row>
    <row r="32" spans="1:21" ht="14.4" customHeight="1" x14ac:dyDescent="0.3">
      <c r="A32" s="541">
        <v>27</v>
      </c>
      <c r="B32" s="542" t="s">
        <v>500</v>
      </c>
      <c r="C32" s="542">
        <v>89301273</v>
      </c>
      <c r="D32" s="543" t="s">
        <v>1085</v>
      </c>
      <c r="E32" s="544" t="s">
        <v>516</v>
      </c>
      <c r="F32" s="542" t="s">
        <v>510</v>
      </c>
      <c r="G32" s="542" t="s">
        <v>613</v>
      </c>
      <c r="H32" s="542" t="s">
        <v>455</v>
      </c>
      <c r="I32" s="542" t="s">
        <v>614</v>
      </c>
      <c r="J32" s="542" t="s">
        <v>615</v>
      </c>
      <c r="K32" s="542" t="s">
        <v>616</v>
      </c>
      <c r="L32" s="545">
        <v>0</v>
      </c>
      <c r="M32" s="545">
        <v>0</v>
      </c>
      <c r="N32" s="542">
        <v>2</v>
      </c>
      <c r="O32" s="546">
        <v>1</v>
      </c>
      <c r="P32" s="545">
        <v>0</v>
      </c>
      <c r="Q32" s="547"/>
      <c r="R32" s="542">
        <v>2</v>
      </c>
      <c r="S32" s="547">
        <v>1</v>
      </c>
      <c r="T32" s="546">
        <v>1</v>
      </c>
      <c r="U32" s="548">
        <v>1</v>
      </c>
    </row>
    <row r="33" spans="1:21" ht="14.4" customHeight="1" x14ac:dyDescent="0.3">
      <c r="A33" s="541">
        <v>27</v>
      </c>
      <c r="B33" s="542" t="s">
        <v>500</v>
      </c>
      <c r="C33" s="542">
        <v>89301273</v>
      </c>
      <c r="D33" s="543" t="s">
        <v>1085</v>
      </c>
      <c r="E33" s="544" t="s">
        <v>516</v>
      </c>
      <c r="F33" s="542" t="s">
        <v>510</v>
      </c>
      <c r="G33" s="542" t="s">
        <v>617</v>
      </c>
      <c r="H33" s="542" t="s">
        <v>455</v>
      </c>
      <c r="I33" s="542" t="s">
        <v>618</v>
      </c>
      <c r="J33" s="542" t="s">
        <v>619</v>
      </c>
      <c r="K33" s="542" t="s">
        <v>620</v>
      </c>
      <c r="L33" s="545">
        <v>126.26</v>
      </c>
      <c r="M33" s="545">
        <v>505.04</v>
      </c>
      <c r="N33" s="542">
        <v>4</v>
      </c>
      <c r="O33" s="546">
        <v>2</v>
      </c>
      <c r="P33" s="545"/>
      <c r="Q33" s="547">
        <v>0</v>
      </c>
      <c r="R33" s="542"/>
      <c r="S33" s="547">
        <v>0</v>
      </c>
      <c r="T33" s="546"/>
      <c r="U33" s="548">
        <v>0</v>
      </c>
    </row>
    <row r="34" spans="1:21" ht="14.4" customHeight="1" x14ac:dyDescent="0.3">
      <c r="A34" s="541">
        <v>27</v>
      </c>
      <c r="B34" s="542" t="s">
        <v>500</v>
      </c>
      <c r="C34" s="542">
        <v>89301273</v>
      </c>
      <c r="D34" s="543" t="s">
        <v>1085</v>
      </c>
      <c r="E34" s="544" t="s">
        <v>517</v>
      </c>
      <c r="F34" s="542" t="s">
        <v>510</v>
      </c>
      <c r="G34" s="542" t="s">
        <v>621</v>
      </c>
      <c r="H34" s="542" t="s">
        <v>455</v>
      </c>
      <c r="I34" s="542" t="s">
        <v>622</v>
      </c>
      <c r="J34" s="542" t="s">
        <v>623</v>
      </c>
      <c r="K34" s="542" t="s">
        <v>528</v>
      </c>
      <c r="L34" s="545">
        <v>356.47</v>
      </c>
      <c r="M34" s="545">
        <v>356.47</v>
      </c>
      <c r="N34" s="542">
        <v>1</v>
      </c>
      <c r="O34" s="546">
        <v>1</v>
      </c>
      <c r="P34" s="545"/>
      <c r="Q34" s="547">
        <v>0</v>
      </c>
      <c r="R34" s="542"/>
      <c r="S34" s="547">
        <v>0</v>
      </c>
      <c r="T34" s="546"/>
      <c r="U34" s="548">
        <v>0</v>
      </c>
    </row>
    <row r="35" spans="1:21" ht="14.4" customHeight="1" x14ac:dyDescent="0.3">
      <c r="A35" s="541">
        <v>27</v>
      </c>
      <c r="B35" s="542" t="s">
        <v>500</v>
      </c>
      <c r="C35" s="542">
        <v>89301273</v>
      </c>
      <c r="D35" s="543" t="s">
        <v>1085</v>
      </c>
      <c r="E35" s="544" t="s">
        <v>517</v>
      </c>
      <c r="F35" s="542" t="s">
        <v>510</v>
      </c>
      <c r="G35" s="542" t="s">
        <v>621</v>
      </c>
      <c r="H35" s="542" t="s">
        <v>495</v>
      </c>
      <c r="I35" s="542" t="s">
        <v>624</v>
      </c>
      <c r="J35" s="542" t="s">
        <v>625</v>
      </c>
      <c r="K35" s="542" t="s">
        <v>528</v>
      </c>
      <c r="L35" s="545">
        <v>356.47</v>
      </c>
      <c r="M35" s="545">
        <v>356.47</v>
      </c>
      <c r="N35" s="542">
        <v>1</v>
      </c>
      <c r="O35" s="546"/>
      <c r="P35" s="545">
        <v>356.47</v>
      </c>
      <c r="Q35" s="547">
        <v>1</v>
      </c>
      <c r="R35" s="542">
        <v>1</v>
      </c>
      <c r="S35" s="547">
        <v>1</v>
      </c>
      <c r="T35" s="546"/>
      <c r="U35" s="548"/>
    </row>
    <row r="36" spans="1:21" ht="14.4" customHeight="1" x14ac:dyDescent="0.3">
      <c r="A36" s="541">
        <v>27</v>
      </c>
      <c r="B36" s="542" t="s">
        <v>500</v>
      </c>
      <c r="C36" s="542">
        <v>89301273</v>
      </c>
      <c r="D36" s="543" t="s">
        <v>1085</v>
      </c>
      <c r="E36" s="544" t="s">
        <v>517</v>
      </c>
      <c r="F36" s="542" t="s">
        <v>510</v>
      </c>
      <c r="G36" s="542" t="s">
        <v>567</v>
      </c>
      <c r="H36" s="542" t="s">
        <v>455</v>
      </c>
      <c r="I36" s="542" t="s">
        <v>568</v>
      </c>
      <c r="J36" s="542" t="s">
        <v>569</v>
      </c>
      <c r="K36" s="542" t="s">
        <v>570</v>
      </c>
      <c r="L36" s="545">
        <v>50.27</v>
      </c>
      <c r="M36" s="545">
        <v>50.27</v>
      </c>
      <c r="N36" s="542">
        <v>1</v>
      </c>
      <c r="O36" s="546">
        <v>1</v>
      </c>
      <c r="P36" s="545">
        <v>50.27</v>
      </c>
      <c r="Q36" s="547">
        <v>1</v>
      </c>
      <c r="R36" s="542">
        <v>1</v>
      </c>
      <c r="S36" s="547">
        <v>1</v>
      </c>
      <c r="T36" s="546">
        <v>1</v>
      </c>
      <c r="U36" s="548">
        <v>1</v>
      </c>
    </row>
    <row r="37" spans="1:21" ht="14.4" customHeight="1" x14ac:dyDescent="0.3">
      <c r="A37" s="541">
        <v>27</v>
      </c>
      <c r="B37" s="542" t="s">
        <v>500</v>
      </c>
      <c r="C37" s="542">
        <v>89301273</v>
      </c>
      <c r="D37" s="543" t="s">
        <v>1085</v>
      </c>
      <c r="E37" s="544" t="s">
        <v>517</v>
      </c>
      <c r="F37" s="542" t="s">
        <v>510</v>
      </c>
      <c r="G37" s="542" t="s">
        <v>626</v>
      </c>
      <c r="H37" s="542" t="s">
        <v>455</v>
      </c>
      <c r="I37" s="542" t="s">
        <v>627</v>
      </c>
      <c r="J37" s="542" t="s">
        <v>628</v>
      </c>
      <c r="K37" s="542" t="s">
        <v>629</v>
      </c>
      <c r="L37" s="545">
        <v>0</v>
      </c>
      <c r="M37" s="545">
        <v>0</v>
      </c>
      <c r="N37" s="542">
        <v>1</v>
      </c>
      <c r="O37" s="546">
        <v>1</v>
      </c>
      <c r="P37" s="545">
        <v>0</v>
      </c>
      <c r="Q37" s="547"/>
      <c r="R37" s="542">
        <v>1</v>
      </c>
      <c r="S37" s="547">
        <v>1</v>
      </c>
      <c r="T37" s="546">
        <v>1</v>
      </c>
      <c r="U37" s="548">
        <v>1</v>
      </c>
    </row>
    <row r="38" spans="1:21" ht="14.4" customHeight="1" x14ac:dyDescent="0.3">
      <c r="A38" s="541">
        <v>27</v>
      </c>
      <c r="B38" s="542" t="s">
        <v>500</v>
      </c>
      <c r="C38" s="542">
        <v>89301273</v>
      </c>
      <c r="D38" s="543" t="s">
        <v>1085</v>
      </c>
      <c r="E38" s="544" t="s">
        <v>517</v>
      </c>
      <c r="F38" s="542" t="s">
        <v>510</v>
      </c>
      <c r="G38" s="542" t="s">
        <v>630</v>
      </c>
      <c r="H38" s="542" t="s">
        <v>495</v>
      </c>
      <c r="I38" s="542" t="s">
        <v>631</v>
      </c>
      <c r="J38" s="542" t="s">
        <v>632</v>
      </c>
      <c r="K38" s="542" t="s">
        <v>633</v>
      </c>
      <c r="L38" s="545">
        <v>29.78</v>
      </c>
      <c r="M38" s="545">
        <v>29.78</v>
      </c>
      <c r="N38" s="542">
        <v>1</v>
      </c>
      <c r="O38" s="546">
        <v>1</v>
      </c>
      <c r="P38" s="545"/>
      <c r="Q38" s="547">
        <v>0</v>
      </c>
      <c r="R38" s="542"/>
      <c r="S38" s="547">
        <v>0</v>
      </c>
      <c r="T38" s="546"/>
      <c r="U38" s="548">
        <v>0</v>
      </c>
    </row>
    <row r="39" spans="1:21" ht="14.4" customHeight="1" x14ac:dyDescent="0.3">
      <c r="A39" s="541">
        <v>27</v>
      </c>
      <c r="B39" s="542" t="s">
        <v>500</v>
      </c>
      <c r="C39" s="542">
        <v>89301273</v>
      </c>
      <c r="D39" s="543" t="s">
        <v>1085</v>
      </c>
      <c r="E39" s="544" t="s">
        <v>517</v>
      </c>
      <c r="F39" s="542" t="s">
        <v>510</v>
      </c>
      <c r="G39" s="542" t="s">
        <v>634</v>
      </c>
      <c r="H39" s="542" t="s">
        <v>455</v>
      </c>
      <c r="I39" s="542" t="s">
        <v>635</v>
      </c>
      <c r="J39" s="542" t="s">
        <v>636</v>
      </c>
      <c r="K39" s="542" t="s">
        <v>637</v>
      </c>
      <c r="L39" s="545">
        <v>97.97</v>
      </c>
      <c r="M39" s="545">
        <v>97.97</v>
      </c>
      <c r="N39" s="542">
        <v>1</v>
      </c>
      <c r="O39" s="546">
        <v>1</v>
      </c>
      <c r="P39" s="545">
        <v>97.97</v>
      </c>
      <c r="Q39" s="547">
        <v>1</v>
      </c>
      <c r="R39" s="542">
        <v>1</v>
      </c>
      <c r="S39" s="547">
        <v>1</v>
      </c>
      <c r="T39" s="546">
        <v>1</v>
      </c>
      <c r="U39" s="548">
        <v>1</v>
      </c>
    </row>
    <row r="40" spans="1:21" ht="14.4" customHeight="1" x14ac:dyDescent="0.3">
      <c r="A40" s="541">
        <v>27</v>
      </c>
      <c r="B40" s="542" t="s">
        <v>500</v>
      </c>
      <c r="C40" s="542">
        <v>89301273</v>
      </c>
      <c r="D40" s="543" t="s">
        <v>1085</v>
      </c>
      <c r="E40" s="544" t="s">
        <v>518</v>
      </c>
      <c r="F40" s="542" t="s">
        <v>510</v>
      </c>
      <c r="G40" s="542" t="s">
        <v>521</v>
      </c>
      <c r="H40" s="542" t="s">
        <v>495</v>
      </c>
      <c r="I40" s="542" t="s">
        <v>522</v>
      </c>
      <c r="J40" s="542" t="s">
        <v>523</v>
      </c>
      <c r="K40" s="542" t="s">
        <v>524</v>
      </c>
      <c r="L40" s="545">
        <v>156.86000000000001</v>
      </c>
      <c r="M40" s="545">
        <v>156.86000000000001</v>
      </c>
      <c r="N40" s="542">
        <v>1</v>
      </c>
      <c r="O40" s="546">
        <v>1</v>
      </c>
      <c r="P40" s="545">
        <v>156.86000000000001</v>
      </c>
      <c r="Q40" s="547">
        <v>1</v>
      </c>
      <c r="R40" s="542">
        <v>1</v>
      </c>
      <c r="S40" s="547">
        <v>1</v>
      </c>
      <c r="T40" s="546">
        <v>1</v>
      </c>
      <c r="U40" s="548">
        <v>1</v>
      </c>
    </row>
    <row r="41" spans="1:21" ht="14.4" customHeight="1" x14ac:dyDescent="0.3">
      <c r="A41" s="541">
        <v>27</v>
      </c>
      <c r="B41" s="542" t="s">
        <v>500</v>
      </c>
      <c r="C41" s="542">
        <v>89301273</v>
      </c>
      <c r="D41" s="543" t="s">
        <v>1085</v>
      </c>
      <c r="E41" s="544" t="s">
        <v>518</v>
      </c>
      <c r="F41" s="542" t="s">
        <v>510</v>
      </c>
      <c r="G41" s="542" t="s">
        <v>521</v>
      </c>
      <c r="H41" s="542" t="s">
        <v>455</v>
      </c>
      <c r="I41" s="542" t="s">
        <v>638</v>
      </c>
      <c r="J41" s="542" t="s">
        <v>639</v>
      </c>
      <c r="K41" s="542" t="s">
        <v>640</v>
      </c>
      <c r="L41" s="545">
        <v>333.31</v>
      </c>
      <c r="M41" s="545">
        <v>666.62</v>
      </c>
      <c r="N41" s="542">
        <v>2</v>
      </c>
      <c r="O41" s="546">
        <v>2</v>
      </c>
      <c r="P41" s="545">
        <v>666.62</v>
      </c>
      <c r="Q41" s="547">
        <v>1</v>
      </c>
      <c r="R41" s="542">
        <v>2</v>
      </c>
      <c r="S41" s="547">
        <v>1</v>
      </c>
      <c r="T41" s="546">
        <v>2</v>
      </c>
      <c r="U41" s="548">
        <v>1</v>
      </c>
    </row>
    <row r="42" spans="1:21" ht="14.4" customHeight="1" x14ac:dyDescent="0.3">
      <c r="A42" s="541">
        <v>27</v>
      </c>
      <c r="B42" s="542" t="s">
        <v>500</v>
      </c>
      <c r="C42" s="542">
        <v>89301273</v>
      </c>
      <c r="D42" s="543" t="s">
        <v>1085</v>
      </c>
      <c r="E42" s="544" t="s">
        <v>518</v>
      </c>
      <c r="F42" s="542" t="s">
        <v>510</v>
      </c>
      <c r="G42" s="542" t="s">
        <v>521</v>
      </c>
      <c r="H42" s="542" t="s">
        <v>455</v>
      </c>
      <c r="I42" s="542" t="s">
        <v>641</v>
      </c>
      <c r="J42" s="542" t="s">
        <v>642</v>
      </c>
      <c r="K42" s="542" t="s">
        <v>643</v>
      </c>
      <c r="L42" s="545">
        <v>0</v>
      </c>
      <c r="M42" s="545">
        <v>0</v>
      </c>
      <c r="N42" s="542">
        <v>1</v>
      </c>
      <c r="O42" s="546">
        <v>1</v>
      </c>
      <c r="P42" s="545">
        <v>0</v>
      </c>
      <c r="Q42" s="547"/>
      <c r="R42" s="542">
        <v>1</v>
      </c>
      <c r="S42" s="547">
        <v>1</v>
      </c>
      <c r="T42" s="546">
        <v>1</v>
      </c>
      <c r="U42" s="548">
        <v>1</v>
      </c>
    </row>
    <row r="43" spans="1:21" ht="14.4" customHeight="1" x14ac:dyDescent="0.3">
      <c r="A43" s="541">
        <v>27</v>
      </c>
      <c r="B43" s="542" t="s">
        <v>500</v>
      </c>
      <c r="C43" s="542">
        <v>89301273</v>
      </c>
      <c r="D43" s="543" t="s">
        <v>1085</v>
      </c>
      <c r="E43" s="544" t="s">
        <v>518</v>
      </c>
      <c r="F43" s="542" t="s">
        <v>510</v>
      </c>
      <c r="G43" s="542" t="s">
        <v>541</v>
      </c>
      <c r="H43" s="542" t="s">
        <v>455</v>
      </c>
      <c r="I43" s="542" t="s">
        <v>542</v>
      </c>
      <c r="J43" s="542" t="s">
        <v>543</v>
      </c>
      <c r="K43" s="542" t="s">
        <v>544</v>
      </c>
      <c r="L43" s="545">
        <v>115.3</v>
      </c>
      <c r="M43" s="545">
        <v>461.2</v>
      </c>
      <c r="N43" s="542">
        <v>4</v>
      </c>
      <c r="O43" s="546">
        <v>3.5</v>
      </c>
      <c r="P43" s="545">
        <v>461.2</v>
      </c>
      <c r="Q43" s="547">
        <v>1</v>
      </c>
      <c r="R43" s="542">
        <v>4</v>
      </c>
      <c r="S43" s="547">
        <v>1</v>
      </c>
      <c r="T43" s="546">
        <v>3.5</v>
      </c>
      <c r="U43" s="548">
        <v>1</v>
      </c>
    </row>
    <row r="44" spans="1:21" ht="14.4" customHeight="1" x14ac:dyDescent="0.3">
      <c r="A44" s="541">
        <v>27</v>
      </c>
      <c r="B44" s="542" t="s">
        <v>500</v>
      </c>
      <c r="C44" s="542">
        <v>89301273</v>
      </c>
      <c r="D44" s="543" t="s">
        <v>1085</v>
      </c>
      <c r="E44" s="544" t="s">
        <v>518</v>
      </c>
      <c r="F44" s="542" t="s">
        <v>510</v>
      </c>
      <c r="G44" s="542" t="s">
        <v>541</v>
      </c>
      <c r="H44" s="542" t="s">
        <v>455</v>
      </c>
      <c r="I44" s="542" t="s">
        <v>644</v>
      </c>
      <c r="J44" s="542" t="s">
        <v>543</v>
      </c>
      <c r="K44" s="542" t="s">
        <v>544</v>
      </c>
      <c r="L44" s="545">
        <v>115.3</v>
      </c>
      <c r="M44" s="545">
        <v>230.6</v>
      </c>
      <c r="N44" s="542">
        <v>2</v>
      </c>
      <c r="O44" s="546">
        <v>1.5</v>
      </c>
      <c r="P44" s="545">
        <v>230.6</v>
      </c>
      <c r="Q44" s="547">
        <v>1</v>
      </c>
      <c r="R44" s="542">
        <v>2</v>
      </c>
      <c r="S44" s="547">
        <v>1</v>
      </c>
      <c r="T44" s="546">
        <v>1.5</v>
      </c>
      <c r="U44" s="548">
        <v>1</v>
      </c>
    </row>
    <row r="45" spans="1:21" ht="14.4" customHeight="1" x14ac:dyDescent="0.3">
      <c r="A45" s="541">
        <v>27</v>
      </c>
      <c r="B45" s="542" t="s">
        <v>500</v>
      </c>
      <c r="C45" s="542">
        <v>89301273</v>
      </c>
      <c r="D45" s="543" t="s">
        <v>1085</v>
      </c>
      <c r="E45" s="544" t="s">
        <v>518</v>
      </c>
      <c r="F45" s="542" t="s">
        <v>510</v>
      </c>
      <c r="G45" s="542" t="s">
        <v>541</v>
      </c>
      <c r="H45" s="542" t="s">
        <v>455</v>
      </c>
      <c r="I45" s="542" t="s">
        <v>645</v>
      </c>
      <c r="J45" s="542" t="s">
        <v>543</v>
      </c>
      <c r="K45" s="542" t="s">
        <v>544</v>
      </c>
      <c r="L45" s="545">
        <v>115.3</v>
      </c>
      <c r="M45" s="545">
        <v>115.3</v>
      </c>
      <c r="N45" s="542">
        <v>1</v>
      </c>
      <c r="O45" s="546">
        <v>0.5</v>
      </c>
      <c r="P45" s="545">
        <v>115.3</v>
      </c>
      <c r="Q45" s="547">
        <v>1</v>
      </c>
      <c r="R45" s="542">
        <v>1</v>
      </c>
      <c r="S45" s="547">
        <v>1</v>
      </c>
      <c r="T45" s="546">
        <v>0.5</v>
      </c>
      <c r="U45" s="548">
        <v>1</v>
      </c>
    </row>
    <row r="46" spans="1:21" ht="14.4" customHeight="1" x14ac:dyDescent="0.3">
      <c r="A46" s="541">
        <v>27</v>
      </c>
      <c r="B46" s="542" t="s">
        <v>500</v>
      </c>
      <c r="C46" s="542">
        <v>89301273</v>
      </c>
      <c r="D46" s="543" t="s">
        <v>1085</v>
      </c>
      <c r="E46" s="544" t="s">
        <v>518</v>
      </c>
      <c r="F46" s="542" t="s">
        <v>510</v>
      </c>
      <c r="G46" s="542" t="s">
        <v>541</v>
      </c>
      <c r="H46" s="542" t="s">
        <v>455</v>
      </c>
      <c r="I46" s="542" t="s">
        <v>646</v>
      </c>
      <c r="J46" s="542" t="s">
        <v>543</v>
      </c>
      <c r="K46" s="542" t="s">
        <v>647</v>
      </c>
      <c r="L46" s="545">
        <v>57.65</v>
      </c>
      <c r="M46" s="545">
        <v>57.65</v>
      </c>
      <c r="N46" s="542">
        <v>1</v>
      </c>
      <c r="O46" s="546">
        <v>1</v>
      </c>
      <c r="P46" s="545">
        <v>57.65</v>
      </c>
      <c r="Q46" s="547">
        <v>1</v>
      </c>
      <c r="R46" s="542">
        <v>1</v>
      </c>
      <c r="S46" s="547">
        <v>1</v>
      </c>
      <c r="T46" s="546">
        <v>1</v>
      </c>
      <c r="U46" s="548">
        <v>1</v>
      </c>
    </row>
    <row r="47" spans="1:21" ht="14.4" customHeight="1" x14ac:dyDescent="0.3">
      <c r="A47" s="541">
        <v>27</v>
      </c>
      <c r="B47" s="542" t="s">
        <v>500</v>
      </c>
      <c r="C47" s="542">
        <v>89301273</v>
      </c>
      <c r="D47" s="543" t="s">
        <v>1085</v>
      </c>
      <c r="E47" s="544" t="s">
        <v>518</v>
      </c>
      <c r="F47" s="542" t="s">
        <v>510</v>
      </c>
      <c r="G47" s="542" t="s">
        <v>648</v>
      </c>
      <c r="H47" s="542" t="s">
        <v>455</v>
      </c>
      <c r="I47" s="542" t="s">
        <v>649</v>
      </c>
      <c r="J47" s="542" t="s">
        <v>650</v>
      </c>
      <c r="K47" s="542" t="s">
        <v>651</v>
      </c>
      <c r="L47" s="545">
        <v>103.12</v>
      </c>
      <c r="M47" s="545">
        <v>515.6</v>
      </c>
      <c r="N47" s="542">
        <v>5</v>
      </c>
      <c r="O47" s="546">
        <v>4.5</v>
      </c>
      <c r="P47" s="545">
        <v>412.48</v>
      </c>
      <c r="Q47" s="547">
        <v>0.8</v>
      </c>
      <c r="R47" s="542">
        <v>4</v>
      </c>
      <c r="S47" s="547">
        <v>0.8</v>
      </c>
      <c r="T47" s="546">
        <v>3.5</v>
      </c>
      <c r="U47" s="548">
        <v>0.77777777777777779</v>
      </c>
    </row>
    <row r="48" spans="1:21" ht="14.4" customHeight="1" x14ac:dyDescent="0.3">
      <c r="A48" s="541">
        <v>27</v>
      </c>
      <c r="B48" s="542" t="s">
        <v>500</v>
      </c>
      <c r="C48" s="542">
        <v>89301273</v>
      </c>
      <c r="D48" s="543" t="s">
        <v>1085</v>
      </c>
      <c r="E48" s="544" t="s">
        <v>518</v>
      </c>
      <c r="F48" s="542" t="s">
        <v>510</v>
      </c>
      <c r="G48" s="542" t="s">
        <v>652</v>
      </c>
      <c r="H48" s="542" t="s">
        <v>455</v>
      </c>
      <c r="I48" s="542" t="s">
        <v>653</v>
      </c>
      <c r="J48" s="542" t="s">
        <v>654</v>
      </c>
      <c r="K48" s="542" t="s">
        <v>655</v>
      </c>
      <c r="L48" s="545">
        <v>116.8</v>
      </c>
      <c r="M48" s="545">
        <v>233.6</v>
      </c>
      <c r="N48" s="542">
        <v>2</v>
      </c>
      <c r="O48" s="546">
        <v>1</v>
      </c>
      <c r="P48" s="545">
        <v>233.6</v>
      </c>
      <c r="Q48" s="547">
        <v>1</v>
      </c>
      <c r="R48" s="542">
        <v>2</v>
      </c>
      <c r="S48" s="547">
        <v>1</v>
      </c>
      <c r="T48" s="546">
        <v>1</v>
      </c>
      <c r="U48" s="548">
        <v>1</v>
      </c>
    </row>
    <row r="49" spans="1:21" ht="14.4" customHeight="1" x14ac:dyDescent="0.3">
      <c r="A49" s="541">
        <v>27</v>
      </c>
      <c r="B49" s="542" t="s">
        <v>500</v>
      </c>
      <c r="C49" s="542">
        <v>89301273</v>
      </c>
      <c r="D49" s="543" t="s">
        <v>1085</v>
      </c>
      <c r="E49" s="544" t="s">
        <v>518</v>
      </c>
      <c r="F49" s="542" t="s">
        <v>510</v>
      </c>
      <c r="G49" s="542" t="s">
        <v>652</v>
      </c>
      <c r="H49" s="542" t="s">
        <v>495</v>
      </c>
      <c r="I49" s="542" t="s">
        <v>656</v>
      </c>
      <c r="J49" s="542" t="s">
        <v>657</v>
      </c>
      <c r="K49" s="542" t="s">
        <v>655</v>
      </c>
      <c r="L49" s="545">
        <v>116.8</v>
      </c>
      <c r="M49" s="545">
        <v>116.8</v>
      </c>
      <c r="N49" s="542">
        <v>1</v>
      </c>
      <c r="O49" s="546">
        <v>1</v>
      </c>
      <c r="P49" s="545">
        <v>116.8</v>
      </c>
      <c r="Q49" s="547">
        <v>1</v>
      </c>
      <c r="R49" s="542">
        <v>1</v>
      </c>
      <c r="S49" s="547">
        <v>1</v>
      </c>
      <c r="T49" s="546">
        <v>1</v>
      </c>
      <c r="U49" s="548">
        <v>1</v>
      </c>
    </row>
    <row r="50" spans="1:21" ht="14.4" customHeight="1" x14ac:dyDescent="0.3">
      <c r="A50" s="541">
        <v>27</v>
      </c>
      <c r="B50" s="542" t="s">
        <v>500</v>
      </c>
      <c r="C50" s="542">
        <v>89301273</v>
      </c>
      <c r="D50" s="543" t="s">
        <v>1085</v>
      </c>
      <c r="E50" s="544" t="s">
        <v>518</v>
      </c>
      <c r="F50" s="542" t="s">
        <v>510</v>
      </c>
      <c r="G50" s="542" t="s">
        <v>658</v>
      </c>
      <c r="H50" s="542" t="s">
        <v>455</v>
      </c>
      <c r="I50" s="542" t="s">
        <v>659</v>
      </c>
      <c r="J50" s="542" t="s">
        <v>660</v>
      </c>
      <c r="K50" s="542" t="s">
        <v>661</v>
      </c>
      <c r="L50" s="545">
        <v>72.05</v>
      </c>
      <c r="M50" s="545">
        <v>72.05</v>
      </c>
      <c r="N50" s="542">
        <v>1</v>
      </c>
      <c r="O50" s="546">
        <v>1</v>
      </c>
      <c r="P50" s="545">
        <v>72.05</v>
      </c>
      <c r="Q50" s="547">
        <v>1</v>
      </c>
      <c r="R50" s="542">
        <v>1</v>
      </c>
      <c r="S50" s="547">
        <v>1</v>
      </c>
      <c r="T50" s="546">
        <v>1</v>
      </c>
      <c r="U50" s="548">
        <v>1</v>
      </c>
    </row>
    <row r="51" spans="1:21" ht="14.4" customHeight="1" x14ac:dyDescent="0.3">
      <c r="A51" s="541">
        <v>27</v>
      </c>
      <c r="B51" s="542" t="s">
        <v>500</v>
      </c>
      <c r="C51" s="542">
        <v>89301273</v>
      </c>
      <c r="D51" s="543" t="s">
        <v>1085</v>
      </c>
      <c r="E51" s="544" t="s">
        <v>518</v>
      </c>
      <c r="F51" s="542" t="s">
        <v>510</v>
      </c>
      <c r="G51" s="542" t="s">
        <v>662</v>
      </c>
      <c r="H51" s="542" t="s">
        <v>455</v>
      </c>
      <c r="I51" s="542" t="s">
        <v>663</v>
      </c>
      <c r="J51" s="542" t="s">
        <v>664</v>
      </c>
      <c r="K51" s="542" t="s">
        <v>665</v>
      </c>
      <c r="L51" s="545">
        <v>38.65</v>
      </c>
      <c r="M51" s="545">
        <v>77.3</v>
      </c>
      <c r="N51" s="542">
        <v>2</v>
      </c>
      <c r="O51" s="546">
        <v>2</v>
      </c>
      <c r="P51" s="545">
        <v>38.65</v>
      </c>
      <c r="Q51" s="547">
        <v>0.5</v>
      </c>
      <c r="R51" s="542">
        <v>1</v>
      </c>
      <c r="S51" s="547">
        <v>0.5</v>
      </c>
      <c r="T51" s="546">
        <v>1</v>
      </c>
      <c r="U51" s="548">
        <v>0.5</v>
      </c>
    </row>
    <row r="52" spans="1:21" ht="14.4" customHeight="1" x14ac:dyDescent="0.3">
      <c r="A52" s="541">
        <v>27</v>
      </c>
      <c r="B52" s="542" t="s">
        <v>500</v>
      </c>
      <c r="C52" s="542">
        <v>89301273</v>
      </c>
      <c r="D52" s="543" t="s">
        <v>1085</v>
      </c>
      <c r="E52" s="544" t="s">
        <v>518</v>
      </c>
      <c r="F52" s="542" t="s">
        <v>510</v>
      </c>
      <c r="G52" s="542" t="s">
        <v>666</v>
      </c>
      <c r="H52" s="542" t="s">
        <v>455</v>
      </c>
      <c r="I52" s="542" t="s">
        <v>667</v>
      </c>
      <c r="J52" s="542" t="s">
        <v>668</v>
      </c>
      <c r="K52" s="542" t="s">
        <v>669</v>
      </c>
      <c r="L52" s="545">
        <v>91.14</v>
      </c>
      <c r="M52" s="545">
        <v>182.28</v>
      </c>
      <c r="N52" s="542">
        <v>2</v>
      </c>
      <c r="O52" s="546">
        <v>1.5</v>
      </c>
      <c r="P52" s="545">
        <v>91.14</v>
      </c>
      <c r="Q52" s="547">
        <v>0.5</v>
      </c>
      <c r="R52" s="542">
        <v>1</v>
      </c>
      <c r="S52" s="547">
        <v>0.5</v>
      </c>
      <c r="T52" s="546">
        <v>1</v>
      </c>
      <c r="U52" s="548">
        <v>0.66666666666666663</v>
      </c>
    </row>
    <row r="53" spans="1:21" ht="14.4" customHeight="1" x14ac:dyDescent="0.3">
      <c r="A53" s="541">
        <v>27</v>
      </c>
      <c r="B53" s="542" t="s">
        <v>500</v>
      </c>
      <c r="C53" s="542">
        <v>89301273</v>
      </c>
      <c r="D53" s="543" t="s">
        <v>1085</v>
      </c>
      <c r="E53" s="544" t="s">
        <v>518</v>
      </c>
      <c r="F53" s="542" t="s">
        <v>510</v>
      </c>
      <c r="G53" s="542" t="s">
        <v>670</v>
      </c>
      <c r="H53" s="542" t="s">
        <v>455</v>
      </c>
      <c r="I53" s="542" t="s">
        <v>671</v>
      </c>
      <c r="J53" s="542" t="s">
        <v>672</v>
      </c>
      <c r="K53" s="542" t="s">
        <v>673</v>
      </c>
      <c r="L53" s="545">
        <v>709.97</v>
      </c>
      <c r="M53" s="545">
        <v>1419.94</v>
      </c>
      <c r="N53" s="542">
        <v>2</v>
      </c>
      <c r="O53" s="546">
        <v>2</v>
      </c>
      <c r="P53" s="545">
        <v>1419.94</v>
      </c>
      <c r="Q53" s="547">
        <v>1</v>
      </c>
      <c r="R53" s="542">
        <v>2</v>
      </c>
      <c r="S53" s="547">
        <v>1</v>
      </c>
      <c r="T53" s="546">
        <v>2</v>
      </c>
      <c r="U53" s="548">
        <v>1</v>
      </c>
    </row>
    <row r="54" spans="1:21" ht="14.4" customHeight="1" x14ac:dyDescent="0.3">
      <c r="A54" s="541">
        <v>27</v>
      </c>
      <c r="B54" s="542" t="s">
        <v>500</v>
      </c>
      <c r="C54" s="542">
        <v>89301273</v>
      </c>
      <c r="D54" s="543" t="s">
        <v>1085</v>
      </c>
      <c r="E54" s="544" t="s">
        <v>518</v>
      </c>
      <c r="F54" s="542" t="s">
        <v>510</v>
      </c>
      <c r="G54" s="542" t="s">
        <v>670</v>
      </c>
      <c r="H54" s="542" t="s">
        <v>455</v>
      </c>
      <c r="I54" s="542" t="s">
        <v>671</v>
      </c>
      <c r="J54" s="542" t="s">
        <v>672</v>
      </c>
      <c r="K54" s="542" t="s">
        <v>673</v>
      </c>
      <c r="L54" s="545">
        <v>766.89</v>
      </c>
      <c r="M54" s="545">
        <v>3834.45</v>
      </c>
      <c r="N54" s="542">
        <v>5</v>
      </c>
      <c r="O54" s="546">
        <v>4.5</v>
      </c>
      <c r="P54" s="545">
        <v>3834.45</v>
      </c>
      <c r="Q54" s="547">
        <v>1</v>
      </c>
      <c r="R54" s="542">
        <v>5</v>
      </c>
      <c r="S54" s="547">
        <v>1</v>
      </c>
      <c r="T54" s="546">
        <v>4.5</v>
      </c>
      <c r="U54" s="548">
        <v>1</v>
      </c>
    </row>
    <row r="55" spans="1:21" ht="14.4" customHeight="1" x14ac:dyDescent="0.3">
      <c r="A55" s="541">
        <v>27</v>
      </c>
      <c r="B55" s="542" t="s">
        <v>500</v>
      </c>
      <c r="C55" s="542">
        <v>89301273</v>
      </c>
      <c r="D55" s="543" t="s">
        <v>1085</v>
      </c>
      <c r="E55" s="544" t="s">
        <v>518</v>
      </c>
      <c r="F55" s="542" t="s">
        <v>510</v>
      </c>
      <c r="G55" s="542" t="s">
        <v>674</v>
      </c>
      <c r="H55" s="542" t="s">
        <v>455</v>
      </c>
      <c r="I55" s="542" t="s">
        <v>675</v>
      </c>
      <c r="J55" s="542" t="s">
        <v>676</v>
      </c>
      <c r="K55" s="542" t="s">
        <v>677</v>
      </c>
      <c r="L55" s="545">
        <v>0</v>
      </c>
      <c r="M55" s="545">
        <v>0</v>
      </c>
      <c r="N55" s="542">
        <v>1</v>
      </c>
      <c r="O55" s="546">
        <v>1</v>
      </c>
      <c r="P55" s="545">
        <v>0</v>
      </c>
      <c r="Q55" s="547"/>
      <c r="R55" s="542">
        <v>1</v>
      </c>
      <c r="S55" s="547">
        <v>1</v>
      </c>
      <c r="T55" s="546">
        <v>1</v>
      </c>
      <c r="U55" s="548">
        <v>1</v>
      </c>
    </row>
    <row r="56" spans="1:21" ht="14.4" customHeight="1" x14ac:dyDescent="0.3">
      <c r="A56" s="541">
        <v>27</v>
      </c>
      <c r="B56" s="542" t="s">
        <v>500</v>
      </c>
      <c r="C56" s="542">
        <v>89301273</v>
      </c>
      <c r="D56" s="543" t="s">
        <v>1085</v>
      </c>
      <c r="E56" s="544" t="s">
        <v>518</v>
      </c>
      <c r="F56" s="542" t="s">
        <v>510</v>
      </c>
      <c r="G56" s="542" t="s">
        <v>678</v>
      </c>
      <c r="H56" s="542" t="s">
        <v>455</v>
      </c>
      <c r="I56" s="542" t="s">
        <v>679</v>
      </c>
      <c r="J56" s="542" t="s">
        <v>680</v>
      </c>
      <c r="K56" s="542" t="s">
        <v>681</v>
      </c>
      <c r="L56" s="545">
        <v>301.87</v>
      </c>
      <c r="M56" s="545">
        <v>301.87</v>
      </c>
      <c r="N56" s="542">
        <v>1</v>
      </c>
      <c r="O56" s="546">
        <v>0.5</v>
      </c>
      <c r="P56" s="545">
        <v>301.87</v>
      </c>
      <c r="Q56" s="547">
        <v>1</v>
      </c>
      <c r="R56" s="542">
        <v>1</v>
      </c>
      <c r="S56" s="547">
        <v>1</v>
      </c>
      <c r="T56" s="546">
        <v>0.5</v>
      </c>
      <c r="U56" s="548">
        <v>1</v>
      </c>
    </row>
    <row r="57" spans="1:21" ht="14.4" customHeight="1" x14ac:dyDescent="0.3">
      <c r="A57" s="541">
        <v>27</v>
      </c>
      <c r="B57" s="542" t="s">
        <v>500</v>
      </c>
      <c r="C57" s="542">
        <v>89301273</v>
      </c>
      <c r="D57" s="543" t="s">
        <v>1085</v>
      </c>
      <c r="E57" s="544" t="s">
        <v>518</v>
      </c>
      <c r="F57" s="542" t="s">
        <v>510</v>
      </c>
      <c r="G57" s="542" t="s">
        <v>678</v>
      </c>
      <c r="H57" s="542" t="s">
        <v>455</v>
      </c>
      <c r="I57" s="542" t="s">
        <v>679</v>
      </c>
      <c r="J57" s="542" t="s">
        <v>680</v>
      </c>
      <c r="K57" s="542" t="s">
        <v>681</v>
      </c>
      <c r="L57" s="545">
        <v>201.19</v>
      </c>
      <c r="M57" s="545">
        <v>201.19</v>
      </c>
      <c r="N57" s="542">
        <v>1</v>
      </c>
      <c r="O57" s="546">
        <v>1</v>
      </c>
      <c r="P57" s="545">
        <v>201.19</v>
      </c>
      <c r="Q57" s="547">
        <v>1</v>
      </c>
      <c r="R57" s="542">
        <v>1</v>
      </c>
      <c r="S57" s="547">
        <v>1</v>
      </c>
      <c r="T57" s="546">
        <v>1</v>
      </c>
      <c r="U57" s="548">
        <v>1</v>
      </c>
    </row>
    <row r="58" spans="1:21" ht="14.4" customHeight="1" x14ac:dyDescent="0.3">
      <c r="A58" s="541">
        <v>27</v>
      </c>
      <c r="B58" s="542" t="s">
        <v>500</v>
      </c>
      <c r="C58" s="542">
        <v>89301273</v>
      </c>
      <c r="D58" s="543" t="s">
        <v>1085</v>
      </c>
      <c r="E58" s="544" t="s">
        <v>518</v>
      </c>
      <c r="F58" s="542" t="s">
        <v>510</v>
      </c>
      <c r="G58" s="542" t="s">
        <v>682</v>
      </c>
      <c r="H58" s="542" t="s">
        <v>455</v>
      </c>
      <c r="I58" s="542" t="s">
        <v>683</v>
      </c>
      <c r="J58" s="542" t="s">
        <v>684</v>
      </c>
      <c r="K58" s="542" t="s">
        <v>620</v>
      </c>
      <c r="L58" s="545">
        <v>95.08</v>
      </c>
      <c r="M58" s="545">
        <v>95.08</v>
      </c>
      <c r="N58" s="542">
        <v>1</v>
      </c>
      <c r="O58" s="546">
        <v>1</v>
      </c>
      <c r="P58" s="545">
        <v>95.08</v>
      </c>
      <c r="Q58" s="547">
        <v>1</v>
      </c>
      <c r="R58" s="542">
        <v>1</v>
      </c>
      <c r="S58" s="547">
        <v>1</v>
      </c>
      <c r="T58" s="546">
        <v>1</v>
      </c>
      <c r="U58" s="548">
        <v>1</v>
      </c>
    </row>
    <row r="59" spans="1:21" ht="14.4" customHeight="1" x14ac:dyDescent="0.3">
      <c r="A59" s="541">
        <v>27</v>
      </c>
      <c r="B59" s="542" t="s">
        <v>500</v>
      </c>
      <c r="C59" s="542">
        <v>89301273</v>
      </c>
      <c r="D59" s="543" t="s">
        <v>1085</v>
      </c>
      <c r="E59" s="544" t="s">
        <v>518</v>
      </c>
      <c r="F59" s="542" t="s">
        <v>510</v>
      </c>
      <c r="G59" s="542" t="s">
        <v>685</v>
      </c>
      <c r="H59" s="542" t="s">
        <v>455</v>
      </c>
      <c r="I59" s="542" t="s">
        <v>686</v>
      </c>
      <c r="J59" s="542" t="s">
        <v>687</v>
      </c>
      <c r="K59" s="542" t="s">
        <v>688</v>
      </c>
      <c r="L59" s="545">
        <v>64.13</v>
      </c>
      <c r="M59" s="545">
        <v>64.13</v>
      </c>
      <c r="N59" s="542">
        <v>1</v>
      </c>
      <c r="O59" s="546">
        <v>0.5</v>
      </c>
      <c r="P59" s="545">
        <v>64.13</v>
      </c>
      <c r="Q59" s="547">
        <v>1</v>
      </c>
      <c r="R59" s="542">
        <v>1</v>
      </c>
      <c r="S59" s="547">
        <v>1</v>
      </c>
      <c r="T59" s="546">
        <v>0.5</v>
      </c>
      <c r="U59" s="548">
        <v>1</v>
      </c>
    </row>
    <row r="60" spans="1:21" ht="14.4" customHeight="1" x14ac:dyDescent="0.3">
      <c r="A60" s="541">
        <v>27</v>
      </c>
      <c r="B60" s="542" t="s">
        <v>500</v>
      </c>
      <c r="C60" s="542">
        <v>89301273</v>
      </c>
      <c r="D60" s="543" t="s">
        <v>1085</v>
      </c>
      <c r="E60" s="544" t="s">
        <v>518</v>
      </c>
      <c r="F60" s="542" t="s">
        <v>510</v>
      </c>
      <c r="G60" s="542" t="s">
        <v>689</v>
      </c>
      <c r="H60" s="542" t="s">
        <v>455</v>
      </c>
      <c r="I60" s="542" t="s">
        <v>690</v>
      </c>
      <c r="J60" s="542" t="s">
        <v>691</v>
      </c>
      <c r="K60" s="542" t="s">
        <v>692</v>
      </c>
      <c r="L60" s="545">
        <v>56.01</v>
      </c>
      <c r="M60" s="545">
        <v>392.07</v>
      </c>
      <c r="N60" s="542">
        <v>7</v>
      </c>
      <c r="O60" s="546">
        <v>4.5</v>
      </c>
      <c r="P60" s="545">
        <v>392.07</v>
      </c>
      <c r="Q60" s="547">
        <v>1</v>
      </c>
      <c r="R60" s="542">
        <v>7</v>
      </c>
      <c r="S60" s="547">
        <v>1</v>
      </c>
      <c r="T60" s="546">
        <v>4.5</v>
      </c>
      <c r="U60" s="548">
        <v>1</v>
      </c>
    </row>
    <row r="61" spans="1:21" ht="14.4" customHeight="1" x14ac:dyDescent="0.3">
      <c r="A61" s="541">
        <v>27</v>
      </c>
      <c r="B61" s="542" t="s">
        <v>500</v>
      </c>
      <c r="C61" s="542">
        <v>89301273</v>
      </c>
      <c r="D61" s="543" t="s">
        <v>1085</v>
      </c>
      <c r="E61" s="544" t="s">
        <v>518</v>
      </c>
      <c r="F61" s="542" t="s">
        <v>510</v>
      </c>
      <c r="G61" s="542" t="s">
        <v>693</v>
      </c>
      <c r="H61" s="542" t="s">
        <v>455</v>
      </c>
      <c r="I61" s="542" t="s">
        <v>694</v>
      </c>
      <c r="J61" s="542" t="s">
        <v>695</v>
      </c>
      <c r="K61" s="542" t="s">
        <v>696</v>
      </c>
      <c r="L61" s="545">
        <v>0</v>
      </c>
      <c r="M61" s="545">
        <v>0</v>
      </c>
      <c r="N61" s="542">
        <v>1</v>
      </c>
      <c r="O61" s="546">
        <v>1</v>
      </c>
      <c r="P61" s="545">
        <v>0</v>
      </c>
      <c r="Q61" s="547"/>
      <c r="R61" s="542">
        <v>1</v>
      </c>
      <c r="S61" s="547">
        <v>1</v>
      </c>
      <c r="T61" s="546">
        <v>1</v>
      </c>
      <c r="U61" s="548">
        <v>1</v>
      </c>
    </row>
    <row r="62" spans="1:21" ht="14.4" customHeight="1" x14ac:dyDescent="0.3">
      <c r="A62" s="541">
        <v>27</v>
      </c>
      <c r="B62" s="542" t="s">
        <v>500</v>
      </c>
      <c r="C62" s="542">
        <v>89301273</v>
      </c>
      <c r="D62" s="543" t="s">
        <v>1085</v>
      </c>
      <c r="E62" s="544" t="s">
        <v>518</v>
      </c>
      <c r="F62" s="542" t="s">
        <v>510</v>
      </c>
      <c r="G62" s="542" t="s">
        <v>630</v>
      </c>
      <c r="H62" s="542" t="s">
        <v>495</v>
      </c>
      <c r="I62" s="542" t="s">
        <v>697</v>
      </c>
      <c r="J62" s="542" t="s">
        <v>632</v>
      </c>
      <c r="K62" s="542" t="s">
        <v>698</v>
      </c>
      <c r="L62" s="545">
        <v>96.63</v>
      </c>
      <c r="M62" s="545">
        <v>289.89</v>
      </c>
      <c r="N62" s="542">
        <v>3</v>
      </c>
      <c r="O62" s="546">
        <v>3</v>
      </c>
      <c r="P62" s="545">
        <v>289.89</v>
      </c>
      <c r="Q62" s="547">
        <v>1</v>
      </c>
      <c r="R62" s="542">
        <v>3</v>
      </c>
      <c r="S62" s="547">
        <v>1</v>
      </c>
      <c r="T62" s="546">
        <v>3</v>
      </c>
      <c r="U62" s="548">
        <v>1</v>
      </c>
    </row>
    <row r="63" spans="1:21" ht="14.4" customHeight="1" x14ac:dyDescent="0.3">
      <c r="A63" s="541">
        <v>27</v>
      </c>
      <c r="B63" s="542" t="s">
        <v>500</v>
      </c>
      <c r="C63" s="542">
        <v>89301273</v>
      </c>
      <c r="D63" s="543" t="s">
        <v>1085</v>
      </c>
      <c r="E63" s="544" t="s">
        <v>518</v>
      </c>
      <c r="F63" s="542" t="s">
        <v>510</v>
      </c>
      <c r="G63" s="542" t="s">
        <v>630</v>
      </c>
      <c r="H63" s="542" t="s">
        <v>495</v>
      </c>
      <c r="I63" s="542" t="s">
        <v>697</v>
      </c>
      <c r="J63" s="542" t="s">
        <v>632</v>
      </c>
      <c r="K63" s="542" t="s">
        <v>698</v>
      </c>
      <c r="L63" s="545">
        <v>59.55</v>
      </c>
      <c r="M63" s="545">
        <v>119.1</v>
      </c>
      <c r="N63" s="542">
        <v>2</v>
      </c>
      <c r="O63" s="546">
        <v>1.5</v>
      </c>
      <c r="P63" s="545">
        <v>119.1</v>
      </c>
      <c r="Q63" s="547">
        <v>1</v>
      </c>
      <c r="R63" s="542">
        <v>2</v>
      </c>
      <c r="S63" s="547">
        <v>1</v>
      </c>
      <c r="T63" s="546">
        <v>1.5</v>
      </c>
      <c r="U63" s="548">
        <v>1</v>
      </c>
    </row>
    <row r="64" spans="1:21" ht="14.4" customHeight="1" x14ac:dyDescent="0.3">
      <c r="A64" s="541">
        <v>27</v>
      </c>
      <c r="B64" s="542" t="s">
        <v>500</v>
      </c>
      <c r="C64" s="542">
        <v>89301273</v>
      </c>
      <c r="D64" s="543" t="s">
        <v>1085</v>
      </c>
      <c r="E64" s="544" t="s">
        <v>518</v>
      </c>
      <c r="F64" s="542" t="s">
        <v>510</v>
      </c>
      <c r="G64" s="542" t="s">
        <v>630</v>
      </c>
      <c r="H64" s="542" t="s">
        <v>495</v>
      </c>
      <c r="I64" s="542" t="s">
        <v>697</v>
      </c>
      <c r="J64" s="542" t="s">
        <v>632</v>
      </c>
      <c r="K64" s="542" t="s">
        <v>698</v>
      </c>
      <c r="L64" s="545">
        <v>50.62</v>
      </c>
      <c r="M64" s="545">
        <v>50.62</v>
      </c>
      <c r="N64" s="542">
        <v>1</v>
      </c>
      <c r="O64" s="546">
        <v>1</v>
      </c>
      <c r="P64" s="545">
        <v>50.62</v>
      </c>
      <c r="Q64" s="547">
        <v>1</v>
      </c>
      <c r="R64" s="542">
        <v>1</v>
      </c>
      <c r="S64" s="547">
        <v>1</v>
      </c>
      <c r="T64" s="546">
        <v>1</v>
      </c>
      <c r="U64" s="548">
        <v>1</v>
      </c>
    </row>
    <row r="65" spans="1:21" ht="14.4" customHeight="1" x14ac:dyDescent="0.3">
      <c r="A65" s="541">
        <v>27</v>
      </c>
      <c r="B65" s="542" t="s">
        <v>500</v>
      </c>
      <c r="C65" s="542">
        <v>89301273</v>
      </c>
      <c r="D65" s="543" t="s">
        <v>1085</v>
      </c>
      <c r="E65" s="544" t="s">
        <v>518</v>
      </c>
      <c r="F65" s="542" t="s">
        <v>510</v>
      </c>
      <c r="G65" s="542" t="s">
        <v>630</v>
      </c>
      <c r="H65" s="542" t="s">
        <v>495</v>
      </c>
      <c r="I65" s="542" t="s">
        <v>699</v>
      </c>
      <c r="J65" s="542" t="s">
        <v>632</v>
      </c>
      <c r="K65" s="542" t="s">
        <v>700</v>
      </c>
      <c r="L65" s="545">
        <v>0</v>
      </c>
      <c r="M65" s="545">
        <v>0</v>
      </c>
      <c r="N65" s="542">
        <v>2</v>
      </c>
      <c r="O65" s="546">
        <v>0.5</v>
      </c>
      <c r="P65" s="545">
        <v>0</v>
      </c>
      <c r="Q65" s="547"/>
      <c r="R65" s="542">
        <v>2</v>
      </c>
      <c r="S65" s="547">
        <v>1</v>
      </c>
      <c r="T65" s="546">
        <v>0.5</v>
      </c>
      <c r="U65" s="548">
        <v>1</v>
      </c>
    </row>
    <row r="66" spans="1:21" ht="14.4" customHeight="1" x14ac:dyDescent="0.3">
      <c r="A66" s="541">
        <v>27</v>
      </c>
      <c r="B66" s="542" t="s">
        <v>500</v>
      </c>
      <c r="C66" s="542">
        <v>89301273</v>
      </c>
      <c r="D66" s="543" t="s">
        <v>1085</v>
      </c>
      <c r="E66" s="544" t="s">
        <v>518</v>
      </c>
      <c r="F66" s="542" t="s">
        <v>510</v>
      </c>
      <c r="G66" s="542" t="s">
        <v>701</v>
      </c>
      <c r="H66" s="542" t="s">
        <v>455</v>
      </c>
      <c r="I66" s="542" t="s">
        <v>702</v>
      </c>
      <c r="J66" s="542" t="s">
        <v>703</v>
      </c>
      <c r="K66" s="542" t="s">
        <v>704</v>
      </c>
      <c r="L66" s="545">
        <v>293.89</v>
      </c>
      <c r="M66" s="545">
        <v>587.78</v>
      </c>
      <c r="N66" s="542">
        <v>2</v>
      </c>
      <c r="O66" s="546">
        <v>1</v>
      </c>
      <c r="P66" s="545">
        <v>587.78</v>
      </c>
      <c r="Q66" s="547">
        <v>1</v>
      </c>
      <c r="R66" s="542">
        <v>2</v>
      </c>
      <c r="S66" s="547">
        <v>1</v>
      </c>
      <c r="T66" s="546">
        <v>1</v>
      </c>
      <c r="U66" s="548">
        <v>1</v>
      </c>
    </row>
    <row r="67" spans="1:21" ht="14.4" customHeight="1" x14ac:dyDescent="0.3">
      <c r="A67" s="541">
        <v>27</v>
      </c>
      <c r="B67" s="542" t="s">
        <v>500</v>
      </c>
      <c r="C67" s="542">
        <v>89301273</v>
      </c>
      <c r="D67" s="543" t="s">
        <v>1085</v>
      </c>
      <c r="E67" s="544" t="s">
        <v>518</v>
      </c>
      <c r="F67" s="542" t="s">
        <v>510</v>
      </c>
      <c r="G67" s="542" t="s">
        <v>701</v>
      </c>
      <c r="H67" s="542" t="s">
        <v>455</v>
      </c>
      <c r="I67" s="542" t="s">
        <v>705</v>
      </c>
      <c r="J67" s="542" t="s">
        <v>703</v>
      </c>
      <c r="K67" s="542" t="s">
        <v>706</v>
      </c>
      <c r="L67" s="545">
        <v>0</v>
      </c>
      <c r="M67" s="545">
        <v>0</v>
      </c>
      <c r="N67" s="542">
        <v>1</v>
      </c>
      <c r="O67" s="546">
        <v>0.5</v>
      </c>
      <c r="P67" s="545">
        <v>0</v>
      </c>
      <c r="Q67" s="547"/>
      <c r="R67" s="542">
        <v>1</v>
      </c>
      <c r="S67" s="547">
        <v>1</v>
      </c>
      <c r="T67" s="546">
        <v>0.5</v>
      </c>
      <c r="U67" s="548">
        <v>1</v>
      </c>
    </row>
    <row r="68" spans="1:21" ht="14.4" customHeight="1" x14ac:dyDescent="0.3">
      <c r="A68" s="541">
        <v>27</v>
      </c>
      <c r="B68" s="542" t="s">
        <v>500</v>
      </c>
      <c r="C68" s="542">
        <v>89301273</v>
      </c>
      <c r="D68" s="543" t="s">
        <v>1085</v>
      </c>
      <c r="E68" s="544" t="s">
        <v>518</v>
      </c>
      <c r="F68" s="542" t="s">
        <v>510</v>
      </c>
      <c r="G68" s="542" t="s">
        <v>701</v>
      </c>
      <c r="H68" s="542" t="s">
        <v>495</v>
      </c>
      <c r="I68" s="542" t="s">
        <v>707</v>
      </c>
      <c r="J68" s="542" t="s">
        <v>708</v>
      </c>
      <c r="K68" s="542" t="s">
        <v>709</v>
      </c>
      <c r="L68" s="545">
        <v>97.97</v>
      </c>
      <c r="M68" s="545">
        <v>195.94</v>
      </c>
      <c r="N68" s="542">
        <v>2</v>
      </c>
      <c r="O68" s="546">
        <v>1</v>
      </c>
      <c r="P68" s="545">
        <v>195.94</v>
      </c>
      <c r="Q68" s="547">
        <v>1</v>
      </c>
      <c r="R68" s="542">
        <v>2</v>
      </c>
      <c r="S68" s="547">
        <v>1</v>
      </c>
      <c r="T68" s="546">
        <v>1</v>
      </c>
      <c r="U68" s="548">
        <v>1</v>
      </c>
    </row>
    <row r="69" spans="1:21" ht="14.4" customHeight="1" x14ac:dyDescent="0.3">
      <c r="A69" s="541">
        <v>27</v>
      </c>
      <c r="B69" s="542" t="s">
        <v>500</v>
      </c>
      <c r="C69" s="542">
        <v>89301273</v>
      </c>
      <c r="D69" s="543" t="s">
        <v>1085</v>
      </c>
      <c r="E69" s="544" t="s">
        <v>518</v>
      </c>
      <c r="F69" s="542" t="s">
        <v>510</v>
      </c>
      <c r="G69" s="542" t="s">
        <v>701</v>
      </c>
      <c r="H69" s="542" t="s">
        <v>495</v>
      </c>
      <c r="I69" s="542" t="s">
        <v>710</v>
      </c>
      <c r="J69" s="542" t="s">
        <v>708</v>
      </c>
      <c r="K69" s="542" t="s">
        <v>711</v>
      </c>
      <c r="L69" s="545">
        <v>0</v>
      </c>
      <c r="M69" s="545">
        <v>0</v>
      </c>
      <c r="N69" s="542">
        <v>1</v>
      </c>
      <c r="O69" s="546">
        <v>1</v>
      </c>
      <c r="P69" s="545">
        <v>0</v>
      </c>
      <c r="Q69" s="547"/>
      <c r="R69" s="542">
        <v>1</v>
      </c>
      <c r="S69" s="547">
        <v>1</v>
      </c>
      <c r="T69" s="546">
        <v>1</v>
      </c>
      <c r="U69" s="548">
        <v>1</v>
      </c>
    </row>
    <row r="70" spans="1:21" ht="14.4" customHeight="1" x14ac:dyDescent="0.3">
      <c r="A70" s="541">
        <v>27</v>
      </c>
      <c r="B70" s="542" t="s">
        <v>500</v>
      </c>
      <c r="C70" s="542">
        <v>89301273</v>
      </c>
      <c r="D70" s="543" t="s">
        <v>1085</v>
      </c>
      <c r="E70" s="544" t="s">
        <v>518</v>
      </c>
      <c r="F70" s="542" t="s">
        <v>510</v>
      </c>
      <c r="G70" s="542" t="s">
        <v>701</v>
      </c>
      <c r="H70" s="542" t="s">
        <v>495</v>
      </c>
      <c r="I70" s="542" t="s">
        <v>712</v>
      </c>
      <c r="J70" s="542" t="s">
        <v>708</v>
      </c>
      <c r="K70" s="542" t="s">
        <v>713</v>
      </c>
      <c r="L70" s="545">
        <v>0</v>
      </c>
      <c r="M70" s="545">
        <v>0</v>
      </c>
      <c r="N70" s="542">
        <v>1</v>
      </c>
      <c r="O70" s="546">
        <v>1</v>
      </c>
      <c r="P70" s="545">
        <v>0</v>
      </c>
      <c r="Q70" s="547"/>
      <c r="R70" s="542">
        <v>1</v>
      </c>
      <c r="S70" s="547">
        <v>1</v>
      </c>
      <c r="T70" s="546">
        <v>1</v>
      </c>
      <c r="U70" s="548">
        <v>1</v>
      </c>
    </row>
    <row r="71" spans="1:21" ht="14.4" customHeight="1" x14ac:dyDescent="0.3">
      <c r="A71" s="541">
        <v>27</v>
      </c>
      <c r="B71" s="542" t="s">
        <v>500</v>
      </c>
      <c r="C71" s="542">
        <v>89301273</v>
      </c>
      <c r="D71" s="543" t="s">
        <v>1085</v>
      </c>
      <c r="E71" s="544" t="s">
        <v>518</v>
      </c>
      <c r="F71" s="542" t="s">
        <v>510</v>
      </c>
      <c r="G71" s="542" t="s">
        <v>701</v>
      </c>
      <c r="H71" s="542" t="s">
        <v>495</v>
      </c>
      <c r="I71" s="542" t="s">
        <v>714</v>
      </c>
      <c r="J71" s="542" t="s">
        <v>708</v>
      </c>
      <c r="K71" s="542" t="s">
        <v>715</v>
      </c>
      <c r="L71" s="545">
        <v>0</v>
      </c>
      <c r="M71" s="545">
        <v>0</v>
      </c>
      <c r="N71" s="542">
        <v>1</v>
      </c>
      <c r="O71" s="546">
        <v>0.5</v>
      </c>
      <c r="P71" s="545">
        <v>0</v>
      </c>
      <c r="Q71" s="547"/>
      <c r="R71" s="542">
        <v>1</v>
      </c>
      <c r="S71" s="547">
        <v>1</v>
      </c>
      <c r="T71" s="546">
        <v>0.5</v>
      </c>
      <c r="U71" s="548">
        <v>1</v>
      </c>
    </row>
    <row r="72" spans="1:21" ht="14.4" customHeight="1" x14ac:dyDescent="0.3">
      <c r="A72" s="541">
        <v>27</v>
      </c>
      <c r="B72" s="542" t="s">
        <v>500</v>
      </c>
      <c r="C72" s="542">
        <v>89301273</v>
      </c>
      <c r="D72" s="543" t="s">
        <v>1085</v>
      </c>
      <c r="E72" s="544" t="s">
        <v>518</v>
      </c>
      <c r="F72" s="542" t="s">
        <v>510</v>
      </c>
      <c r="G72" s="542" t="s">
        <v>701</v>
      </c>
      <c r="H72" s="542" t="s">
        <v>495</v>
      </c>
      <c r="I72" s="542" t="s">
        <v>716</v>
      </c>
      <c r="J72" s="542" t="s">
        <v>708</v>
      </c>
      <c r="K72" s="542" t="s">
        <v>717</v>
      </c>
      <c r="L72" s="545">
        <v>0</v>
      </c>
      <c r="M72" s="545">
        <v>0</v>
      </c>
      <c r="N72" s="542">
        <v>1</v>
      </c>
      <c r="O72" s="546">
        <v>1</v>
      </c>
      <c r="P72" s="545">
        <v>0</v>
      </c>
      <c r="Q72" s="547"/>
      <c r="R72" s="542">
        <v>1</v>
      </c>
      <c r="S72" s="547">
        <v>1</v>
      </c>
      <c r="T72" s="546">
        <v>1</v>
      </c>
      <c r="U72" s="548">
        <v>1</v>
      </c>
    </row>
    <row r="73" spans="1:21" ht="14.4" customHeight="1" x14ac:dyDescent="0.3">
      <c r="A73" s="541">
        <v>27</v>
      </c>
      <c r="B73" s="542" t="s">
        <v>500</v>
      </c>
      <c r="C73" s="542">
        <v>89301273</v>
      </c>
      <c r="D73" s="543" t="s">
        <v>1085</v>
      </c>
      <c r="E73" s="544" t="s">
        <v>518</v>
      </c>
      <c r="F73" s="542" t="s">
        <v>510</v>
      </c>
      <c r="G73" s="542" t="s">
        <v>718</v>
      </c>
      <c r="H73" s="542" t="s">
        <v>495</v>
      </c>
      <c r="I73" s="542" t="s">
        <v>719</v>
      </c>
      <c r="J73" s="542" t="s">
        <v>720</v>
      </c>
      <c r="K73" s="542" t="s">
        <v>536</v>
      </c>
      <c r="L73" s="545">
        <v>50.47</v>
      </c>
      <c r="M73" s="545">
        <v>50.47</v>
      </c>
      <c r="N73" s="542">
        <v>1</v>
      </c>
      <c r="O73" s="546">
        <v>1</v>
      </c>
      <c r="P73" s="545">
        <v>50.47</v>
      </c>
      <c r="Q73" s="547">
        <v>1</v>
      </c>
      <c r="R73" s="542">
        <v>1</v>
      </c>
      <c r="S73" s="547">
        <v>1</v>
      </c>
      <c r="T73" s="546">
        <v>1</v>
      </c>
      <c r="U73" s="548">
        <v>1</v>
      </c>
    </row>
    <row r="74" spans="1:21" ht="14.4" customHeight="1" x14ac:dyDescent="0.3">
      <c r="A74" s="541">
        <v>27</v>
      </c>
      <c r="B74" s="542" t="s">
        <v>500</v>
      </c>
      <c r="C74" s="542">
        <v>89301273</v>
      </c>
      <c r="D74" s="543" t="s">
        <v>1085</v>
      </c>
      <c r="E74" s="544" t="s">
        <v>518</v>
      </c>
      <c r="F74" s="542" t="s">
        <v>510</v>
      </c>
      <c r="G74" s="542" t="s">
        <v>718</v>
      </c>
      <c r="H74" s="542" t="s">
        <v>455</v>
      </c>
      <c r="I74" s="542" t="s">
        <v>721</v>
      </c>
      <c r="J74" s="542" t="s">
        <v>720</v>
      </c>
      <c r="K74" s="542" t="s">
        <v>722</v>
      </c>
      <c r="L74" s="545">
        <v>0</v>
      </c>
      <c r="M74" s="545">
        <v>0</v>
      </c>
      <c r="N74" s="542">
        <v>1</v>
      </c>
      <c r="O74" s="546">
        <v>1</v>
      </c>
      <c r="P74" s="545">
        <v>0</v>
      </c>
      <c r="Q74" s="547"/>
      <c r="R74" s="542">
        <v>1</v>
      </c>
      <c r="S74" s="547">
        <v>1</v>
      </c>
      <c r="T74" s="546">
        <v>1</v>
      </c>
      <c r="U74" s="548">
        <v>1</v>
      </c>
    </row>
    <row r="75" spans="1:21" ht="14.4" customHeight="1" x14ac:dyDescent="0.3">
      <c r="A75" s="541">
        <v>27</v>
      </c>
      <c r="B75" s="542" t="s">
        <v>500</v>
      </c>
      <c r="C75" s="542">
        <v>89301273</v>
      </c>
      <c r="D75" s="543" t="s">
        <v>1085</v>
      </c>
      <c r="E75" s="544" t="s">
        <v>518</v>
      </c>
      <c r="F75" s="542" t="s">
        <v>510</v>
      </c>
      <c r="G75" s="542" t="s">
        <v>718</v>
      </c>
      <c r="H75" s="542" t="s">
        <v>495</v>
      </c>
      <c r="I75" s="542" t="s">
        <v>723</v>
      </c>
      <c r="J75" s="542" t="s">
        <v>724</v>
      </c>
      <c r="K75" s="542" t="s">
        <v>725</v>
      </c>
      <c r="L75" s="545">
        <v>224.71</v>
      </c>
      <c r="M75" s="545">
        <v>224.71</v>
      </c>
      <c r="N75" s="542">
        <v>1</v>
      </c>
      <c r="O75" s="546">
        <v>1</v>
      </c>
      <c r="P75" s="545">
        <v>224.71</v>
      </c>
      <c r="Q75" s="547">
        <v>1</v>
      </c>
      <c r="R75" s="542">
        <v>1</v>
      </c>
      <c r="S75" s="547">
        <v>1</v>
      </c>
      <c r="T75" s="546">
        <v>1</v>
      </c>
      <c r="U75" s="548">
        <v>1</v>
      </c>
    </row>
    <row r="76" spans="1:21" ht="14.4" customHeight="1" x14ac:dyDescent="0.3">
      <c r="A76" s="541">
        <v>27</v>
      </c>
      <c r="B76" s="542" t="s">
        <v>500</v>
      </c>
      <c r="C76" s="542">
        <v>89301273</v>
      </c>
      <c r="D76" s="543" t="s">
        <v>1085</v>
      </c>
      <c r="E76" s="544" t="s">
        <v>518</v>
      </c>
      <c r="F76" s="542" t="s">
        <v>510</v>
      </c>
      <c r="G76" s="542" t="s">
        <v>718</v>
      </c>
      <c r="H76" s="542" t="s">
        <v>495</v>
      </c>
      <c r="I76" s="542" t="s">
        <v>723</v>
      </c>
      <c r="J76" s="542" t="s">
        <v>724</v>
      </c>
      <c r="K76" s="542" t="s">
        <v>725</v>
      </c>
      <c r="L76" s="545">
        <v>168.21</v>
      </c>
      <c r="M76" s="545">
        <v>168.21</v>
      </c>
      <c r="N76" s="542">
        <v>1</v>
      </c>
      <c r="O76" s="546">
        <v>1</v>
      </c>
      <c r="P76" s="545"/>
      <c r="Q76" s="547">
        <v>0</v>
      </c>
      <c r="R76" s="542"/>
      <c r="S76" s="547">
        <v>0</v>
      </c>
      <c r="T76" s="546"/>
      <c r="U76" s="548">
        <v>0</v>
      </c>
    </row>
    <row r="77" spans="1:21" ht="14.4" customHeight="1" x14ac:dyDescent="0.3">
      <c r="A77" s="541">
        <v>27</v>
      </c>
      <c r="B77" s="542" t="s">
        <v>500</v>
      </c>
      <c r="C77" s="542">
        <v>89301273</v>
      </c>
      <c r="D77" s="543" t="s">
        <v>1085</v>
      </c>
      <c r="E77" s="544" t="s">
        <v>518</v>
      </c>
      <c r="F77" s="542" t="s">
        <v>510</v>
      </c>
      <c r="G77" s="542" t="s">
        <v>726</v>
      </c>
      <c r="H77" s="542" t="s">
        <v>495</v>
      </c>
      <c r="I77" s="542" t="s">
        <v>727</v>
      </c>
      <c r="J77" s="542" t="s">
        <v>728</v>
      </c>
      <c r="K77" s="542" t="s">
        <v>729</v>
      </c>
      <c r="L77" s="545">
        <v>21.92</v>
      </c>
      <c r="M77" s="545">
        <v>21.92</v>
      </c>
      <c r="N77" s="542">
        <v>1</v>
      </c>
      <c r="O77" s="546">
        <v>1</v>
      </c>
      <c r="P77" s="545">
        <v>21.92</v>
      </c>
      <c r="Q77" s="547">
        <v>1</v>
      </c>
      <c r="R77" s="542">
        <v>1</v>
      </c>
      <c r="S77" s="547">
        <v>1</v>
      </c>
      <c r="T77" s="546">
        <v>1</v>
      </c>
      <c r="U77" s="548">
        <v>1</v>
      </c>
    </row>
    <row r="78" spans="1:21" ht="14.4" customHeight="1" x14ac:dyDescent="0.3">
      <c r="A78" s="541">
        <v>27</v>
      </c>
      <c r="B78" s="542" t="s">
        <v>500</v>
      </c>
      <c r="C78" s="542">
        <v>89301273</v>
      </c>
      <c r="D78" s="543" t="s">
        <v>1085</v>
      </c>
      <c r="E78" s="544" t="s">
        <v>518</v>
      </c>
      <c r="F78" s="542" t="s">
        <v>510</v>
      </c>
      <c r="G78" s="542" t="s">
        <v>730</v>
      </c>
      <c r="H78" s="542" t="s">
        <v>455</v>
      </c>
      <c r="I78" s="542" t="s">
        <v>731</v>
      </c>
      <c r="J78" s="542" t="s">
        <v>732</v>
      </c>
      <c r="K78" s="542" t="s">
        <v>733</v>
      </c>
      <c r="L78" s="545">
        <v>74.930000000000007</v>
      </c>
      <c r="M78" s="545">
        <v>74.930000000000007</v>
      </c>
      <c r="N78" s="542">
        <v>1</v>
      </c>
      <c r="O78" s="546">
        <v>0.5</v>
      </c>
      <c r="P78" s="545"/>
      <c r="Q78" s="547">
        <v>0</v>
      </c>
      <c r="R78" s="542"/>
      <c r="S78" s="547">
        <v>0</v>
      </c>
      <c r="T78" s="546"/>
      <c r="U78" s="548">
        <v>0</v>
      </c>
    </row>
    <row r="79" spans="1:21" ht="14.4" customHeight="1" x14ac:dyDescent="0.3">
      <c r="A79" s="541">
        <v>27</v>
      </c>
      <c r="B79" s="542" t="s">
        <v>500</v>
      </c>
      <c r="C79" s="542">
        <v>89301273</v>
      </c>
      <c r="D79" s="543" t="s">
        <v>1085</v>
      </c>
      <c r="E79" s="544" t="s">
        <v>518</v>
      </c>
      <c r="F79" s="542" t="s">
        <v>510</v>
      </c>
      <c r="G79" s="542" t="s">
        <v>734</v>
      </c>
      <c r="H79" s="542" t="s">
        <v>495</v>
      </c>
      <c r="I79" s="542" t="s">
        <v>497</v>
      </c>
      <c r="J79" s="542" t="s">
        <v>498</v>
      </c>
      <c r="K79" s="542" t="s">
        <v>506</v>
      </c>
      <c r="L79" s="545">
        <v>94.8</v>
      </c>
      <c r="M79" s="545">
        <v>94.8</v>
      </c>
      <c r="N79" s="542">
        <v>1</v>
      </c>
      <c r="O79" s="546">
        <v>1</v>
      </c>
      <c r="P79" s="545">
        <v>94.8</v>
      </c>
      <c r="Q79" s="547">
        <v>1</v>
      </c>
      <c r="R79" s="542">
        <v>1</v>
      </c>
      <c r="S79" s="547">
        <v>1</v>
      </c>
      <c r="T79" s="546">
        <v>1</v>
      </c>
      <c r="U79" s="548">
        <v>1</v>
      </c>
    </row>
    <row r="80" spans="1:21" ht="14.4" customHeight="1" x14ac:dyDescent="0.3">
      <c r="A80" s="541">
        <v>27</v>
      </c>
      <c r="B80" s="542" t="s">
        <v>500</v>
      </c>
      <c r="C80" s="542">
        <v>89301273</v>
      </c>
      <c r="D80" s="543" t="s">
        <v>1085</v>
      </c>
      <c r="E80" s="544" t="s">
        <v>518</v>
      </c>
      <c r="F80" s="542" t="s">
        <v>510</v>
      </c>
      <c r="G80" s="542" t="s">
        <v>735</v>
      </c>
      <c r="H80" s="542" t="s">
        <v>455</v>
      </c>
      <c r="I80" s="542" t="s">
        <v>736</v>
      </c>
      <c r="J80" s="542" t="s">
        <v>737</v>
      </c>
      <c r="K80" s="542" t="s">
        <v>738</v>
      </c>
      <c r="L80" s="545">
        <v>91.41</v>
      </c>
      <c r="M80" s="545">
        <v>274.23</v>
      </c>
      <c r="N80" s="542">
        <v>3</v>
      </c>
      <c r="O80" s="546">
        <v>1.5</v>
      </c>
      <c r="P80" s="545">
        <v>274.23</v>
      </c>
      <c r="Q80" s="547">
        <v>1</v>
      </c>
      <c r="R80" s="542">
        <v>3</v>
      </c>
      <c r="S80" s="547">
        <v>1</v>
      </c>
      <c r="T80" s="546">
        <v>1.5</v>
      </c>
      <c r="U80" s="548">
        <v>1</v>
      </c>
    </row>
    <row r="81" spans="1:21" ht="14.4" customHeight="1" x14ac:dyDescent="0.3">
      <c r="A81" s="541">
        <v>27</v>
      </c>
      <c r="B81" s="542" t="s">
        <v>500</v>
      </c>
      <c r="C81" s="542">
        <v>89301273</v>
      </c>
      <c r="D81" s="543" t="s">
        <v>1085</v>
      </c>
      <c r="E81" s="544" t="s">
        <v>518</v>
      </c>
      <c r="F81" s="542" t="s">
        <v>510</v>
      </c>
      <c r="G81" s="542" t="s">
        <v>739</v>
      </c>
      <c r="H81" s="542" t="s">
        <v>455</v>
      </c>
      <c r="I81" s="542" t="s">
        <v>740</v>
      </c>
      <c r="J81" s="542" t="s">
        <v>741</v>
      </c>
      <c r="K81" s="542" t="s">
        <v>742</v>
      </c>
      <c r="L81" s="545">
        <v>0</v>
      </c>
      <c r="M81" s="545">
        <v>0</v>
      </c>
      <c r="N81" s="542">
        <v>2</v>
      </c>
      <c r="O81" s="546">
        <v>0.5</v>
      </c>
      <c r="P81" s="545">
        <v>0</v>
      </c>
      <c r="Q81" s="547"/>
      <c r="R81" s="542">
        <v>2</v>
      </c>
      <c r="S81" s="547">
        <v>1</v>
      </c>
      <c r="T81" s="546">
        <v>0.5</v>
      </c>
      <c r="U81" s="548">
        <v>1</v>
      </c>
    </row>
    <row r="82" spans="1:21" ht="14.4" customHeight="1" x14ac:dyDescent="0.3">
      <c r="A82" s="541">
        <v>27</v>
      </c>
      <c r="B82" s="542" t="s">
        <v>500</v>
      </c>
      <c r="C82" s="542">
        <v>89301273</v>
      </c>
      <c r="D82" s="543" t="s">
        <v>1085</v>
      </c>
      <c r="E82" s="544" t="s">
        <v>518</v>
      </c>
      <c r="F82" s="542" t="s">
        <v>510</v>
      </c>
      <c r="G82" s="542" t="s">
        <v>743</v>
      </c>
      <c r="H82" s="542" t="s">
        <v>455</v>
      </c>
      <c r="I82" s="542" t="s">
        <v>744</v>
      </c>
      <c r="J82" s="542" t="s">
        <v>745</v>
      </c>
      <c r="K82" s="542" t="s">
        <v>746</v>
      </c>
      <c r="L82" s="545">
        <v>23.46</v>
      </c>
      <c r="M82" s="545">
        <v>23.46</v>
      </c>
      <c r="N82" s="542">
        <v>1</v>
      </c>
      <c r="O82" s="546">
        <v>1</v>
      </c>
      <c r="P82" s="545">
        <v>23.46</v>
      </c>
      <c r="Q82" s="547">
        <v>1</v>
      </c>
      <c r="R82" s="542">
        <v>1</v>
      </c>
      <c r="S82" s="547">
        <v>1</v>
      </c>
      <c r="T82" s="546">
        <v>1</v>
      </c>
      <c r="U82" s="548">
        <v>1</v>
      </c>
    </row>
    <row r="83" spans="1:21" ht="14.4" customHeight="1" x14ac:dyDescent="0.3">
      <c r="A83" s="541">
        <v>27</v>
      </c>
      <c r="B83" s="542" t="s">
        <v>500</v>
      </c>
      <c r="C83" s="542">
        <v>89301273</v>
      </c>
      <c r="D83" s="543" t="s">
        <v>1085</v>
      </c>
      <c r="E83" s="544" t="s">
        <v>518</v>
      </c>
      <c r="F83" s="542" t="s">
        <v>510</v>
      </c>
      <c r="G83" s="542" t="s">
        <v>747</v>
      </c>
      <c r="H83" s="542" t="s">
        <v>455</v>
      </c>
      <c r="I83" s="542" t="s">
        <v>748</v>
      </c>
      <c r="J83" s="542" t="s">
        <v>749</v>
      </c>
      <c r="K83" s="542" t="s">
        <v>750</v>
      </c>
      <c r="L83" s="545">
        <v>194.73</v>
      </c>
      <c r="M83" s="545">
        <v>194.73</v>
      </c>
      <c r="N83" s="542">
        <v>1</v>
      </c>
      <c r="O83" s="546">
        <v>1</v>
      </c>
      <c r="P83" s="545"/>
      <c r="Q83" s="547">
        <v>0</v>
      </c>
      <c r="R83" s="542"/>
      <c r="S83" s="547">
        <v>0</v>
      </c>
      <c r="T83" s="546"/>
      <c r="U83" s="548">
        <v>0</v>
      </c>
    </row>
    <row r="84" spans="1:21" ht="14.4" customHeight="1" x14ac:dyDescent="0.3">
      <c r="A84" s="541">
        <v>27</v>
      </c>
      <c r="B84" s="542" t="s">
        <v>500</v>
      </c>
      <c r="C84" s="542">
        <v>89301273</v>
      </c>
      <c r="D84" s="543" t="s">
        <v>1085</v>
      </c>
      <c r="E84" s="544" t="s">
        <v>519</v>
      </c>
      <c r="F84" s="542" t="s">
        <v>510</v>
      </c>
      <c r="G84" s="542" t="s">
        <v>751</v>
      </c>
      <c r="H84" s="542" t="s">
        <v>455</v>
      </c>
      <c r="I84" s="542" t="s">
        <v>752</v>
      </c>
      <c r="J84" s="542" t="s">
        <v>753</v>
      </c>
      <c r="K84" s="542" t="s">
        <v>754</v>
      </c>
      <c r="L84" s="545">
        <v>0</v>
      </c>
      <c r="M84" s="545">
        <v>0</v>
      </c>
      <c r="N84" s="542">
        <v>1</v>
      </c>
      <c r="O84" s="546">
        <v>0.5</v>
      </c>
      <c r="P84" s="545"/>
      <c r="Q84" s="547"/>
      <c r="R84" s="542"/>
      <c r="S84" s="547">
        <v>0</v>
      </c>
      <c r="T84" s="546"/>
      <c r="U84" s="548">
        <v>0</v>
      </c>
    </row>
    <row r="85" spans="1:21" ht="14.4" customHeight="1" x14ac:dyDescent="0.3">
      <c r="A85" s="541">
        <v>27</v>
      </c>
      <c r="B85" s="542" t="s">
        <v>500</v>
      </c>
      <c r="C85" s="542">
        <v>89301273</v>
      </c>
      <c r="D85" s="543" t="s">
        <v>1085</v>
      </c>
      <c r="E85" s="544" t="s">
        <v>519</v>
      </c>
      <c r="F85" s="542" t="s">
        <v>510</v>
      </c>
      <c r="G85" s="542" t="s">
        <v>755</v>
      </c>
      <c r="H85" s="542" t="s">
        <v>455</v>
      </c>
      <c r="I85" s="542" t="s">
        <v>756</v>
      </c>
      <c r="J85" s="542" t="s">
        <v>757</v>
      </c>
      <c r="K85" s="542" t="s">
        <v>758</v>
      </c>
      <c r="L85" s="545">
        <v>35.380000000000003</v>
      </c>
      <c r="M85" s="545">
        <v>35.380000000000003</v>
      </c>
      <c r="N85" s="542">
        <v>1</v>
      </c>
      <c r="O85" s="546">
        <v>1</v>
      </c>
      <c r="P85" s="545"/>
      <c r="Q85" s="547">
        <v>0</v>
      </c>
      <c r="R85" s="542"/>
      <c r="S85" s="547">
        <v>0</v>
      </c>
      <c r="T85" s="546"/>
      <c r="U85" s="548">
        <v>0</v>
      </c>
    </row>
    <row r="86" spans="1:21" ht="14.4" customHeight="1" x14ac:dyDescent="0.3">
      <c r="A86" s="541">
        <v>27</v>
      </c>
      <c r="B86" s="542" t="s">
        <v>500</v>
      </c>
      <c r="C86" s="542">
        <v>89301273</v>
      </c>
      <c r="D86" s="543" t="s">
        <v>1085</v>
      </c>
      <c r="E86" s="544" t="s">
        <v>519</v>
      </c>
      <c r="F86" s="542" t="s">
        <v>510</v>
      </c>
      <c r="G86" s="542" t="s">
        <v>521</v>
      </c>
      <c r="H86" s="542" t="s">
        <v>455</v>
      </c>
      <c r="I86" s="542" t="s">
        <v>759</v>
      </c>
      <c r="J86" s="542" t="s">
        <v>642</v>
      </c>
      <c r="K86" s="542" t="s">
        <v>524</v>
      </c>
      <c r="L86" s="545">
        <v>156.86000000000001</v>
      </c>
      <c r="M86" s="545">
        <v>470.58000000000004</v>
      </c>
      <c r="N86" s="542">
        <v>3</v>
      </c>
      <c r="O86" s="546">
        <v>2</v>
      </c>
      <c r="P86" s="545">
        <v>156.86000000000001</v>
      </c>
      <c r="Q86" s="547">
        <v>0.33333333333333331</v>
      </c>
      <c r="R86" s="542">
        <v>1</v>
      </c>
      <c r="S86" s="547">
        <v>0.33333333333333331</v>
      </c>
      <c r="T86" s="546">
        <v>0.5</v>
      </c>
      <c r="U86" s="548">
        <v>0.25</v>
      </c>
    </row>
    <row r="87" spans="1:21" ht="14.4" customHeight="1" x14ac:dyDescent="0.3">
      <c r="A87" s="541">
        <v>27</v>
      </c>
      <c r="B87" s="542" t="s">
        <v>500</v>
      </c>
      <c r="C87" s="542">
        <v>89301273</v>
      </c>
      <c r="D87" s="543" t="s">
        <v>1085</v>
      </c>
      <c r="E87" s="544" t="s">
        <v>519</v>
      </c>
      <c r="F87" s="542" t="s">
        <v>510</v>
      </c>
      <c r="G87" s="542" t="s">
        <v>521</v>
      </c>
      <c r="H87" s="542" t="s">
        <v>495</v>
      </c>
      <c r="I87" s="542" t="s">
        <v>522</v>
      </c>
      <c r="J87" s="542" t="s">
        <v>523</v>
      </c>
      <c r="K87" s="542" t="s">
        <v>524</v>
      </c>
      <c r="L87" s="545">
        <v>333.31</v>
      </c>
      <c r="M87" s="545">
        <v>333.31</v>
      </c>
      <c r="N87" s="542">
        <v>1</v>
      </c>
      <c r="O87" s="546">
        <v>0.5</v>
      </c>
      <c r="P87" s="545"/>
      <c r="Q87" s="547">
        <v>0</v>
      </c>
      <c r="R87" s="542"/>
      <c r="S87" s="547">
        <v>0</v>
      </c>
      <c r="T87" s="546"/>
      <c r="U87" s="548">
        <v>0</v>
      </c>
    </row>
    <row r="88" spans="1:21" ht="14.4" customHeight="1" x14ac:dyDescent="0.3">
      <c r="A88" s="541">
        <v>27</v>
      </c>
      <c r="B88" s="542" t="s">
        <v>500</v>
      </c>
      <c r="C88" s="542">
        <v>89301273</v>
      </c>
      <c r="D88" s="543" t="s">
        <v>1085</v>
      </c>
      <c r="E88" s="544" t="s">
        <v>519</v>
      </c>
      <c r="F88" s="542" t="s">
        <v>510</v>
      </c>
      <c r="G88" s="542" t="s">
        <v>521</v>
      </c>
      <c r="H88" s="542" t="s">
        <v>495</v>
      </c>
      <c r="I88" s="542" t="s">
        <v>522</v>
      </c>
      <c r="J88" s="542" t="s">
        <v>523</v>
      </c>
      <c r="K88" s="542" t="s">
        <v>524</v>
      </c>
      <c r="L88" s="545">
        <v>156.86000000000001</v>
      </c>
      <c r="M88" s="545">
        <v>156.86000000000001</v>
      </c>
      <c r="N88" s="542">
        <v>1</v>
      </c>
      <c r="O88" s="546">
        <v>0.5</v>
      </c>
      <c r="P88" s="545"/>
      <c r="Q88" s="547">
        <v>0</v>
      </c>
      <c r="R88" s="542"/>
      <c r="S88" s="547">
        <v>0</v>
      </c>
      <c r="T88" s="546"/>
      <c r="U88" s="548">
        <v>0</v>
      </c>
    </row>
    <row r="89" spans="1:21" ht="14.4" customHeight="1" x14ac:dyDescent="0.3">
      <c r="A89" s="541">
        <v>27</v>
      </c>
      <c r="B89" s="542" t="s">
        <v>500</v>
      </c>
      <c r="C89" s="542">
        <v>89301273</v>
      </c>
      <c r="D89" s="543" t="s">
        <v>1085</v>
      </c>
      <c r="E89" s="544" t="s">
        <v>519</v>
      </c>
      <c r="F89" s="542" t="s">
        <v>510</v>
      </c>
      <c r="G89" s="542" t="s">
        <v>525</v>
      </c>
      <c r="H89" s="542" t="s">
        <v>495</v>
      </c>
      <c r="I89" s="542" t="s">
        <v>760</v>
      </c>
      <c r="J89" s="542" t="s">
        <v>761</v>
      </c>
      <c r="K89" s="542" t="s">
        <v>762</v>
      </c>
      <c r="L89" s="545">
        <v>672.94</v>
      </c>
      <c r="M89" s="545">
        <v>1345.88</v>
      </c>
      <c r="N89" s="542">
        <v>2</v>
      </c>
      <c r="O89" s="546">
        <v>1</v>
      </c>
      <c r="P89" s="545"/>
      <c r="Q89" s="547">
        <v>0</v>
      </c>
      <c r="R89" s="542"/>
      <c r="S89" s="547">
        <v>0</v>
      </c>
      <c r="T89" s="546"/>
      <c r="U89" s="548">
        <v>0</v>
      </c>
    </row>
    <row r="90" spans="1:21" ht="14.4" customHeight="1" x14ac:dyDescent="0.3">
      <c r="A90" s="541">
        <v>27</v>
      </c>
      <c r="B90" s="542" t="s">
        <v>500</v>
      </c>
      <c r="C90" s="542">
        <v>89301273</v>
      </c>
      <c r="D90" s="543" t="s">
        <v>1085</v>
      </c>
      <c r="E90" s="544" t="s">
        <v>519</v>
      </c>
      <c r="F90" s="542" t="s">
        <v>510</v>
      </c>
      <c r="G90" s="542" t="s">
        <v>529</v>
      </c>
      <c r="H90" s="542" t="s">
        <v>455</v>
      </c>
      <c r="I90" s="542" t="s">
        <v>763</v>
      </c>
      <c r="J90" s="542" t="s">
        <v>764</v>
      </c>
      <c r="K90" s="542" t="s">
        <v>765</v>
      </c>
      <c r="L90" s="545">
        <v>222.25</v>
      </c>
      <c r="M90" s="545">
        <v>222.25</v>
      </c>
      <c r="N90" s="542">
        <v>1</v>
      </c>
      <c r="O90" s="546">
        <v>1</v>
      </c>
      <c r="P90" s="545"/>
      <c r="Q90" s="547">
        <v>0</v>
      </c>
      <c r="R90" s="542"/>
      <c r="S90" s="547">
        <v>0</v>
      </c>
      <c r="T90" s="546"/>
      <c r="U90" s="548">
        <v>0</v>
      </c>
    </row>
    <row r="91" spans="1:21" ht="14.4" customHeight="1" x14ac:dyDescent="0.3">
      <c r="A91" s="541">
        <v>27</v>
      </c>
      <c r="B91" s="542" t="s">
        <v>500</v>
      </c>
      <c r="C91" s="542">
        <v>89301273</v>
      </c>
      <c r="D91" s="543" t="s">
        <v>1085</v>
      </c>
      <c r="E91" s="544" t="s">
        <v>519</v>
      </c>
      <c r="F91" s="542" t="s">
        <v>510</v>
      </c>
      <c r="G91" s="542" t="s">
        <v>529</v>
      </c>
      <c r="H91" s="542" t="s">
        <v>495</v>
      </c>
      <c r="I91" s="542" t="s">
        <v>766</v>
      </c>
      <c r="J91" s="542" t="s">
        <v>531</v>
      </c>
      <c r="K91" s="542" t="s">
        <v>765</v>
      </c>
      <c r="L91" s="545">
        <v>222.25</v>
      </c>
      <c r="M91" s="545">
        <v>889</v>
      </c>
      <c r="N91" s="542">
        <v>4</v>
      </c>
      <c r="O91" s="546">
        <v>2</v>
      </c>
      <c r="P91" s="545"/>
      <c r="Q91" s="547">
        <v>0</v>
      </c>
      <c r="R91" s="542"/>
      <c r="S91" s="547">
        <v>0</v>
      </c>
      <c r="T91" s="546"/>
      <c r="U91" s="548">
        <v>0</v>
      </c>
    </row>
    <row r="92" spans="1:21" ht="14.4" customHeight="1" x14ac:dyDescent="0.3">
      <c r="A92" s="541">
        <v>27</v>
      </c>
      <c r="B92" s="542" t="s">
        <v>500</v>
      </c>
      <c r="C92" s="542">
        <v>89301273</v>
      </c>
      <c r="D92" s="543" t="s">
        <v>1085</v>
      </c>
      <c r="E92" s="544" t="s">
        <v>519</v>
      </c>
      <c r="F92" s="542" t="s">
        <v>510</v>
      </c>
      <c r="G92" s="542" t="s">
        <v>529</v>
      </c>
      <c r="H92" s="542" t="s">
        <v>495</v>
      </c>
      <c r="I92" s="542" t="s">
        <v>766</v>
      </c>
      <c r="J92" s="542" t="s">
        <v>531</v>
      </c>
      <c r="K92" s="542" t="s">
        <v>765</v>
      </c>
      <c r="L92" s="545">
        <v>125.14</v>
      </c>
      <c r="M92" s="545">
        <v>500.56</v>
      </c>
      <c r="N92" s="542">
        <v>4</v>
      </c>
      <c r="O92" s="546">
        <v>1.5</v>
      </c>
      <c r="P92" s="545">
        <v>125.14</v>
      </c>
      <c r="Q92" s="547">
        <v>0.25</v>
      </c>
      <c r="R92" s="542">
        <v>1</v>
      </c>
      <c r="S92" s="547">
        <v>0.25</v>
      </c>
      <c r="T92" s="546">
        <v>0.5</v>
      </c>
      <c r="U92" s="548">
        <v>0.33333333333333331</v>
      </c>
    </row>
    <row r="93" spans="1:21" ht="14.4" customHeight="1" x14ac:dyDescent="0.3">
      <c r="A93" s="541">
        <v>27</v>
      </c>
      <c r="B93" s="542" t="s">
        <v>500</v>
      </c>
      <c r="C93" s="542">
        <v>89301273</v>
      </c>
      <c r="D93" s="543" t="s">
        <v>1085</v>
      </c>
      <c r="E93" s="544" t="s">
        <v>519</v>
      </c>
      <c r="F93" s="542" t="s">
        <v>510</v>
      </c>
      <c r="G93" s="542" t="s">
        <v>767</v>
      </c>
      <c r="H93" s="542" t="s">
        <v>455</v>
      </c>
      <c r="I93" s="542" t="s">
        <v>768</v>
      </c>
      <c r="J93" s="542" t="s">
        <v>769</v>
      </c>
      <c r="K93" s="542" t="s">
        <v>770</v>
      </c>
      <c r="L93" s="545">
        <v>61.85</v>
      </c>
      <c r="M93" s="545">
        <v>61.85</v>
      </c>
      <c r="N93" s="542">
        <v>1</v>
      </c>
      <c r="O93" s="546">
        <v>1</v>
      </c>
      <c r="P93" s="545"/>
      <c r="Q93" s="547">
        <v>0</v>
      </c>
      <c r="R93" s="542"/>
      <c r="S93" s="547">
        <v>0</v>
      </c>
      <c r="T93" s="546"/>
      <c r="U93" s="548">
        <v>0</v>
      </c>
    </row>
    <row r="94" spans="1:21" ht="14.4" customHeight="1" x14ac:dyDescent="0.3">
      <c r="A94" s="541">
        <v>27</v>
      </c>
      <c r="B94" s="542" t="s">
        <v>500</v>
      </c>
      <c r="C94" s="542">
        <v>89301273</v>
      </c>
      <c r="D94" s="543" t="s">
        <v>1085</v>
      </c>
      <c r="E94" s="544" t="s">
        <v>519</v>
      </c>
      <c r="F94" s="542" t="s">
        <v>510</v>
      </c>
      <c r="G94" s="542" t="s">
        <v>771</v>
      </c>
      <c r="H94" s="542" t="s">
        <v>455</v>
      </c>
      <c r="I94" s="542" t="s">
        <v>772</v>
      </c>
      <c r="J94" s="542" t="s">
        <v>773</v>
      </c>
      <c r="K94" s="542" t="s">
        <v>774</v>
      </c>
      <c r="L94" s="545">
        <v>49.57</v>
      </c>
      <c r="M94" s="545">
        <v>99.14</v>
      </c>
      <c r="N94" s="542">
        <v>2</v>
      </c>
      <c r="O94" s="546">
        <v>0.5</v>
      </c>
      <c r="P94" s="545"/>
      <c r="Q94" s="547">
        <v>0</v>
      </c>
      <c r="R94" s="542"/>
      <c r="S94" s="547">
        <v>0</v>
      </c>
      <c r="T94" s="546"/>
      <c r="U94" s="548">
        <v>0</v>
      </c>
    </row>
    <row r="95" spans="1:21" ht="14.4" customHeight="1" x14ac:dyDescent="0.3">
      <c r="A95" s="541">
        <v>27</v>
      </c>
      <c r="B95" s="542" t="s">
        <v>500</v>
      </c>
      <c r="C95" s="542">
        <v>89301273</v>
      </c>
      <c r="D95" s="543" t="s">
        <v>1085</v>
      </c>
      <c r="E95" s="544" t="s">
        <v>519</v>
      </c>
      <c r="F95" s="542" t="s">
        <v>510</v>
      </c>
      <c r="G95" s="542" t="s">
        <v>771</v>
      </c>
      <c r="H95" s="542" t="s">
        <v>455</v>
      </c>
      <c r="I95" s="542" t="s">
        <v>775</v>
      </c>
      <c r="J95" s="542" t="s">
        <v>773</v>
      </c>
      <c r="K95" s="542" t="s">
        <v>776</v>
      </c>
      <c r="L95" s="545">
        <v>49.57</v>
      </c>
      <c r="M95" s="545">
        <v>49.57</v>
      </c>
      <c r="N95" s="542">
        <v>1</v>
      </c>
      <c r="O95" s="546">
        <v>0.5</v>
      </c>
      <c r="P95" s="545"/>
      <c r="Q95" s="547">
        <v>0</v>
      </c>
      <c r="R95" s="542"/>
      <c r="S95" s="547">
        <v>0</v>
      </c>
      <c r="T95" s="546"/>
      <c r="U95" s="548">
        <v>0</v>
      </c>
    </row>
    <row r="96" spans="1:21" ht="14.4" customHeight="1" x14ac:dyDescent="0.3">
      <c r="A96" s="541">
        <v>27</v>
      </c>
      <c r="B96" s="542" t="s">
        <v>500</v>
      </c>
      <c r="C96" s="542">
        <v>89301273</v>
      </c>
      <c r="D96" s="543" t="s">
        <v>1085</v>
      </c>
      <c r="E96" s="544" t="s">
        <v>519</v>
      </c>
      <c r="F96" s="542" t="s">
        <v>510</v>
      </c>
      <c r="G96" s="542" t="s">
        <v>777</v>
      </c>
      <c r="H96" s="542" t="s">
        <v>455</v>
      </c>
      <c r="I96" s="542" t="s">
        <v>778</v>
      </c>
      <c r="J96" s="542" t="s">
        <v>779</v>
      </c>
      <c r="K96" s="542" t="s">
        <v>780</v>
      </c>
      <c r="L96" s="545">
        <v>118.82</v>
      </c>
      <c r="M96" s="545">
        <v>475.28</v>
      </c>
      <c r="N96" s="542">
        <v>4</v>
      </c>
      <c r="O96" s="546">
        <v>1.5</v>
      </c>
      <c r="P96" s="545"/>
      <c r="Q96" s="547">
        <v>0</v>
      </c>
      <c r="R96" s="542"/>
      <c r="S96" s="547">
        <v>0</v>
      </c>
      <c r="T96" s="546"/>
      <c r="U96" s="548">
        <v>0</v>
      </c>
    </row>
    <row r="97" spans="1:21" ht="14.4" customHeight="1" x14ac:dyDescent="0.3">
      <c r="A97" s="541">
        <v>27</v>
      </c>
      <c r="B97" s="542" t="s">
        <v>500</v>
      </c>
      <c r="C97" s="542">
        <v>89301273</v>
      </c>
      <c r="D97" s="543" t="s">
        <v>1085</v>
      </c>
      <c r="E97" s="544" t="s">
        <v>519</v>
      </c>
      <c r="F97" s="542" t="s">
        <v>510</v>
      </c>
      <c r="G97" s="542" t="s">
        <v>777</v>
      </c>
      <c r="H97" s="542" t="s">
        <v>455</v>
      </c>
      <c r="I97" s="542" t="s">
        <v>781</v>
      </c>
      <c r="J97" s="542" t="s">
        <v>779</v>
      </c>
      <c r="K97" s="542" t="s">
        <v>782</v>
      </c>
      <c r="L97" s="545">
        <v>229.57</v>
      </c>
      <c r="M97" s="545">
        <v>688.71</v>
      </c>
      <c r="N97" s="542">
        <v>3</v>
      </c>
      <c r="O97" s="546">
        <v>2</v>
      </c>
      <c r="P97" s="545"/>
      <c r="Q97" s="547">
        <v>0</v>
      </c>
      <c r="R97" s="542"/>
      <c r="S97" s="547">
        <v>0</v>
      </c>
      <c r="T97" s="546"/>
      <c r="U97" s="548">
        <v>0</v>
      </c>
    </row>
    <row r="98" spans="1:21" ht="14.4" customHeight="1" x14ac:dyDescent="0.3">
      <c r="A98" s="541">
        <v>27</v>
      </c>
      <c r="B98" s="542" t="s">
        <v>500</v>
      </c>
      <c r="C98" s="542">
        <v>89301273</v>
      </c>
      <c r="D98" s="543" t="s">
        <v>1085</v>
      </c>
      <c r="E98" s="544" t="s">
        <v>519</v>
      </c>
      <c r="F98" s="542" t="s">
        <v>510</v>
      </c>
      <c r="G98" s="542" t="s">
        <v>777</v>
      </c>
      <c r="H98" s="542" t="s">
        <v>455</v>
      </c>
      <c r="I98" s="542" t="s">
        <v>781</v>
      </c>
      <c r="J98" s="542" t="s">
        <v>779</v>
      </c>
      <c r="K98" s="542" t="s">
        <v>782</v>
      </c>
      <c r="L98" s="545">
        <v>198.04</v>
      </c>
      <c r="M98" s="545">
        <v>792.16</v>
      </c>
      <c r="N98" s="542">
        <v>4</v>
      </c>
      <c r="O98" s="546">
        <v>1.5</v>
      </c>
      <c r="P98" s="545">
        <v>198.04</v>
      </c>
      <c r="Q98" s="547">
        <v>0.25</v>
      </c>
      <c r="R98" s="542">
        <v>1</v>
      </c>
      <c r="S98" s="547">
        <v>0.25</v>
      </c>
      <c r="T98" s="546">
        <v>0.5</v>
      </c>
      <c r="U98" s="548">
        <v>0.33333333333333331</v>
      </c>
    </row>
    <row r="99" spans="1:21" ht="14.4" customHeight="1" x14ac:dyDescent="0.3">
      <c r="A99" s="541">
        <v>27</v>
      </c>
      <c r="B99" s="542" t="s">
        <v>500</v>
      </c>
      <c r="C99" s="542">
        <v>89301273</v>
      </c>
      <c r="D99" s="543" t="s">
        <v>1085</v>
      </c>
      <c r="E99" s="544" t="s">
        <v>519</v>
      </c>
      <c r="F99" s="542" t="s">
        <v>510</v>
      </c>
      <c r="G99" s="542" t="s">
        <v>777</v>
      </c>
      <c r="H99" s="542" t="s">
        <v>455</v>
      </c>
      <c r="I99" s="542" t="s">
        <v>783</v>
      </c>
      <c r="J99" s="542" t="s">
        <v>779</v>
      </c>
      <c r="K99" s="542" t="s">
        <v>784</v>
      </c>
      <c r="L99" s="545">
        <v>0</v>
      </c>
      <c r="M99" s="545">
        <v>0</v>
      </c>
      <c r="N99" s="542">
        <v>2</v>
      </c>
      <c r="O99" s="546">
        <v>1</v>
      </c>
      <c r="P99" s="545"/>
      <c r="Q99" s="547"/>
      <c r="R99" s="542"/>
      <c r="S99" s="547">
        <v>0</v>
      </c>
      <c r="T99" s="546"/>
      <c r="U99" s="548">
        <v>0</v>
      </c>
    </row>
    <row r="100" spans="1:21" ht="14.4" customHeight="1" x14ac:dyDescent="0.3">
      <c r="A100" s="541">
        <v>27</v>
      </c>
      <c r="B100" s="542" t="s">
        <v>500</v>
      </c>
      <c r="C100" s="542">
        <v>89301273</v>
      </c>
      <c r="D100" s="543" t="s">
        <v>1085</v>
      </c>
      <c r="E100" s="544" t="s">
        <v>519</v>
      </c>
      <c r="F100" s="542" t="s">
        <v>510</v>
      </c>
      <c r="G100" s="542" t="s">
        <v>785</v>
      </c>
      <c r="H100" s="542" t="s">
        <v>455</v>
      </c>
      <c r="I100" s="542" t="s">
        <v>786</v>
      </c>
      <c r="J100" s="542" t="s">
        <v>787</v>
      </c>
      <c r="K100" s="542" t="s">
        <v>788</v>
      </c>
      <c r="L100" s="545">
        <v>193.64</v>
      </c>
      <c r="M100" s="545">
        <v>193.64</v>
      </c>
      <c r="N100" s="542">
        <v>1</v>
      </c>
      <c r="O100" s="546">
        <v>1</v>
      </c>
      <c r="P100" s="545"/>
      <c r="Q100" s="547">
        <v>0</v>
      </c>
      <c r="R100" s="542"/>
      <c r="S100" s="547">
        <v>0</v>
      </c>
      <c r="T100" s="546"/>
      <c r="U100" s="548">
        <v>0</v>
      </c>
    </row>
    <row r="101" spans="1:21" ht="14.4" customHeight="1" x14ac:dyDescent="0.3">
      <c r="A101" s="541">
        <v>27</v>
      </c>
      <c r="B101" s="542" t="s">
        <v>500</v>
      </c>
      <c r="C101" s="542">
        <v>89301273</v>
      </c>
      <c r="D101" s="543" t="s">
        <v>1085</v>
      </c>
      <c r="E101" s="544" t="s">
        <v>519</v>
      </c>
      <c r="F101" s="542" t="s">
        <v>510</v>
      </c>
      <c r="G101" s="542" t="s">
        <v>789</v>
      </c>
      <c r="H101" s="542" t="s">
        <v>455</v>
      </c>
      <c r="I101" s="542" t="s">
        <v>790</v>
      </c>
      <c r="J101" s="542" t="s">
        <v>791</v>
      </c>
      <c r="K101" s="542" t="s">
        <v>792</v>
      </c>
      <c r="L101" s="545">
        <v>0</v>
      </c>
      <c r="M101" s="545">
        <v>0</v>
      </c>
      <c r="N101" s="542">
        <v>4</v>
      </c>
      <c r="O101" s="546">
        <v>1</v>
      </c>
      <c r="P101" s="545">
        <v>0</v>
      </c>
      <c r="Q101" s="547"/>
      <c r="R101" s="542">
        <v>1</v>
      </c>
      <c r="S101" s="547">
        <v>0.25</v>
      </c>
      <c r="T101" s="546">
        <v>0.5</v>
      </c>
      <c r="U101" s="548">
        <v>0.5</v>
      </c>
    </row>
    <row r="102" spans="1:21" ht="14.4" customHeight="1" x14ac:dyDescent="0.3">
      <c r="A102" s="541">
        <v>27</v>
      </c>
      <c r="B102" s="542" t="s">
        <v>500</v>
      </c>
      <c r="C102" s="542">
        <v>89301273</v>
      </c>
      <c r="D102" s="543" t="s">
        <v>1085</v>
      </c>
      <c r="E102" s="544" t="s">
        <v>519</v>
      </c>
      <c r="F102" s="542" t="s">
        <v>510</v>
      </c>
      <c r="G102" s="542" t="s">
        <v>789</v>
      </c>
      <c r="H102" s="542" t="s">
        <v>455</v>
      </c>
      <c r="I102" s="542" t="s">
        <v>793</v>
      </c>
      <c r="J102" s="542" t="s">
        <v>794</v>
      </c>
      <c r="K102" s="542" t="s">
        <v>795</v>
      </c>
      <c r="L102" s="545">
        <v>0</v>
      </c>
      <c r="M102" s="545">
        <v>0</v>
      </c>
      <c r="N102" s="542">
        <v>1</v>
      </c>
      <c r="O102" s="546">
        <v>1</v>
      </c>
      <c r="P102" s="545">
        <v>0</v>
      </c>
      <c r="Q102" s="547"/>
      <c r="R102" s="542">
        <v>1</v>
      </c>
      <c r="S102" s="547">
        <v>1</v>
      </c>
      <c r="T102" s="546">
        <v>1</v>
      </c>
      <c r="U102" s="548">
        <v>1</v>
      </c>
    </row>
    <row r="103" spans="1:21" ht="14.4" customHeight="1" x14ac:dyDescent="0.3">
      <c r="A103" s="541">
        <v>27</v>
      </c>
      <c r="B103" s="542" t="s">
        <v>500</v>
      </c>
      <c r="C103" s="542">
        <v>89301273</v>
      </c>
      <c r="D103" s="543" t="s">
        <v>1085</v>
      </c>
      <c r="E103" s="544" t="s">
        <v>519</v>
      </c>
      <c r="F103" s="542" t="s">
        <v>510</v>
      </c>
      <c r="G103" s="542" t="s">
        <v>796</v>
      </c>
      <c r="H103" s="542" t="s">
        <v>455</v>
      </c>
      <c r="I103" s="542" t="s">
        <v>797</v>
      </c>
      <c r="J103" s="542" t="s">
        <v>798</v>
      </c>
      <c r="K103" s="542" t="s">
        <v>799</v>
      </c>
      <c r="L103" s="545">
        <v>75.8</v>
      </c>
      <c r="M103" s="545">
        <v>151.6</v>
      </c>
      <c r="N103" s="542">
        <v>2</v>
      </c>
      <c r="O103" s="546">
        <v>0.5</v>
      </c>
      <c r="P103" s="545"/>
      <c r="Q103" s="547">
        <v>0</v>
      </c>
      <c r="R103" s="542"/>
      <c r="S103" s="547">
        <v>0</v>
      </c>
      <c r="T103" s="546"/>
      <c r="U103" s="548">
        <v>0</v>
      </c>
    </row>
    <row r="104" spans="1:21" ht="14.4" customHeight="1" x14ac:dyDescent="0.3">
      <c r="A104" s="541">
        <v>27</v>
      </c>
      <c r="B104" s="542" t="s">
        <v>500</v>
      </c>
      <c r="C104" s="542">
        <v>89301273</v>
      </c>
      <c r="D104" s="543" t="s">
        <v>1085</v>
      </c>
      <c r="E104" s="544" t="s">
        <v>519</v>
      </c>
      <c r="F104" s="542" t="s">
        <v>510</v>
      </c>
      <c r="G104" s="542" t="s">
        <v>800</v>
      </c>
      <c r="H104" s="542" t="s">
        <v>455</v>
      </c>
      <c r="I104" s="542" t="s">
        <v>801</v>
      </c>
      <c r="J104" s="542" t="s">
        <v>802</v>
      </c>
      <c r="K104" s="542" t="s">
        <v>803</v>
      </c>
      <c r="L104" s="545">
        <v>354.98</v>
      </c>
      <c r="M104" s="545">
        <v>1774.9</v>
      </c>
      <c r="N104" s="542">
        <v>5</v>
      </c>
      <c r="O104" s="546">
        <v>2.5</v>
      </c>
      <c r="P104" s="545"/>
      <c r="Q104" s="547">
        <v>0</v>
      </c>
      <c r="R104" s="542"/>
      <c r="S104" s="547">
        <v>0</v>
      </c>
      <c r="T104" s="546"/>
      <c r="U104" s="548">
        <v>0</v>
      </c>
    </row>
    <row r="105" spans="1:21" ht="14.4" customHeight="1" x14ac:dyDescent="0.3">
      <c r="A105" s="541">
        <v>27</v>
      </c>
      <c r="B105" s="542" t="s">
        <v>500</v>
      </c>
      <c r="C105" s="542">
        <v>89301273</v>
      </c>
      <c r="D105" s="543" t="s">
        <v>1085</v>
      </c>
      <c r="E105" s="544" t="s">
        <v>519</v>
      </c>
      <c r="F105" s="542" t="s">
        <v>510</v>
      </c>
      <c r="G105" s="542" t="s">
        <v>800</v>
      </c>
      <c r="H105" s="542" t="s">
        <v>455</v>
      </c>
      <c r="I105" s="542" t="s">
        <v>801</v>
      </c>
      <c r="J105" s="542" t="s">
        <v>802</v>
      </c>
      <c r="K105" s="542" t="s">
        <v>803</v>
      </c>
      <c r="L105" s="545">
        <v>397.02</v>
      </c>
      <c r="M105" s="545">
        <v>397.02</v>
      </c>
      <c r="N105" s="542">
        <v>1</v>
      </c>
      <c r="O105" s="546">
        <v>0.5</v>
      </c>
      <c r="P105" s="545"/>
      <c r="Q105" s="547">
        <v>0</v>
      </c>
      <c r="R105" s="542"/>
      <c r="S105" s="547">
        <v>0</v>
      </c>
      <c r="T105" s="546"/>
      <c r="U105" s="548">
        <v>0</v>
      </c>
    </row>
    <row r="106" spans="1:21" ht="14.4" customHeight="1" x14ac:dyDescent="0.3">
      <c r="A106" s="541">
        <v>27</v>
      </c>
      <c r="B106" s="542" t="s">
        <v>500</v>
      </c>
      <c r="C106" s="542">
        <v>89301273</v>
      </c>
      <c r="D106" s="543" t="s">
        <v>1085</v>
      </c>
      <c r="E106" s="544" t="s">
        <v>519</v>
      </c>
      <c r="F106" s="542" t="s">
        <v>510</v>
      </c>
      <c r="G106" s="542" t="s">
        <v>800</v>
      </c>
      <c r="H106" s="542" t="s">
        <v>455</v>
      </c>
      <c r="I106" s="542" t="s">
        <v>801</v>
      </c>
      <c r="J106" s="542" t="s">
        <v>802</v>
      </c>
      <c r="K106" s="542" t="s">
        <v>803</v>
      </c>
      <c r="L106" s="545">
        <v>337.47</v>
      </c>
      <c r="M106" s="545">
        <v>2024.8200000000002</v>
      </c>
      <c r="N106" s="542">
        <v>6</v>
      </c>
      <c r="O106" s="546">
        <v>3</v>
      </c>
      <c r="P106" s="545"/>
      <c r="Q106" s="547">
        <v>0</v>
      </c>
      <c r="R106" s="542"/>
      <c r="S106" s="547">
        <v>0</v>
      </c>
      <c r="T106" s="546"/>
      <c r="U106" s="548">
        <v>0</v>
      </c>
    </row>
    <row r="107" spans="1:21" ht="14.4" customHeight="1" x14ac:dyDescent="0.3">
      <c r="A107" s="541">
        <v>27</v>
      </c>
      <c r="B107" s="542" t="s">
        <v>500</v>
      </c>
      <c r="C107" s="542">
        <v>89301273</v>
      </c>
      <c r="D107" s="543" t="s">
        <v>1085</v>
      </c>
      <c r="E107" s="544" t="s">
        <v>519</v>
      </c>
      <c r="F107" s="542" t="s">
        <v>510</v>
      </c>
      <c r="G107" s="542" t="s">
        <v>541</v>
      </c>
      <c r="H107" s="542" t="s">
        <v>455</v>
      </c>
      <c r="I107" s="542" t="s">
        <v>542</v>
      </c>
      <c r="J107" s="542" t="s">
        <v>543</v>
      </c>
      <c r="K107" s="542" t="s">
        <v>544</v>
      </c>
      <c r="L107" s="545">
        <v>115.3</v>
      </c>
      <c r="M107" s="545">
        <v>115.3</v>
      </c>
      <c r="N107" s="542">
        <v>1</v>
      </c>
      <c r="O107" s="546">
        <v>1</v>
      </c>
      <c r="P107" s="545"/>
      <c r="Q107" s="547">
        <v>0</v>
      </c>
      <c r="R107" s="542"/>
      <c r="S107" s="547">
        <v>0</v>
      </c>
      <c r="T107" s="546"/>
      <c r="U107" s="548">
        <v>0</v>
      </c>
    </row>
    <row r="108" spans="1:21" ht="14.4" customHeight="1" x14ac:dyDescent="0.3">
      <c r="A108" s="541">
        <v>27</v>
      </c>
      <c r="B108" s="542" t="s">
        <v>500</v>
      </c>
      <c r="C108" s="542">
        <v>89301273</v>
      </c>
      <c r="D108" s="543" t="s">
        <v>1085</v>
      </c>
      <c r="E108" s="544" t="s">
        <v>519</v>
      </c>
      <c r="F108" s="542" t="s">
        <v>510</v>
      </c>
      <c r="G108" s="542" t="s">
        <v>541</v>
      </c>
      <c r="H108" s="542" t="s">
        <v>455</v>
      </c>
      <c r="I108" s="542" t="s">
        <v>644</v>
      </c>
      <c r="J108" s="542" t="s">
        <v>543</v>
      </c>
      <c r="K108" s="542" t="s">
        <v>544</v>
      </c>
      <c r="L108" s="545">
        <v>115.3</v>
      </c>
      <c r="M108" s="545">
        <v>230.6</v>
      </c>
      <c r="N108" s="542">
        <v>2</v>
      </c>
      <c r="O108" s="546">
        <v>0.5</v>
      </c>
      <c r="P108" s="545"/>
      <c r="Q108" s="547">
        <v>0</v>
      </c>
      <c r="R108" s="542"/>
      <c r="S108" s="547">
        <v>0</v>
      </c>
      <c r="T108" s="546"/>
      <c r="U108" s="548">
        <v>0</v>
      </c>
    </row>
    <row r="109" spans="1:21" ht="14.4" customHeight="1" x14ac:dyDescent="0.3">
      <c r="A109" s="541">
        <v>27</v>
      </c>
      <c r="B109" s="542" t="s">
        <v>500</v>
      </c>
      <c r="C109" s="542">
        <v>89301273</v>
      </c>
      <c r="D109" s="543" t="s">
        <v>1085</v>
      </c>
      <c r="E109" s="544" t="s">
        <v>519</v>
      </c>
      <c r="F109" s="542" t="s">
        <v>510</v>
      </c>
      <c r="G109" s="542" t="s">
        <v>804</v>
      </c>
      <c r="H109" s="542" t="s">
        <v>455</v>
      </c>
      <c r="I109" s="542" t="s">
        <v>805</v>
      </c>
      <c r="J109" s="542" t="s">
        <v>806</v>
      </c>
      <c r="K109" s="542" t="s">
        <v>807</v>
      </c>
      <c r="L109" s="545">
        <v>83.09</v>
      </c>
      <c r="M109" s="545">
        <v>83.09</v>
      </c>
      <c r="N109" s="542">
        <v>1</v>
      </c>
      <c r="O109" s="546">
        <v>0.5</v>
      </c>
      <c r="P109" s="545">
        <v>83.09</v>
      </c>
      <c r="Q109" s="547">
        <v>1</v>
      </c>
      <c r="R109" s="542">
        <v>1</v>
      </c>
      <c r="S109" s="547">
        <v>1</v>
      </c>
      <c r="T109" s="546">
        <v>0.5</v>
      </c>
      <c r="U109" s="548">
        <v>1</v>
      </c>
    </row>
    <row r="110" spans="1:21" ht="14.4" customHeight="1" x14ac:dyDescent="0.3">
      <c r="A110" s="541">
        <v>27</v>
      </c>
      <c r="B110" s="542" t="s">
        <v>500</v>
      </c>
      <c r="C110" s="542">
        <v>89301273</v>
      </c>
      <c r="D110" s="543" t="s">
        <v>1085</v>
      </c>
      <c r="E110" s="544" t="s">
        <v>519</v>
      </c>
      <c r="F110" s="542" t="s">
        <v>510</v>
      </c>
      <c r="G110" s="542" t="s">
        <v>804</v>
      </c>
      <c r="H110" s="542" t="s">
        <v>455</v>
      </c>
      <c r="I110" s="542" t="s">
        <v>808</v>
      </c>
      <c r="J110" s="542" t="s">
        <v>809</v>
      </c>
      <c r="K110" s="542" t="s">
        <v>810</v>
      </c>
      <c r="L110" s="545">
        <v>83.09</v>
      </c>
      <c r="M110" s="545">
        <v>83.09</v>
      </c>
      <c r="N110" s="542">
        <v>1</v>
      </c>
      <c r="O110" s="546">
        <v>1</v>
      </c>
      <c r="P110" s="545">
        <v>83.09</v>
      </c>
      <c r="Q110" s="547">
        <v>1</v>
      </c>
      <c r="R110" s="542">
        <v>1</v>
      </c>
      <c r="S110" s="547">
        <v>1</v>
      </c>
      <c r="T110" s="546">
        <v>1</v>
      </c>
      <c r="U110" s="548">
        <v>1</v>
      </c>
    </row>
    <row r="111" spans="1:21" ht="14.4" customHeight="1" x14ac:dyDescent="0.3">
      <c r="A111" s="541">
        <v>27</v>
      </c>
      <c r="B111" s="542" t="s">
        <v>500</v>
      </c>
      <c r="C111" s="542">
        <v>89301273</v>
      </c>
      <c r="D111" s="543" t="s">
        <v>1085</v>
      </c>
      <c r="E111" s="544" t="s">
        <v>519</v>
      </c>
      <c r="F111" s="542" t="s">
        <v>510</v>
      </c>
      <c r="G111" s="542" t="s">
        <v>811</v>
      </c>
      <c r="H111" s="542" t="s">
        <v>455</v>
      </c>
      <c r="I111" s="542" t="s">
        <v>812</v>
      </c>
      <c r="J111" s="542" t="s">
        <v>813</v>
      </c>
      <c r="K111" s="542" t="s">
        <v>814</v>
      </c>
      <c r="L111" s="545">
        <v>166.65</v>
      </c>
      <c r="M111" s="545">
        <v>166.65</v>
      </c>
      <c r="N111" s="542">
        <v>1</v>
      </c>
      <c r="O111" s="546">
        <v>1</v>
      </c>
      <c r="P111" s="545">
        <v>166.65</v>
      </c>
      <c r="Q111" s="547">
        <v>1</v>
      </c>
      <c r="R111" s="542">
        <v>1</v>
      </c>
      <c r="S111" s="547">
        <v>1</v>
      </c>
      <c r="T111" s="546">
        <v>1</v>
      </c>
      <c r="U111" s="548">
        <v>1</v>
      </c>
    </row>
    <row r="112" spans="1:21" ht="14.4" customHeight="1" x14ac:dyDescent="0.3">
      <c r="A112" s="541">
        <v>27</v>
      </c>
      <c r="B112" s="542" t="s">
        <v>500</v>
      </c>
      <c r="C112" s="542">
        <v>89301273</v>
      </c>
      <c r="D112" s="543" t="s">
        <v>1085</v>
      </c>
      <c r="E112" s="544" t="s">
        <v>519</v>
      </c>
      <c r="F112" s="542" t="s">
        <v>510</v>
      </c>
      <c r="G112" s="542" t="s">
        <v>815</v>
      </c>
      <c r="H112" s="542" t="s">
        <v>455</v>
      </c>
      <c r="I112" s="542" t="s">
        <v>816</v>
      </c>
      <c r="J112" s="542" t="s">
        <v>817</v>
      </c>
      <c r="K112" s="542" t="s">
        <v>818</v>
      </c>
      <c r="L112" s="545">
        <v>36.130000000000003</v>
      </c>
      <c r="M112" s="545">
        <v>36.130000000000003</v>
      </c>
      <c r="N112" s="542">
        <v>1</v>
      </c>
      <c r="O112" s="546">
        <v>0.5</v>
      </c>
      <c r="P112" s="545"/>
      <c r="Q112" s="547">
        <v>0</v>
      </c>
      <c r="R112" s="542"/>
      <c r="S112" s="547">
        <v>0</v>
      </c>
      <c r="T112" s="546"/>
      <c r="U112" s="548">
        <v>0</v>
      </c>
    </row>
    <row r="113" spans="1:21" ht="14.4" customHeight="1" x14ac:dyDescent="0.3">
      <c r="A113" s="541">
        <v>27</v>
      </c>
      <c r="B113" s="542" t="s">
        <v>500</v>
      </c>
      <c r="C113" s="542">
        <v>89301273</v>
      </c>
      <c r="D113" s="543" t="s">
        <v>1085</v>
      </c>
      <c r="E113" s="544" t="s">
        <v>519</v>
      </c>
      <c r="F113" s="542" t="s">
        <v>510</v>
      </c>
      <c r="G113" s="542" t="s">
        <v>819</v>
      </c>
      <c r="H113" s="542" t="s">
        <v>455</v>
      </c>
      <c r="I113" s="542" t="s">
        <v>820</v>
      </c>
      <c r="J113" s="542" t="s">
        <v>821</v>
      </c>
      <c r="K113" s="542" t="s">
        <v>822</v>
      </c>
      <c r="L113" s="545">
        <v>314.89999999999998</v>
      </c>
      <c r="M113" s="545">
        <v>314.89999999999998</v>
      </c>
      <c r="N113" s="542">
        <v>1</v>
      </c>
      <c r="O113" s="546">
        <v>0.5</v>
      </c>
      <c r="P113" s="545">
        <v>314.89999999999998</v>
      </c>
      <c r="Q113" s="547">
        <v>1</v>
      </c>
      <c r="R113" s="542">
        <v>1</v>
      </c>
      <c r="S113" s="547">
        <v>1</v>
      </c>
      <c r="T113" s="546">
        <v>0.5</v>
      </c>
      <c r="U113" s="548">
        <v>1</v>
      </c>
    </row>
    <row r="114" spans="1:21" ht="14.4" customHeight="1" x14ac:dyDescent="0.3">
      <c r="A114" s="541">
        <v>27</v>
      </c>
      <c r="B114" s="542" t="s">
        <v>500</v>
      </c>
      <c r="C114" s="542">
        <v>89301273</v>
      </c>
      <c r="D114" s="543" t="s">
        <v>1085</v>
      </c>
      <c r="E114" s="544" t="s">
        <v>519</v>
      </c>
      <c r="F114" s="542" t="s">
        <v>510</v>
      </c>
      <c r="G114" s="542" t="s">
        <v>819</v>
      </c>
      <c r="H114" s="542" t="s">
        <v>455</v>
      </c>
      <c r="I114" s="542" t="s">
        <v>823</v>
      </c>
      <c r="J114" s="542" t="s">
        <v>824</v>
      </c>
      <c r="K114" s="542" t="s">
        <v>825</v>
      </c>
      <c r="L114" s="545">
        <v>629.78</v>
      </c>
      <c r="M114" s="545">
        <v>629.78</v>
      </c>
      <c r="N114" s="542">
        <v>1</v>
      </c>
      <c r="O114" s="546">
        <v>1</v>
      </c>
      <c r="P114" s="545">
        <v>629.78</v>
      </c>
      <c r="Q114" s="547">
        <v>1</v>
      </c>
      <c r="R114" s="542">
        <v>1</v>
      </c>
      <c r="S114" s="547">
        <v>1</v>
      </c>
      <c r="T114" s="546">
        <v>1</v>
      </c>
      <c r="U114" s="548">
        <v>1</v>
      </c>
    </row>
    <row r="115" spans="1:21" ht="14.4" customHeight="1" x14ac:dyDescent="0.3">
      <c r="A115" s="541">
        <v>27</v>
      </c>
      <c r="B115" s="542" t="s">
        <v>500</v>
      </c>
      <c r="C115" s="542">
        <v>89301273</v>
      </c>
      <c r="D115" s="543" t="s">
        <v>1085</v>
      </c>
      <c r="E115" s="544" t="s">
        <v>519</v>
      </c>
      <c r="F115" s="542" t="s">
        <v>510</v>
      </c>
      <c r="G115" s="542" t="s">
        <v>819</v>
      </c>
      <c r="H115" s="542" t="s">
        <v>495</v>
      </c>
      <c r="I115" s="542" t="s">
        <v>826</v>
      </c>
      <c r="J115" s="542" t="s">
        <v>827</v>
      </c>
      <c r="K115" s="542" t="s">
        <v>828</v>
      </c>
      <c r="L115" s="545">
        <v>685.76</v>
      </c>
      <c r="M115" s="545">
        <v>1371.52</v>
      </c>
      <c r="N115" s="542">
        <v>2</v>
      </c>
      <c r="O115" s="546">
        <v>1</v>
      </c>
      <c r="P115" s="545"/>
      <c r="Q115" s="547">
        <v>0</v>
      </c>
      <c r="R115" s="542"/>
      <c r="S115" s="547">
        <v>0</v>
      </c>
      <c r="T115" s="546"/>
      <c r="U115" s="548">
        <v>0</v>
      </c>
    </row>
    <row r="116" spans="1:21" ht="14.4" customHeight="1" x14ac:dyDescent="0.3">
      <c r="A116" s="541">
        <v>27</v>
      </c>
      <c r="B116" s="542" t="s">
        <v>500</v>
      </c>
      <c r="C116" s="542">
        <v>89301273</v>
      </c>
      <c r="D116" s="543" t="s">
        <v>1085</v>
      </c>
      <c r="E116" s="544" t="s">
        <v>519</v>
      </c>
      <c r="F116" s="542" t="s">
        <v>510</v>
      </c>
      <c r="G116" s="542" t="s">
        <v>819</v>
      </c>
      <c r="H116" s="542" t="s">
        <v>495</v>
      </c>
      <c r="I116" s="542" t="s">
        <v>829</v>
      </c>
      <c r="J116" s="542" t="s">
        <v>827</v>
      </c>
      <c r="K116" s="542" t="s">
        <v>828</v>
      </c>
      <c r="L116" s="545">
        <v>685.76</v>
      </c>
      <c r="M116" s="545">
        <v>1371.52</v>
      </c>
      <c r="N116" s="542">
        <v>2</v>
      </c>
      <c r="O116" s="546">
        <v>1</v>
      </c>
      <c r="P116" s="545"/>
      <c r="Q116" s="547">
        <v>0</v>
      </c>
      <c r="R116" s="542"/>
      <c r="S116" s="547">
        <v>0</v>
      </c>
      <c r="T116" s="546"/>
      <c r="U116" s="548">
        <v>0</v>
      </c>
    </row>
    <row r="117" spans="1:21" ht="14.4" customHeight="1" x14ac:dyDescent="0.3">
      <c r="A117" s="541">
        <v>27</v>
      </c>
      <c r="B117" s="542" t="s">
        <v>500</v>
      </c>
      <c r="C117" s="542">
        <v>89301273</v>
      </c>
      <c r="D117" s="543" t="s">
        <v>1085</v>
      </c>
      <c r="E117" s="544" t="s">
        <v>519</v>
      </c>
      <c r="F117" s="542" t="s">
        <v>510</v>
      </c>
      <c r="G117" s="542" t="s">
        <v>819</v>
      </c>
      <c r="H117" s="542" t="s">
        <v>455</v>
      </c>
      <c r="I117" s="542" t="s">
        <v>830</v>
      </c>
      <c r="J117" s="542" t="s">
        <v>821</v>
      </c>
      <c r="K117" s="542" t="s">
        <v>831</v>
      </c>
      <c r="L117" s="545">
        <v>0</v>
      </c>
      <c r="M117" s="545">
        <v>0</v>
      </c>
      <c r="N117" s="542">
        <v>1</v>
      </c>
      <c r="O117" s="546">
        <v>0.5</v>
      </c>
      <c r="P117" s="545">
        <v>0</v>
      </c>
      <c r="Q117" s="547"/>
      <c r="R117" s="542">
        <v>1</v>
      </c>
      <c r="S117" s="547">
        <v>1</v>
      </c>
      <c r="T117" s="546">
        <v>0.5</v>
      </c>
      <c r="U117" s="548">
        <v>1</v>
      </c>
    </row>
    <row r="118" spans="1:21" ht="14.4" customHeight="1" x14ac:dyDescent="0.3">
      <c r="A118" s="541">
        <v>27</v>
      </c>
      <c r="B118" s="542" t="s">
        <v>500</v>
      </c>
      <c r="C118" s="542">
        <v>89301273</v>
      </c>
      <c r="D118" s="543" t="s">
        <v>1085</v>
      </c>
      <c r="E118" s="544" t="s">
        <v>519</v>
      </c>
      <c r="F118" s="542" t="s">
        <v>510</v>
      </c>
      <c r="G118" s="542" t="s">
        <v>832</v>
      </c>
      <c r="H118" s="542" t="s">
        <v>455</v>
      </c>
      <c r="I118" s="542" t="s">
        <v>833</v>
      </c>
      <c r="J118" s="542" t="s">
        <v>834</v>
      </c>
      <c r="K118" s="542" t="s">
        <v>835</v>
      </c>
      <c r="L118" s="545">
        <v>158.13</v>
      </c>
      <c r="M118" s="545">
        <v>158.13</v>
      </c>
      <c r="N118" s="542">
        <v>1</v>
      </c>
      <c r="O118" s="546">
        <v>1</v>
      </c>
      <c r="P118" s="545">
        <v>158.13</v>
      </c>
      <c r="Q118" s="547">
        <v>1</v>
      </c>
      <c r="R118" s="542">
        <v>1</v>
      </c>
      <c r="S118" s="547">
        <v>1</v>
      </c>
      <c r="T118" s="546">
        <v>1</v>
      </c>
      <c r="U118" s="548">
        <v>1</v>
      </c>
    </row>
    <row r="119" spans="1:21" ht="14.4" customHeight="1" x14ac:dyDescent="0.3">
      <c r="A119" s="541">
        <v>27</v>
      </c>
      <c r="B119" s="542" t="s">
        <v>500</v>
      </c>
      <c r="C119" s="542">
        <v>89301273</v>
      </c>
      <c r="D119" s="543" t="s">
        <v>1085</v>
      </c>
      <c r="E119" s="544" t="s">
        <v>519</v>
      </c>
      <c r="F119" s="542" t="s">
        <v>510</v>
      </c>
      <c r="G119" s="542" t="s">
        <v>836</v>
      </c>
      <c r="H119" s="542" t="s">
        <v>455</v>
      </c>
      <c r="I119" s="542" t="s">
        <v>837</v>
      </c>
      <c r="J119" s="542" t="s">
        <v>838</v>
      </c>
      <c r="K119" s="542" t="s">
        <v>839</v>
      </c>
      <c r="L119" s="545">
        <v>0</v>
      </c>
      <c r="M119" s="545">
        <v>0</v>
      </c>
      <c r="N119" s="542">
        <v>3</v>
      </c>
      <c r="O119" s="546">
        <v>2.5</v>
      </c>
      <c r="P119" s="545">
        <v>0</v>
      </c>
      <c r="Q119" s="547"/>
      <c r="R119" s="542">
        <v>1</v>
      </c>
      <c r="S119" s="547">
        <v>0.33333333333333331</v>
      </c>
      <c r="T119" s="546">
        <v>0.5</v>
      </c>
      <c r="U119" s="548">
        <v>0.2</v>
      </c>
    </row>
    <row r="120" spans="1:21" ht="14.4" customHeight="1" x14ac:dyDescent="0.3">
      <c r="A120" s="541">
        <v>27</v>
      </c>
      <c r="B120" s="542" t="s">
        <v>500</v>
      </c>
      <c r="C120" s="542">
        <v>89301273</v>
      </c>
      <c r="D120" s="543" t="s">
        <v>1085</v>
      </c>
      <c r="E120" s="544" t="s">
        <v>519</v>
      </c>
      <c r="F120" s="542" t="s">
        <v>510</v>
      </c>
      <c r="G120" s="542" t="s">
        <v>840</v>
      </c>
      <c r="H120" s="542" t="s">
        <v>455</v>
      </c>
      <c r="I120" s="542" t="s">
        <v>841</v>
      </c>
      <c r="J120" s="542" t="s">
        <v>842</v>
      </c>
      <c r="K120" s="542" t="s">
        <v>843</v>
      </c>
      <c r="L120" s="545">
        <v>39.39</v>
      </c>
      <c r="M120" s="545">
        <v>78.78</v>
      </c>
      <c r="N120" s="542">
        <v>2</v>
      </c>
      <c r="O120" s="546">
        <v>0.5</v>
      </c>
      <c r="P120" s="545"/>
      <c r="Q120" s="547">
        <v>0</v>
      </c>
      <c r="R120" s="542"/>
      <c r="S120" s="547">
        <v>0</v>
      </c>
      <c r="T120" s="546"/>
      <c r="U120" s="548">
        <v>0</v>
      </c>
    </row>
    <row r="121" spans="1:21" ht="14.4" customHeight="1" x14ac:dyDescent="0.3">
      <c r="A121" s="541">
        <v>27</v>
      </c>
      <c r="B121" s="542" t="s">
        <v>500</v>
      </c>
      <c r="C121" s="542">
        <v>89301273</v>
      </c>
      <c r="D121" s="543" t="s">
        <v>1085</v>
      </c>
      <c r="E121" s="544" t="s">
        <v>519</v>
      </c>
      <c r="F121" s="542" t="s">
        <v>510</v>
      </c>
      <c r="G121" s="542" t="s">
        <v>844</v>
      </c>
      <c r="H121" s="542" t="s">
        <v>455</v>
      </c>
      <c r="I121" s="542" t="s">
        <v>845</v>
      </c>
      <c r="J121" s="542" t="s">
        <v>846</v>
      </c>
      <c r="K121" s="542" t="s">
        <v>847</v>
      </c>
      <c r="L121" s="545">
        <v>0</v>
      </c>
      <c r="M121" s="545">
        <v>0</v>
      </c>
      <c r="N121" s="542">
        <v>1</v>
      </c>
      <c r="O121" s="546">
        <v>0.5</v>
      </c>
      <c r="P121" s="545">
        <v>0</v>
      </c>
      <c r="Q121" s="547"/>
      <c r="R121" s="542">
        <v>1</v>
      </c>
      <c r="S121" s="547">
        <v>1</v>
      </c>
      <c r="T121" s="546">
        <v>0.5</v>
      </c>
      <c r="U121" s="548">
        <v>1</v>
      </c>
    </row>
    <row r="122" spans="1:21" ht="14.4" customHeight="1" x14ac:dyDescent="0.3">
      <c r="A122" s="541">
        <v>27</v>
      </c>
      <c r="B122" s="542" t="s">
        <v>500</v>
      </c>
      <c r="C122" s="542">
        <v>89301273</v>
      </c>
      <c r="D122" s="543" t="s">
        <v>1085</v>
      </c>
      <c r="E122" s="544" t="s">
        <v>519</v>
      </c>
      <c r="F122" s="542" t="s">
        <v>510</v>
      </c>
      <c r="G122" s="542" t="s">
        <v>848</v>
      </c>
      <c r="H122" s="542" t="s">
        <v>455</v>
      </c>
      <c r="I122" s="542" t="s">
        <v>849</v>
      </c>
      <c r="J122" s="542" t="s">
        <v>850</v>
      </c>
      <c r="K122" s="542" t="s">
        <v>851</v>
      </c>
      <c r="L122" s="545">
        <v>0</v>
      </c>
      <c r="M122" s="545">
        <v>0</v>
      </c>
      <c r="N122" s="542">
        <v>1</v>
      </c>
      <c r="O122" s="546">
        <v>0.5</v>
      </c>
      <c r="P122" s="545"/>
      <c r="Q122" s="547"/>
      <c r="R122" s="542"/>
      <c r="S122" s="547">
        <v>0</v>
      </c>
      <c r="T122" s="546"/>
      <c r="U122" s="548">
        <v>0</v>
      </c>
    </row>
    <row r="123" spans="1:21" ht="14.4" customHeight="1" x14ac:dyDescent="0.3">
      <c r="A123" s="541">
        <v>27</v>
      </c>
      <c r="B123" s="542" t="s">
        <v>500</v>
      </c>
      <c r="C123" s="542">
        <v>89301273</v>
      </c>
      <c r="D123" s="543" t="s">
        <v>1085</v>
      </c>
      <c r="E123" s="544" t="s">
        <v>519</v>
      </c>
      <c r="F123" s="542" t="s">
        <v>510</v>
      </c>
      <c r="G123" s="542" t="s">
        <v>848</v>
      </c>
      <c r="H123" s="542" t="s">
        <v>455</v>
      </c>
      <c r="I123" s="542" t="s">
        <v>852</v>
      </c>
      <c r="J123" s="542" t="s">
        <v>850</v>
      </c>
      <c r="K123" s="542" t="s">
        <v>853</v>
      </c>
      <c r="L123" s="545">
        <v>0</v>
      </c>
      <c r="M123" s="545">
        <v>0</v>
      </c>
      <c r="N123" s="542">
        <v>1</v>
      </c>
      <c r="O123" s="546">
        <v>0.5</v>
      </c>
      <c r="P123" s="545"/>
      <c r="Q123" s="547"/>
      <c r="R123" s="542"/>
      <c r="S123" s="547">
        <v>0</v>
      </c>
      <c r="T123" s="546"/>
      <c r="U123" s="548">
        <v>0</v>
      </c>
    </row>
    <row r="124" spans="1:21" ht="14.4" customHeight="1" x14ac:dyDescent="0.3">
      <c r="A124" s="541">
        <v>27</v>
      </c>
      <c r="B124" s="542" t="s">
        <v>500</v>
      </c>
      <c r="C124" s="542">
        <v>89301273</v>
      </c>
      <c r="D124" s="543" t="s">
        <v>1085</v>
      </c>
      <c r="E124" s="544" t="s">
        <v>519</v>
      </c>
      <c r="F124" s="542" t="s">
        <v>510</v>
      </c>
      <c r="G124" s="542" t="s">
        <v>553</v>
      </c>
      <c r="H124" s="542" t="s">
        <v>455</v>
      </c>
      <c r="I124" s="542" t="s">
        <v>554</v>
      </c>
      <c r="J124" s="542" t="s">
        <v>555</v>
      </c>
      <c r="K124" s="542" t="s">
        <v>556</v>
      </c>
      <c r="L124" s="545">
        <v>163.9</v>
      </c>
      <c r="M124" s="545">
        <v>1639.0000000000002</v>
      </c>
      <c r="N124" s="542">
        <v>10</v>
      </c>
      <c r="O124" s="546">
        <v>3</v>
      </c>
      <c r="P124" s="545">
        <v>491.70000000000005</v>
      </c>
      <c r="Q124" s="547">
        <v>0.3</v>
      </c>
      <c r="R124" s="542">
        <v>3</v>
      </c>
      <c r="S124" s="547">
        <v>0.3</v>
      </c>
      <c r="T124" s="546">
        <v>1</v>
      </c>
      <c r="U124" s="548">
        <v>0.33333333333333331</v>
      </c>
    </row>
    <row r="125" spans="1:21" ht="14.4" customHeight="1" x14ac:dyDescent="0.3">
      <c r="A125" s="541">
        <v>27</v>
      </c>
      <c r="B125" s="542" t="s">
        <v>500</v>
      </c>
      <c r="C125" s="542">
        <v>89301273</v>
      </c>
      <c r="D125" s="543" t="s">
        <v>1085</v>
      </c>
      <c r="E125" s="544" t="s">
        <v>519</v>
      </c>
      <c r="F125" s="542" t="s">
        <v>510</v>
      </c>
      <c r="G125" s="542" t="s">
        <v>557</v>
      </c>
      <c r="H125" s="542" t="s">
        <v>455</v>
      </c>
      <c r="I125" s="542" t="s">
        <v>854</v>
      </c>
      <c r="J125" s="542" t="s">
        <v>855</v>
      </c>
      <c r="K125" s="542" t="s">
        <v>856</v>
      </c>
      <c r="L125" s="545">
        <v>0</v>
      </c>
      <c r="M125" s="545">
        <v>0</v>
      </c>
      <c r="N125" s="542">
        <v>2</v>
      </c>
      <c r="O125" s="546">
        <v>1</v>
      </c>
      <c r="P125" s="545"/>
      <c r="Q125" s="547"/>
      <c r="R125" s="542"/>
      <c r="S125" s="547">
        <v>0</v>
      </c>
      <c r="T125" s="546"/>
      <c r="U125" s="548">
        <v>0</v>
      </c>
    </row>
    <row r="126" spans="1:21" ht="14.4" customHeight="1" x14ac:dyDescent="0.3">
      <c r="A126" s="541">
        <v>27</v>
      </c>
      <c r="B126" s="542" t="s">
        <v>500</v>
      </c>
      <c r="C126" s="542">
        <v>89301273</v>
      </c>
      <c r="D126" s="543" t="s">
        <v>1085</v>
      </c>
      <c r="E126" s="544" t="s">
        <v>519</v>
      </c>
      <c r="F126" s="542" t="s">
        <v>510</v>
      </c>
      <c r="G126" s="542" t="s">
        <v>857</v>
      </c>
      <c r="H126" s="542" t="s">
        <v>455</v>
      </c>
      <c r="I126" s="542" t="s">
        <v>858</v>
      </c>
      <c r="J126" s="542" t="s">
        <v>859</v>
      </c>
      <c r="K126" s="542" t="s">
        <v>860</v>
      </c>
      <c r="L126" s="545">
        <v>159.79</v>
      </c>
      <c r="M126" s="545">
        <v>159.79</v>
      </c>
      <c r="N126" s="542">
        <v>1</v>
      </c>
      <c r="O126" s="546">
        <v>0.5</v>
      </c>
      <c r="P126" s="545">
        <v>159.79</v>
      </c>
      <c r="Q126" s="547">
        <v>1</v>
      </c>
      <c r="R126" s="542">
        <v>1</v>
      </c>
      <c r="S126" s="547">
        <v>1</v>
      </c>
      <c r="T126" s="546">
        <v>0.5</v>
      </c>
      <c r="U126" s="548">
        <v>1</v>
      </c>
    </row>
    <row r="127" spans="1:21" ht="14.4" customHeight="1" x14ac:dyDescent="0.3">
      <c r="A127" s="541">
        <v>27</v>
      </c>
      <c r="B127" s="542" t="s">
        <v>500</v>
      </c>
      <c r="C127" s="542">
        <v>89301273</v>
      </c>
      <c r="D127" s="543" t="s">
        <v>1085</v>
      </c>
      <c r="E127" s="544" t="s">
        <v>519</v>
      </c>
      <c r="F127" s="542" t="s">
        <v>510</v>
      </c>
      <c r="G127" s="542" t="s">
        <v>857</v>
      </c>
      <c r="H127" s="542" t="s">
        <v>455</v>
      </c>
      <c r="I127" s="542" t="s">
        <v>861</v>
      </c>
      <c r="J127" s="542" t="s">
        <v>859</v>
      </c>
      <c r="K127" s="542" t="s">
        <v>862</v>
      </c>
      <c r="L127" s="545">
        <v>40.46</v>
      </c>
      <c r="M127" s="545">
        <v>121.38</v>
      </c>
      <c r="N127" s="542">
        <v>3</v>
      </c>
      <c r="O127" s="546">
        <v>0.5</v>
      </c>
      <c r="P127" s="545">
        <v>121.38</v>
      </c>
      <c r="Q127" s="547">
        <v>1</v>
      </c>
      <c r="R127" s="542">
        <v>3</v>
      </c>
      <c r="S127" s="547">
        <v>1</v>
      </c>
      <c r="T127" s="546">
        <v>0.5</v>
      </c>
      <c r="U127" s="548">
        <v>1</v>
      </c>
    </row>
    <row r="128" spans="1:21" ht="14.4" customHeight="1" x14ac:dyDescent="0.3">
      <c r="A128" s="541">
        <v>27</v>
      </c>
      <c r="B128" s="542" t="s">
        <v>500</v>
      </c>
      <c r="C128" s="542">
        <v>89301273</v>
      </c>
      <c r="D128" s="543" t="s">
        <v>1085</v>
      </c>
      <c r="E128" s="544" t="s">
        <v>519</v>
      </c>
      <c r="F128" s="542" t="s">
        <v>510</v>
      </c>
      <c r="G128" s="542" t="s">
        <v>857</v>
      </c>
      <c r="H128" s="542" t="s">
        <v>455</v>
      </c>
      <c r="I128" s="542" t="s">
        <v>863</v>
      </c>
      <c r="J128" s="542" t="s">
        <v>864</v>
      </c>
      <c r="K128" s="542" t="s">
        <v>865</v>
      </c>
      <c r="L128" s="545">
        <v>0</v>
      </c>
      <c r="M128" s="545">
        <v>0</v>
      </c>
      <c r="N128" s="542">
        <v>1</v>
      </c>
      <c r="O128" s="546">
        <v>0.5</v>
      </c>
      <c r="P128" s="545"/>
      <c r="Q128" s="547"/>
      <c r="R128" s="542"/>
      <c r="S128" s="547">
        <v>0</v>
      </c>
      <c r="T128" s="546"/>
      <c r="U128" s="548">
        <v>0</v>
      </c>
    </row>
    <row r="129" spans="1:21" ht="14.4" customHeight="1" x14ac:dyDescent="0.3">
      <c r="A129" s="541">
        <v>27</v>
      </c>
      <c r="B129" s="542" t="s">
        <v>500</v>
      </c>
      <c r="C129" s="542">
        <v>89301273</v>
      </c>
      <c r="D129" s="543" t="s">
        <v>1085</v>
      </c>
      <c r="E129" s="544" t="s">
        <v>519</v>
      </c>
      <c r="F129" s="542" t="s">
        <v>510</v>
      </c>
      <c r="G129" s="542" t="s">
        <v>866</v>
      </c>
      <c r="H129" s="542" t="s">
        <v>455</v>
      </c>
      <c r="I129" s="542" t="s">
        <v>867</v>
      </c>
      <c r="J129" s="542" t="s">
        <v>868</v>
      </c>
      <c r="K129" s="542" t="s">
        <v>869</v>
      </c>
      <c r="L129" s="545">
        <v>63.67</v>
      </c>
      <c r="M129" s="545">
        <v>318.35000000000002</v>
      </c>
      <c r="N129" s="542">
        <v>5</v>
      </c>
      <c r="O129" s="546">
        <v>1.5</v>
      </c>
      <c r="P129" s="545"/>
      <c r="Q129" s="547">
        <v>0</v>
      </c>
      <c r="R129" s="542"/>
      <c r="S129" s="547">
        <v>0</v>
      </c>
      <c r="T129" s="546"/>
      <c r="U129" s="548">
        <v>0</v>
      </c>
    </row>
    <row r="130" spans="1:21" ht="14.4" customHeight="1" x14ac:dyDescent="0.3">
      <c r="A130" s="541">
        <v>27</v>
      </c>
      <c r="B130" s="542" t="s">
        <v>500</v>
      </c>
      <c r="C130" s="542">
        <v>89301273</v>
      </c>
      <c r="D130" s="543" t="s">
        <v>1085</v>
      </c>
      <c r="E130" s="544" t="s">
        <v>519</v>
      </c>
      <c r="F130" s="542" t="s">
        <v>510</v>
      </c>
      <c r="G130" s="542" t="s">
        <v>567</v>
      </c>
      <c r="H130" s="542" t="s">
        <v>455</v>
      </c>
      <c r="I130" s="542" t="s">
        <v>568</v>
      </c>
      <c r="J130" s="542" t="s">
        <v>569</v>
      </c>
      <c r="K130" s="542" t="s">
        <v>570</v>
      </c>
      <c r="L130" s="545">
        <v>50.27</v>
      </c>
      <c r="M130" s="545">
        <v>301.62</v>
      </c>
      <c r="N130" s="542">
        <v>6</v>
      </c>
      <c r="O130" s="546">
        <v>2.5</v>
      </c>
      <c r="P130" s="545">
        <v>50.27</v>
      </c>
      <c r="Q130" s="547">
        <v>0.16666666666666669</v>
      </c>
      <c r="R130" s="542">
        <v>1</v>
      </c>
      <c r="S130" s="547">
        <v>0.16666666666666666</v>
      </c>
      <c r="T130" s="546">
        <v>0.5</v>
      </c>
      <c r="U130" s="548">
        <v>0.2</v>
      </c>
    </row>
    <row r="131" spans="1:21" ht="14.4" customHeight="1" x14ac:dyDescent="0.3">
      <c r="A131" s="541">
        <v>27</v>
      </c>
      <c r="B131" s="542" t="s">
        <v>500</v>
      </c>
      <c r="C131" s="542">
        <v>89301273</v>
      </c>
      <c r="D131" s="543" t="s">
        <v>1085</v>
      </c>
      <c r="E131" s="544" t="s">
        <v>519</v>
      </c>
      <c r="F131" s="542" t="s">
        <v>510</v>
      </c>
      <c r="G131" s="542" t="s">
        <v>567</v>
      </c>
      <c r="H131" s="542" t="s">
        <v>455</v>
      </c>
      <c r="I131" s="542" t="s">
        <v>870</v>
      </c>
      <c r="J131" s="542" t="s">
        <v>569</v>
      </c>
      <c r="K131" s="542" t="s">
        <v>871</v>
      </c>
      <c r="L131" s="545">
        <v>58.1</v>
      </c>
      <c r="M131" s="545">
        <v>58.1</v>
      </c>
      <c r="N131" s="542">
        <v>1</v>
      </c>
      <c r="O131" s="546">
        <v>0.5</v>
      </c>
      <c r="P131" s="545">
        <v>58.1</v>
      </c>
      <c r="Q131" s="547">
        <v>1</v>
      </c>
      <c r="R131" s="542">
        <v>1</v>
      </c>
      <c r="S131" s="547">
        <v>1</v>
      </c>
      <c r="T131" s="546">
        <v>0.5</v>
      </c>
      <c r="U131" s="548">
        <v>1</v>
      </c>
    </row>
    <row r="132" spans="1:21" ht="14.4" customHeight="1" x14ac:dyDescent="0.3">
      <c r="A132" s="541">
        <v>27</v>
      </c>
      <c r="B132" s="542" t="s">
        <v>500</v>
      </c>
      <c r="C132" s="542">
        <v>89301273</v>
      </c>
      <c r="D132" s="543" t="s">
        <v>1085</v>
      </c>
      <c r="E132" s="544" t="s">
        <v>519</v>
      </c>
      <c r="F132" s="542" t="s">
        <v>510</v>
      </c>
      <c r="G132" s="542" t="s">
        <v>567</v>
      </c>
      <c r="H132" s="542" t="s">
        <v>455</v>
      </c>
      <c r="I132" s="542" t="s">
        <v>872</v>
      </c>
      <c r="J132" s="542" t="s">
        <v>873</v>
      </c>
      <c r="K132" s="542" t="s">
        <v>874</v>
      </c>
      <c r="L132" s="545">
        <v>93.99</v>
      </c>
      <c r="M132" s="545">
        <v>93.99</v>
      </c>
      <c r="N132" s="542">
        <v>1</v>
      </c>
      <c r="O132" s="546">
        <v>0.5</v>
      </c>
      <c r="P132" s="545"/>
      <c r="Q132" s="547">
        <v>0</v>
      </c>
      <c r="R132" s="542"/>
      <c r="S132" s="547">
        <v>0</v>
      </c>
      <c r="T132" s="546"/>
      <c r="U132" s="548">
        <v>0</v>
      </c>
    </row>
    <row r="133" spans="1:21" ht="14.4" customHeight="1" x14ac:dyDescent="0.3">
      <c r="A133" s="541">
        <v>27</v>
      </c>
      <c r="B133" s="542" t="s">
        <v>500</v>
      </c>
      <c r="C133" s="542">
        <v>89301273</v>
      </c>
      <c r="D133" s="543" t="s">
        <v>1085</v>
      </c>
      <c r="E133" s="544" t="s">
        <v>519</v>
      </c>
      <c r="F133" s="542" t="s">
        <v>510</v>
      </c>
      <c r="G133" s="542" t="s">
        <v>875</v>
      </c>
      <c r="H133" s="542" t="s">
        <v>455</v>
      </c>
      <c r="I133" s="542" t="s">
        <v>876</v>
      </c>
      <c r="J133" s="542" t="s">
        <v>877</v>
      </c>
      <c r="K133" s="542" t="s">
        <v>878</v>
      </c>
      <c r="L133" s="545">
        <v>0</v>
      </c>
      <c r="M133" s="545">
        <v>0</v>
      </c>
      <c r="N133" s="542">
        <v>1</v>
      </c>
      <c r="O133" s="546">
        <v>0.5</v>
      </c>
      <c r="P133" s="545"/>
      <c r="Q133" s="547"/>
      <c r="R133" s="542"/>
      <c r="S133" s="547">
        <v>0</v>
      </c>
      <c r="T133" s="546"/>
      <c r="U133" s="548">
        <v>0</v>
      </c>
    </row>
    <row r="134" spans="1:21" ht="14.4" customHeight="1" x14ac:dyDescent="0.3">
      <c r="A134" s="541">
        <v>27</v>
      </c>
      <c r="B134" s="542" t="s">
        <v>500</v>
      </c>
      <c r="C134" s="542">
        <v>89301273</v>
      </c>
      <c r="D134" s="543" t="s">
        <v>1085</v>
      </c>
      <c r="E134" s="544" t="s">
        <v>519</v>
      </c>
      <c r="F134" s="542" t="s">
        <v>510</v>
      </c>
      <c r="G134" s="542" t="s">
        <v>571</v>
      </c>
      <c r="H134" s="542" t="s">
        <v>455</v>
      </c>
      <c r="I134" s="542" t="s">
        <v>879</v>
      </c>
      <c r="J134" s="542" t="s">
        <v>880</v>
      </c>
      <c r="K134" s="542" t="s">
        <v>851</v>
      </c>
      <c r="L134" s="545">
        <v>77.08</v>
      </c>
      <c r="M134" s="545">
        <v>3468.599999999999</v>
      </c>
      <c r="N134" s="542">
        <v>45</v>
      </c>
      <c r="O134" s="546">
        <v>19.5</v>
      </c>
      <c r="P134" s="545">
        <v>462.47999999999996</v>
      </c>
      <c r="Q134" s="547">
        <v>0.13333333333333336</v>
      </c>
      <c r="R134" s="542">
        <v>6</v>
      </c>
      <c r="S134" s="547">
        <v>0.13333333333333333</v>
      </c>
      <c r="T134" s="546">
        <v>4.5</v>
      </c>
      <c r="U134" s="548">
        <v>0.23076923076923078</v>
      </c>
    </row>
    <row r="135" spans="1:21" ht="14.4" customHeight="1" x14ac:dyDescent="0.3">
      <c r="A135" s="541">
        <v>27</v>
      </c>
      <c r="B135" s="542" t="s">
        <v>500</v>
      </c>
      <c r="C135" s="542">
        <v>89301273</v>
      </c>
      <c r="D135" s="543" t="s">
        <v>1085</v>
      </c>
      <c r="E135" s="544" t="s">
        <v>519</v>
      </c>
      <c r="F135" s="542" t="s">
        <v>510</v>
      </c>
      <c r="G135" s="542" t="s">
        <v>652</v>
      </c>
      <c r="H135" s="542" t="s">
        <v>455</v>
      </c>
      <c r="I135" s="542" t="s">
        <v>653</v>
      </c>
      <c r="J135" s="542" t="s">
        <v>654</v>
      </c>
      <c r="K135" s="542" t="s">
        <v>655</v>
      </c>
      <c r="L135" s="545">
        <v>116.8</v>
      </c>
      <c r="M135" s="545">
        <v>350.4</v>
      </c>
      <c r="N135" s="542">
        <v>3</v>
      </c>
      <c r="O135" s="546">
        <v>2.5</v>
      </c>
      <c r="P135" s="545"/>
      <c r="Q135" s="547">
        <v>0</v>
      </c>
      <c r="R135" s="542"/>
      <c r="S135" s="547">
        <v>0</v>
      </c>
      <c r="T135" s="546"/>
      <c r="U135" s="548">
        <v>0</v>
      </c>
    </row>
    <row r="136" spans="1:21" ht="14.4" customHeight="1" x14ac:dyDescent="0.3">
      <c r="A136" s="541">
        <v>27</v>
      </c>
      <c r="B136" s="542" t="s">
        <v>500</v>
      </c>
      <c r="C136" s="542">
        <v>89301273</v>
      </c>
      <c r="D136" s="543" t="s">
        <v>1085</v>
      </c>
      <c r="E136" s="544" t="s">
        <v>519</v>
      </c>
      <c r="F136" s="542" t="s">
        <v>510</v>
      </c>
      <c r="G136" s="542" t="s">
        <v>652</v>
      </c>
      <c r="H136" s="542" t="s">
        <v>495</v>
      </c>
      <c r="I136" s="542" t="s">
        <v>881</v>
      </c>
      <c r="J136" s="542" t="s">
        <v>882</v>
      </c>
      <c r="K136" s="542" t="s">
        <v>883</v>
      </c>
      <c r="L136" s="545">
        <v>175.19</v>
      </c>
      <c r="M136" s="545">
        <v>175.19</v>
      </c>
      <c r="N136" s="542">
        <v>1</v>
      </c>
      <c r="O136" s="546">
        <v>0.5</v>
      </c>
      <c r="P136" s="545"/>
      <c r="Q136" s="547">
        <v>0</v>
      </c>
      <c r="R136" s="542"/>
      <c r="S136" s="547">
        <v>0</v>
      </c>
      <c r="T136" s="546"/>
      <c r="U136" s="548">
        <v>0</v>
      </c>
    </row>
    <row r="137" spans="1:21" ht="14.4" customHeight="1" x14ac:dyDescent="0.3">
      <c r="A137" s="541">
        <v>27</v>
      </c>
      <c r="B137" s="542" t="s">
        <v>500</v>
      </c>
      <c r="C137" s="542">
        <v>89301273</v>
      </c>
      <c r="D137" s="543" t="s">
        <v>1085</v>
      </c>
      <c r="E137" s="544" t="s">
        <v>519</v>
      </c>
      <c r="F137" s="542" t="s">
        <v>510</v>
      </c>
      <c r="G137" s="542" t="s">
        <v>652</v>
      </c>
      <c r="H137" s="542" t="s">
        <v>495</v>
      </c>
      <c r="I137" s="542" t="s">
        <v>656</v>
      </c>
      <c r="J137" s="542" t="s">
        <v>657</v>
      </c>
      <c r="K137" s="542" t="s">
        <v>655</v>
      </c>
      <c r="L137" s="545">
        <v>116.8</v>
      </c>
      <c r="M137" s="545">
        <v>934.4</v>
      </c>
      <c r="N137" s="542">
        <v>8</v>
      </c>
      <c r="O137" s="546">
        <v>3</v>
      </c>
      <c r="P137" s="545">
        <v>584</v>
      </c>
      <c r="Q137" s="547">
        <v>0.625</v>
      </c>
      <c r="R137" s="542">
        <v>5</v>
      </c>
      <c r="S137" s="547">
        <v>0.625</v>
      </c>
      <c r="T137" s="546">
        <v>2</v>
      </c>
      <c r="U137" s="548">
        <v>0.66666666666666663</v>
      </c>
    </row>
    <row r="138" spans="1:21" ht="14.4" customHeight="1" x14ac:dyDescent="0.3">
      <c r="A138" s="541">
        <v>27</v>
      </c>
      <c r="B138" s="542" t="s">
        <v>500</v>
      </c>
      <c r="C138" s="542">
        <v>89301273</v>
      </c>
      <c r="D138" s="543" t="s">
        <v>1085</v>
      </c>
      <c r="E138" s="544" t="s">
        <v>519</v>
      </c>
      <c r="F138" s="542" t="s">
        <v>510</v>
      </c>
      <c r="G138" s="542" t="s">
        <v>652</v>
      </c>
      <c r="H138" s="542" t="s">
        <v>455</v>
      </c>
      <c r="I138" s="542" t="s">
        <v>884</v>
      </c>
      <c r="J138" s="542" t="s">
        <v>654</v>
      </c>
      <c r="K138" s="542" t="s">
        <v>655</v>
      </c>
      <c r="L138" s="545">
        <v>0</v>
      </c>
      <c r="M138" s="545">
        <v>0</v>
      </c>
      <c r="N138" s="542">
        <v>2</v>
      </c>
      <c r="O138" s="546">
        <v>0.5</v>
      </c>
      <c r="P138" s="545"/>
      <c r="Q138" s="547"/>
      <c r="R138" s="542"/>
      <c r="S138" s="547">
        <v>0</v>
      </c>
      <c r="T138" s="546"/>
      <c r="U138" s="548">
        <v>0</v>
      </c>
    </row>
    <row r="139" spans="1:21" ht="14.4" customHeight="1" x14ac:dyDescent="0.3">
      <c r="A139" s="541">
        <v>27</v>
      </c>
      <c r="B139" s="542" t="s">
        <v>500</v>
      </c>
      <c r="C139" s="542">
        <v>89301273</v>
      </c>
      <c r="D139" s="543" t="s">
        <v>1085</v>
      </c>
      <c r="E139" s="544" t="s">
        <v>519</v>
      </c>
      <c r="F139" s="542" t="s">
        <v>510</v>
      </c>
      <c r="G139" s="542" t="s">
        <v>626</v>
      </c>
      <c r="H139" s="542" t="s">
        <v>455</v>
      </c>
      <c r="I139" s="542" t="s">
        <v>885</v>
      </c>
      <c r="J139" s="542" t="s">
        <v>886</v>
      </c>
      <c r="K139" s="542" t="s">
        <v>887</v>
      </c>
      <c r="L139" s="545">
        <v>0</v>
      </c>
      <c r="M139" s="545">
        <v>0</v>
      </c>
      <c r="N139" s="542">
        <v>4</v>
      </c>
      <c r="O139" s="546">
        <v>1</v>
      </c>
      <c r="P139" s="545">
        <v>0</v>
      </c>
      <c r="Q139" s="547"/>
      <c r="R139" s="542">
        <v>4</v>
      </c>
      <c r="S139" s="547">
        <v>1</v>
      </c>
      <c r="T139" s="546">
        <v>1</v>
      </c>
      <c r="U139" s="548">
        <v>1</v>
      </c>
    </row>
    <row r="140" spans="1:21" ht="14.4" customHeight="1" x14ac:dyDescent="0.3">
      <c r="A140" s="541">
        <v>27</v>
      </c>
      <c r="B140" s="542" t="s">
        <v>500</v>
      </c>
      <c r="C140" s="542">
        <v>89301273</v>
      </c>
      <c r="D140" s="543" t="s">
        <v>1085</v>
      </c>
      <c r="E140" s="544" t="s">
        <v>519</v>
      </c>
      <c r="F140" s="542" t="s">
        <v>510</v>
      </c>
      <c r="G140" s="542" t="s">
        <v>626</v>
      </c>
      <c r="H140" s="542" t="s">
        <v>455</v>
      </c>
      <c r="I140" s="542" t="s">
        <v>888</v>
      </c>
      <c r="J140" s="542" t="s">
        <v>886</v>
      </c>
      <c r="K140" s="542" t="s">
        <v>889</v>
      </c>
      <c r="L140" s="545">
        <v>0</v>
      </c>
      <c r="M140" s="545">
        <v>0</v>
      </c>
      <c r="N140" s="542">
        <v>2</v>
      </c>
      <c r="O140" s="546">
        <v>1</v>
      </c>
      <c r="P140" s="545"/>
      <c r="Q140" s="547"/>
      <c r="R140" s="542"/>
      <c r="S140" s="547">
        <v>0</v>
      </c>
      <c r="T140" s="546"/>
      <c r="U140" s="548">
        <v>0</v>
      </c>
    </row>
    <row r="141" spans="1:21" ht="14.4" customHeight="1" x14ac:dyDescent="0.3">
      <c r="A141" s="541">
        <v>27</v>
      </c>
      <c r="B141" s="542" t="s">
        <v>500</v>
      </c>
      <c r="C141" s="542">
        <v>89301273</v>
      </c>
      <c r="D141" s="543" t="s">
        <v>1085</v>
      </c>
      <c r="E141" s="544" t="s">
        <v>519</v>
      </c>
      <c r="F141" s="542" t="s">
        <v>510</v>
      </c>
      <c r="G141" s="542" t="s">
        <v>658</v>
      </c>
      <c r="H141" s="542" t="s">
        <v>455</v>
      </c>
      <c r="I141" s="542" t="s">
        <v>659</v>
      </c>
      <c r="J141" s="542" t="s">
        <v>660</v>
      </c>
      <c r="K141" s="542" t="s">
        <v>661</v>
      </c>
      <c r="L141" s="545">
        <v>72.05</v>
      </c>
      <c r="M141" s="545">
        <v>288.2</v>
      </c>
      <c r="N141" s="542">
        <v>4</v>
      </c>
      <c r="O141" s="546">
        <v>1</v>
      </c>
      <c r="P141" s="545"/>
      <c r="Q141" s="547">
        <v>0</v>
      </c>
      <c r="R141" s="542"/>
      <c r="S141" s="547">
        <v>0</v>
      </c>
      <c r="T141" s="546"/>
      <c r="U141" s="548">
        <v>0</v>
      </c>
    </row>
    <row r="142" spans="1:21" ht="14.4" customHeight="1" x14ac:dyDescent="0.3">
      <c r="A142" s="541">
        <v>27</v>
      </c>
      <c r="B142" s="542" t="s">
        <v>500</v>
      </c>
      <c r="C142" s="542">
        <v>89301273</v>
      </c>
      <c r="D142" s="543" t="s">
        <v>1085</v>
      </c>
      <c r="E142" s="544" t="s">
        <v>519</v>
      </c>
      <c r="F142" s="542" t="s">
        <v>510</v>
      </c>
      <c r="G142" s="542" t="s">
        <v>658</v>
      </c>
      <c r="H142" s="542" t="s">
        <v>455</v>
      </c>
      <c r="I142" s="542" t="s">
        <v>659</v>
      </c>
      <c r="J142" s="542" t="s">
        <v>660</v>
      </c>
      <c r="K142" s="542" t="s">
        <v>661</v>
      </c>
      <c r="L142" s="545">
        <v>77.36</v>
      </c>
      <c r="M142" s="545">
        <v>309.44</v>
      </c>
      <c r="N142" s="542">
        <v>4</v>
      </c>
      <c r="O142" s="546">
        <v>1.5</v>
      </c>
      <c r="P142" s="545"/>
      <c r="Q142" s="547">
        <v>0</v>
      </c>
      <c r="R142" s="542"/>
      <c r="S142" s="547">
        <v>0</v>
      </c>
      <c r="T142" s="546"/>
      <c r="U142" s="548">
        <v>0</v>
      </c>
    </row>
    <row r="143" spans="1:21" ht="14.4" customHeight="1" x14ac:dyDescent="0.3">
      <c r="A143" s="541">
        <v>27</v>
      </c>
      <c r="B143" s="542" t="s">
        <v>500</v>
      </c>
      <c r="C143" s="542">
        <v>89301273</v>
      </c>
      <c r="D143" s="543" t="s">
        <v>1085</v>
      </c>
      <c r="E143" s="544" t="s">
        <v>519</v>
      </c>
      <c r="F143" s="542" t="s">
        <v>510</v>
      </c>
      <c r="G143" s="542" t="s">
        <v>658</v>
      </c>
      <c r="H143" s="542" t="s">
        <v>455</v>
      </c>
      <c r="I143" s="542" t="s">
        <v>890</v>
      </c>
      <c r="J143" s="542" t="s">
        <v>660</v>
      </c>
      <c r="K143" s="542" t="s">
        <v>661</v>
      </c>
      <c r="L143" s="545">
        <v>0</v>
      </c>
      <c r="M143" s="545">
        <v>0</v>
      </c>
      <c r="N143" s="542">
        <v>1</v>
      </c>
      <c r="O143" s="546">
        <v>0.5</v>
      </c>
      <c r="P143" s="545"/>
      <c r="Q143" s="547"/>
      <c r="R143" s="542"/>
      <c r="S143" s="547">
        <v>0</v>
      </c>
      <c r="T143" s="546"/>
      <c r="U143" s="548">
        <v>0</v>
      </c>
    </row>
    <row r="144" spans="1:21" ht="14.4" customHeight="1" x14ac:dyDescent="0.3">
      <c r="A144" s="541">
        <v>27</v>
      </c>
      <c r="B144" s="542" t="s">
        <v>500</v>
      </c>
      <c r="C144" s="542">
        <v>89301273</v>
      </c>
      <c r="D144" s="543" t="s">
        <v>1085</v>
      </c>
      <c r="E144" s="544" t="s">
        <v>519</v>
      </c>
      <c r="F144" s="542" t="s">
        <v>510</v>
      </c>
      <c r="G144" s="542" t="s">
        <v>891</v>
      </c>
      <c r="H144" s="542" t="s">
        <v>455</v>
      </c>
      <c r="I144" s="542" t="s">
        <v>892</v>
      </c>
      <c r="J144" s="542" t="s">
        <v>893</v>
      </c>
      <c r="K144" s="542" t="s">
        <v>894</v>
      </c>
      <c r="L144" s="545">
        <v>132.34</v>
      </c>
      <c r="M144" s="545">
        <v>397.02</v>
      </c>
      <c r="N144" s="542">
        <v>3</v>
      </c>
      <c r="O144" s="546">
        <v>2</v>
      </c>
      <c r="P144" s="545">
        <v>132.34</v>
      </c>
      <c r="Q144" s="547">
        <v>0.33333333333333337</v>
      </c>
      <c r="R144" s="542">
        <v>1</v>
      </c>
      <c r="S144" s="547">
        <v>0.33333333333333331</v>
      </c>
      <c r="T144" s="546">
        <v>0.5</v>
      </c>
      <c r="U144" s="548">
        <v>0.25</v>
      </c>
    </row>
    <row r="145" spans="1:21" ht="14.4" customHeight="1" x14ac:dyDescent="0.3">
      <c r="A145" s="541">
        <v>27</v>
      </c>
      <c r="B145" s="542" t="s">
        <v>500</v>
      </c>
      <c r="C145" s="542">
        <v>89301273</v>
      </c>
      <c r="D145" s="543" t="s">
        <v>1085</v>
      </c>
      <c r="E145" s="544" t="s">
        <v>519</v>
      </c>
      <c r="F145" s="542" t="s">
        <v>510</v>
      </c>
      <c r="G145" s="542" t="s">
        <v>895</v>
      </c>
      <c r="H145" s="542" t="s">
        <v>455</v>
      </c>
      <c r="I145" s="542" t="s">
        <v>896</v>
      </c>
      <c r="J145" s="542" t="s">
        <v>897</v>
      </c>
      <c r="K145" s="542" t="s">
        <v>898</v>
      </c>
      <c r="L145" s="545">
        <v>41.83</v>
      </c>
      <c r="M145" s="545">
        <v>41.83</v>
      </c>
      <c r="N145" s="542">
        <v>1</v>
      </c>
      <c r="O145" s="546">
        <v>1</v>
      </c>
      <c r="P145" s="545"/>
      <c r="Q145" s="547">
        <v>0</v>
      </c>
      <c r="R145" s="542"/>
      <c r="S145" s="547">
        <v>0</v>
      </c>
      <c r="T145" s="546"/>
      <c r="U145" s="548">
        <v>0</v>
      </c>
    </row>
    <row r="146" spans="1:21" ht="14.4" customHeight="1" x14ac:dyDescent="0.3">
      <c r="A146" s="541">
        <v>27</v>
      </c>
      <c r="B146" s="542" t="s">
        <v>500</v>
      </c>
      <c r="C146" s="542">
        <v>89301273</v>
      </c>
      <c r="D146" s="543" t="s">
        <v>1085</v>
      </c>
      <c r="E146" s="544" t="s">
        <v>519</v>
      </c>
      <c r="F146" s="542" t="s">
        <v>510</v>
      </c>
      <c r="G146" s="542" t="s">
        <v>899</v>
      </c>
      <c r="H146" s="542" t="s">
        <v>455</v>
      </c>
      <c r="I146" s="542" t="s">
        <v>900</v>
      </c>
      <c r="J146" s="542" t="s">
        <v>901</v>
      </c>
      <c r="K146" s="542" t="s">
        <v>698</v>
      </c>
      <c r="L146" s="545">
        <v>0</v>
      </c>
      <c r="M146" s="545">
        <v>0</v>
      </c>
      <c r="N146" s="542">
        <v>1</v>
      </c>
      <c r="O146" s="546">
        <v>0.5</v>
      </c>
      <c r="P146" s="545"/>
      <c r="Q146" s="547"/>
      <c r="R146" s="542"/>
      <c r="S146" s="547">
        <v>0</v>
      </c>
      <c r="T146" s="546"/>
      <c r="U146" s="548">
        <v>0</v>
      </c>
    </row>
    <row r="147" spans="1:21" ht="14.4" customHeight="1" x14ac:dyDescent="0.3">
      <c r="A147" s="541">
        <v>27</v>
      </c>
      <c r="B147" s="542" t="s">
        <v>500</v>
      </c>
      <c r="C147" s="542">
        <v>89301273</v>
      </c>
      <c r="D147" s="543" t="s">
        <v>1085</v>
      </c>
      <c r="E147" s="544" t="s">
        <v>519</v>
      </c>
      <c r="F147" s="542" t="s">
        <v>510</v>
      </c>
      <c r="G147" s="542" t="s">
        <v>902</v>
      </c>
      <c r="H147" s="542" t="s">
        <v>495</v>
      </c>
      <c r="I147" s="542" t="s">
        <v>903</v>
      </c>
      <c r="J147" s="542" t="s">
        <v>904</v>
      </c>
      <c r="K147" s="542" t="s">
        <v>905</v>
      </c>
      <c r="L147" s="545">
        <v>195.92</v>
      </c>
      <c r="M147" s="545">
        <v>1175.52</v>
      </c>
      <c r="N147" s="542">
        <v>6</v>
      </c>
      <c r="O147" s="546">
        <v>2.5</v>
      </c>
      <c r="P147" s="545"/>
      <c r="Q147" s="547">
        <v>0</v>
      </c>
      <c r="R147" s="542"/>
      <c r="S147" s="547">
        <v>0</v>
      </c>
      <c r="T147" s="546"/>
      <c r="U147" s="548">
        <v>0</v>
      </c>
    </row>
    <row r="148" spans="1:21" ht="14.4" customHeight="1" x14ac:dyDescent="0.3">
      <c r="A148" s="541">
        <v>27</v>
      </c>
      <c r="B148" s="542" t="s">
        <v>500</v>
      </c>
      <c r="C148" s="542">
        <v>89301273</v>
      </c>
      <c r="D148" s="543" t="s">
        <v>1085</v>
      </c>
      <c r="E148" s="544" t="s">
        <v>519</v>
      </c>
      <c r="F148" s="542" t="s">
        <v>510</v>
      </c>
      <c r="G148" s="542" t="s">
        <v>906</v>
      </c>
      <c r="H148" s="542" t="s">
        <v>455</v>
      </c>
      <c r="I148" s="542" t="s">
        <v>907</v>
      </c>
      <c r="J148" s="542" t="s">
        <v>908</v>
      </c>
      <c r="K148" s="542" t="s">
        <v>909</v>
      </c>
      <c r="L148" s="545">
        <v>356.47</v>
      </c>
      <c r="M148" s="545">
        <v>356.47</v>
      </c>
      <c r="N148" s="542">
        <v>1</v>
      </c>
      <c r="O148" s="546">
        <v>0.5</v>
      </c>
      <c r="P148" s="545"/>
      <c r="Q148" s="547">
        <v>0</v>
      </c>
      <c r="R148" s="542"/>
      <c r="S148" s="547">
        <v>0</v>
      </c>
      <c r="T148" s="546"/>
      <c r="U148" s="548">
        <v>0</v>
      </c>
    </row>
    <row r="149" spans="1:21" ht="14.4" customHeight="1" x14ac:dyDescent="0.3">
      <c r="A149" s="541">
        <v>27</v>
      </c>
      <c r="B149" s="542" t="s">
        <v>500</v>
      </c>
      <c r="C149" s="542">
        <v>89301273</v>
      </c>
      <c r="D149" s="543" t="s">
        <v>1085</v>
      </c>
      <c r="E149" s="544" t="s">
        <v>519</v>
      </c>
      <c r="F149" s="542" t="s">
        <v>510</v>
      </c>
      <c r="G149" s="542" t="s">
        <v>575</v>
      </c>
      <c r="H149" s="542" t="s">
        <v>495</v>
      </c>
      <c r="I149" s="542" t="s">
        <v>910</v>
      </c>
      <c r="J149" s="542" t="s">
        <v>911</v>
      </c>
      <c r="K149" s="542" t="s">
        <v>912</v>
      </c>
      <c r="L149" s="545">
        <v>65.069999999999993</v>
      </c>
      <c r="M149" s="545">
        <v>65.069999999999993</v>
      </c>
      <c r="N149" s="542">
        <v>1</v>
      </c>
      <c r="O149" s="546">
        <v>1</v>
      </c>
      <c r="P149" s="545"/>
      <c r="Q149" s="547">
        <v>0</v>
      </c>
      <c r="R149" s="542"/>
      <c r="S149" s="547">
        <v>0</v>
      </c>
      <c r="T149" s="546"/>
      <c r="U149" s="548">
        <v>0</v>
      </c>
    </row>
    <row r="150" spans="1:21" ht="14.4" customHeight="1" x14ac:dyDescent="0.3">
      <c r="A150" s="541">
        <v>27</v>
      </c>
      <c r="B150" s="542" t="s">
        <v>500</v>
      </c>
      <c r="C150" s="542">
        <v>89301273</v>
      </c>
      <c r="D150" s="543" t="s">
        <v>1085</v>
      </c>
      <c r="E150" s="544" t="s">
        <v>519</v>
      </c>
      <c r="F150" s="542" t="s">
        <v>510</v>
      </c>
      <c r="G150" s="542" t="s">
        <v>575</v>
      </c>
      <c r="H150" s="542" t="s">
        <v>495</v>
      </c>
      <c r="I150" s="542" t="s">
        <v>576</v>
      </c>
      <c r="J150" s="542" t="s">
        <v>577</v>
      </c>
      <c r="K150" s="542" t="s">
        <v>578</v>
      </c>
      <c r="L150" s="545">
        <v>50.57</v>
      </c>
      <c r="M150" s="545">
        <v>50.57</v>
      </c>
      <c r="N150" s="542">
        <v>1</v>
      </c>
      <c r="O150" s="546">
        <v>1</v>
      </c>
      <c r="P150" s="545">
        <v>50.57</v>
      </c>
      <c r="Q150" s="547">
        <v>1</v>
      </c>
      <c r="R150" s="542">
        <v>1</v>
      </c>
      <c r="S150" s="547">
        <v>1</v>
      </c>
      <c r="T150" s="546">
        <v>1</v>
      </c>
      <c r="U150" s="548">
        <v>1</v>
      </c>
    </row>
    <row r="151" spans="1:21" ht="14.4" customHeight="1" x14ac:dyDescent="0.3">
      <c r="A151" s="541">
        <v>27</v>
      </c>
      <c r="B151" s="542" t="s">
        <v>500</v>
      </c>
      <c r="C151" s="542">
        <v>89301273</v>
      </c>
      <c r="D151" s="543" t="s">
        <v>1085</v>
      </c>
      <c r="E151" s="544" t="s">
        <v>519</v>
      </c>
      <c r="F151" s="542" t="s">
        <v>510</v>
      </c>
      <c r="G151" s="542" t="s">
        <v>678</v>
      </c>
      <c r="H151" s="542" t="s">
        <v>455</v>
      </c>
      <c r="I151" s="542" t="s">
        <v>913</v>
      </c>
      <c r="J151" s="542" t="s">
        <v>680</v>
      </c>
      <c r="K151" s="542" t="s">
        <v>914</v>
      </c>
      <c r="L151" s="545">
        <v>0</v>
      </c>
      <c r="M151" s="545">
        <v>0</v>
      </c>
      <c r="N151" s="542">
        <v>1</v>
      </c>
      <c r="O151" s="546">
        <v>0.5</v>
      </c>
      <c r="P151" s="545"/>
      <c r="Q151" s="547"/>
      <c r="R151" s="542"/>
      <c r="S151" s="547">
        <v>0</v>
      </c>
      <c r="T151" s="546"/>
      <c r="U151" s="548">
        <v>0</v>
      </c>
    </row>
    <row r="152" spans="1:21" ht="14.4" customHeight="1" x14ac:dyDescent="0.3">
      <c r="A152" s="541">
        <v>27</v>
      </c>
      <c r="B152" s="542" t="s">
        <v>500</v>
      </c>
      <c r="C152" s="542">
        <v>89301273</v>
      </c>
      <c r="D152" s="543" t="s">
        <v>1085</v>
      </c>
      <c r="E152" s="544" t="s">
        <v>519</v>
      </c>
      <c r="F152" s="542" t="s">
        <v>510</v>
      </c>
      <c r="G152" s="542" t="s">
        <v>678</v>
      </c>
      <c r="H152" s="542" t="s">
        <v>455</v>
      </c>
      <c r="I152" s="542" t="s">
        <v>915</v>
      </c>
      <c r="J152" s="542" t="s">
        <v>916</v>
      </c>
      <c r="K152" s="542" t="s">
        <v>917</v>
      </c>
      <c r="L152" s="545">
        <v>134.12</v>
      </c>
      <c r="M152" s="545">
        <v>402.36</v>
      </c>
      <c r="N152" s="542">
        <v>3</v>
      </c>
      <c r="O152" s="546">
        <v>2</v>
      </c>
      <c r="P152" s="545"/>
      <c r="Q152" s="547">
        <v>0</v>
      </c>
      <c r="R152" s="542"/>
      <c r="S152" s="547">
        <v>0</v>
      </c>
      <c r="T152" s="546"/>
      <c r="U152" s="548">
        <v>0</v>
      </c>
    </row>
    <row r="153" spans="1:21" ht="14.4" customHeight="1" x14ac:dyDescent="0.3">
      <c r="A153" s="541">
        <v>27</v>
      </c>
      <c r="B153" s="542" t="s">
        <v>500</v>
      </c>
      <c r="C153" s="542">
        <v>89301273</v>
      </c>
      <c r="D153" s="543" t="s">
        <v>1085</v>
      </c>
      <c r="E153" s="544" t="s">
        <v>519</v>
      </c>
      <c r="F153" s="542" t="s">
        <v>510</v>
      </c>
      <c r="G153" s="542" t="s">
        <v>678</v>
      </c>
      <c r="H153" s="542" t="s">
        <v>455</v>
      </c>
      <c r="I153" s="542" t="s">
        <v>918</v>
      </c>
      <c r="J153" s="542" t="s">
        <v>680</v>
      </c>
      <c r="K153" s="542" t="s">
        <v>919</v>
      </c>
      <c r="L153" s="545">
        <v>0</v>
      </c>
      <c r="M153" s="545">
        <v>0</v>
      </c>
      <c r="N153" s="542">
        <v>2</v>
      </c>
      <c r="O153" s="546">
        <v>1</v>
      </c>
      <c r="P153" s="545"/>
      <c r="Q153" s="547"/>
      <c r="R153" s="542"/>
      <c r="S153" s="547">
        <v>0</v>
      </c>
      <c r="T153" s="546"/>
      <c r="U153" s="548">
        <v>0</v>
      </c>
    </row>
    <row r="154" spans="1:21" ht="14.4" customHeight="1" x14ac:dyDescent="0.3">
      <c r="A154" s="541">
        <v>27</v>
      </c>
      <c r="B154" s="542" t="s">
        <v>500</v>
      </c>
      <c r="C154" s="542">
        <v>89301273</v>
      </c>
      <c r="D154" s="543" t="s">
        <v>1085</v>
      </c>
      <c r="E154" s="544" t="s">
        <v>519</v>
      </c>
      <c r="F154" s="542" t="s">
        <v>510</v>
      </c>
      <c r="G154" s="542" t="s">
        <v>685</v>
      </c>
      <c r="H154" s="542" t="s">
        <v>455</v>
      </c>
      <c r="I154" s="542" t="s">
        <v>686</v>
      </c>
      <c r="J154" s="542" t="s">
        <v>687</v>
      </c>
      <c r="K154" s="542" t="s">
        <v>688</v>
      </c>
      <c r="L154" s="545">
        <v>64.13</v>
      </c>
      <c r="M154" s="545">
        <v>1474.99</v>
      </c>
      <c r="N154" s="542">
        <v>23</v>
      </c>
      <c r="O154" s="546">
        <v>9</v>
      </c>
      <c r="P154" s="545">
        <v>256.52</v>
      </c>
      <c r="Q154" s="547">
        <v>0.17391304347826086</v>
      </c>
      <c r="R154" s="542">
        <v>4</v>
      </c>
      <c r="S154" s="547">
        <v>0.17391304347826086</v>
      </c>
      <c r="T154" s="546">
        <v>2.5</v>
      </c>
      <c r="U154" s="548">
        <v>0.27777777777777779</v>
      </c>
    </row>
    <row r="155" spans="1:21" ht="14.4" customHeight="1" x14ac:dyDescent="0.3">
      <c r="A155" s="541">
        <v>27</v>
      </c>
      <c r="B155" s="542" t="s">
        <v>500</v>
      </c>
      <c r="C155" s="542">
        <v>89301273</v>
      </c>
      <c r="D155" s="543" t="s">
        <v>1085</v>
      </c>
      <c r="E155" s="544" t="s">
        <v>519</v>
      </c>
      <c r="F155" s="542" t="s">
        <v>510</v>
      </c>
      <c r="G155" s="542" t="s">
        <v>920</v>
      </c>
      <c r="H155" s="542" t="s">
        <v>455</v>
      </c>
      <c r="I155" s="542" t="s">
        <v>921</v>
      </c>
      <c r="J155" s="542" t="s">
        <v>922</v>
      </c>
      <c r="K155" s="542" t="s">
        <v>923</v>
      </c>
      <c r="L155" s="545">
        <v>120.37</v>
      </c>
      <c r="M155" s="545">
        <v>120.37</v>
      </c>
      <c r="N155" s="542">
        <v>1</v>
      </c>
      <c r="O155" s="546">
        <v>1</v>
      </c>
      <c r="P155" s="545"/>
      <c r="Q155" s="547">
        <v>0</v>
      </c>
      <c r="R155" s="542"/>
      <c r="S155" s="547">
        <v>0</v>
      </c>
      <c r="T155" s="546"/>
      <c r="U155" s="548">
        <v>0</v>
      </c>
    </row>
    <row r="156" spans="1:21" ht="14.4" customHeight="1" x14ac:dyDescent="0.3">
      <c r="A156" s="541">
        <v>27</v>
      </c>
      <c r="B156" s="542" t="s">
        <v>500</v>
      </c>
      <c r="C156" s="542">
        <v>89301273</v>
      </c>
      <c r="D156" s="543" t="s">
        <v>1085</v>
      </c>
      <c r="E156" s="544" t="s">
        <v>519</v>
      </c>
      <c r="F156" s="542" t="s">
        <v>510</v>
      </c>
      <c r="G156" s="542" t="s">
        <v>693</v>
      </c>
      <c r="H156" s="542" t="s">
        <v>455</v>
      </c>
      <c r="I156" s="542" t="s">
        <v>694</v>
      </c>
      <c r="J156" s="542" t="s">
        <v>695</v>
      </c>
      <c r="K156" s="542" t="s">
        <v>696</v>
      </c>
      <c r="L156" s="545">
        <v>0</v>
      </c>
      <c r="M156" s="545">
        <v>0</v>
      </c>
      <c r="N156" s="542">
        <v>5</v>
      </c>
      <c r="O156" s="546">
        <v>2.5</v>
      </c>
      <c r="P156" s="545">
        <v>0</v>
      </c>
      <c r="Q156" s="547"/>
      <c r="R156" s="542">
        <v>1</v>
      </c>
      <c r="S156" s="547">
        <v>0.2</v>
      </c>
      <c r="T156" s="546">
        <v>1</v>
      </c>
      <c r="U156" s="548">
        <v>0.4</v>
      </c>
    </row>
    <row r="157" spans="1:21" ht="14.4" customHeight="1" x14ac:dyDescent="0.3">
      <c r="A157" s="541">
        <v>27</v>
      </c>
      <c r="B157" s="542" t="s">
        <v>500</v>
      </c>
      <c r="C157" s="542">
        <v>89301273</v>
      </c>
      <c r="D157" s="543" t="s">
        <v>1085</v>
      </c>
      <c r="E157" s="544" t="s">
        <v>519</v>
      </c>
      <c r="F157" s="542" t="s">
        <v>510</v>
      </c>
      <c r="G157" s="542" t="s">
        <v>693</v>
      </c>
      <c r="H157" s="542" t="s">
        <v>455</v>
      </c>
      <c r="I157" s="542" t="s">
        <v>924</v>
      </c>
      <c r="J157" s="542" t="s">
        <v>695</v>
      </c>
      <c r="K157" s="542" t="s">
        <v>696</v>
      </c>
      <c r="L157" s="545">
        <v>0</v>
      </c>
      <c r="M157" s="545">
        <v>0</v>
      </c>
      <c r="N157" s="542">
        <v>3</v>
      </c>
      <c r="O157" s="546">
        <v>1.5</v>
      </c>
      <c r="P157" s="545">
        <v>0</v>
      </c>
      <c r="Q157" s="547"/>
      <c r="R157" s="542">
        <v>1</v>
      </c>
      <c r="S157" s="547">
        <v>0.33333333333333331</v>
      </c>
      <c r="T157" s="546">
        <v>0.5</v>
      </c>
      <c r="U157" s="548">
        <v>0.33333333333333331</v>
      </c>
    </row>
    <row r="158" spans="1:21" ht="14.4" customHeight="1" x14ac:dyDescent="0.3">
      <c r="A158" s="541">
        <v>27</v>
      </c>
      <c r="B158" s="542" t="s">
        <v>500</v>
      </c>
      <c r="C158" s="542">
        <v>89301273</v>
      </c>
      <c r="D158" s="543" t="s">
        <v>1085</v>
      </c>
      <c r="E158" s="544" t="s">
        <v>519</v>
      </c>
      <c r="F158" s="542" t="s">
        <v>510</v>
      </c>
      <c r="G158" s="542" t="s">
        <v>630</v>
      </c>
      <c r="H158" s="542" t="s">
        <v>495</v>
      </c>
      <c r="I158" s="542" t="s">
        <v>697</v>
      </c>
      <c r="J158" s="542" t="s">
        <v>632</v>
      </c>
      <c r="K158" s="542" t="s">
        <v>698</v>
      </c>
      <c r="L158" s="545">
        <v>96.63</v>
      </c>
      <c r="M158" s="545">
        <v>483.15</v>
      </c>
      <c r="N158" s="542">
        <v>5</v>
      </c>
      <c r="O158" s="546">
        <v>2</v>
      </c>
      <c r="P158" s="545">
        <v>483.15</v>
      </c>
      <c r="Q158" s="547">
        <v>1</v>
      </c>
      <c r="R158" s="542">
        <v>5</v>
      </c>
      <c r="S158" s="547">
        <v>1</v>
      </c>
      <c r="T158" s="546">
        <v>2</v>
      </c>
      <c r="U158" s="548">
        <v>1</v>
      </c>
    </row>
    <row r="159" spans="1:21" ht="14.4" customHeight="1" x14ac:dyDescent="0.3">
      <c r="A159" s="541">
        <v>27</v>
      </c>
      <c r="B159" s="542" t="s">
        <v>500</v>
      </c>
      <c r="C159" s="542">
        <v>89301273</v>
      </c>
      <c r="D159" s="543" t="s">
        <v>1085</v>
      </c>
      <c r="E159" s="544" t="s">
        <v>519</v>
      </c>
      <c r="F159" s="542" t="s">
        <v>510</v>
      </c>
      <c r="G159" s="542" t="s">
        <v>630</v>
      </c>
      <c r="H159" s="542" t="s">
        <v>495</v>
      </c>
      <c r="I159" s="542" t="s">
        <v>697</v>
      </c>
      <c r="J159" s="542" t="s">
        <v>632</v>
      </c>
      <c r="K159" s="542" t="s">
        <v>698</v>
      </c>
      <c r="L159" s="545">
        <v>59.55</v>
      </c>
      <c r="M159" s="545">
        <v>59.55</v>
      </c>
      <c r="N159" s="542">
        <v>1</v>
      </c>
      <c r="O159" s="546">
        <v>0.5</v>
      </c>
      <c r="P159" s="545">
        <v>59.55</v>
      </c>
      <c r="Q159" s="547">
        <v>1</v>
      </c>
      <c r="R159" s="542">
        <v>1</v>
      </c>
      <c r="S159" s="547">
        <v>1</v>
      </c>
      <c r="T159" s="546">
        <v>0.5</v>
      </c>
      <c r="U159" s="548">
        <v>1</v>
      </c>
    </row>
    <row r="160" spans="1:21" ht="14.4" customHeight="1" x14ac:dyDescent="0.3">
      <c r="A160" s="541">
        <v>27</v>
      </c>
      <c r="B160" s="542" t="s">
        <v>500</v>
      </c>
      <c r="C160" s="542">
        <v>89301273</v>
      </c>
      <c r="D160" s="543" t="s">
        <v>1085</v>
      </c>
      <c r="E160" s="544" t="s">
        <v>519</v>
      </c>
      <c r="F160" s="542" t="s">
        <v>510</v>
      </c>
      <c r="G160" s="542" t="s">
        <v>630</v>
      </c>
      <c r="H160" s="542" t="s">
        <v>495</v>
      </c>
      <c r="I160" s="542" t="s">
        <v>697</v>
      </c>
      <c r="J160" s="542" t="s">
        <v>632</v>
      </c>
      <c r="K160" s="542" t="s">
        <v>698</v>
      </c>
      <c r="L160" s="545">
        <v>50.62</v>
      </c>
      <c r="M160" s="545">
        <v>101.24</v>
      </c>
      <c r="N160" s="542">
        <v>2</v>
      </c>
      <c r="O160" s="546">
        <v>0.5</v>
      </c>
      <c r="P160" s="545">
        <v>101.24</v>
      </c>
      <c r="Q160" s="547">
        <v>1</v>
      </c>
      <c r="R160" s="542">
        <v>2</v>
      </c>
      <c r="S160" s="547">
        <v>1</v>
      </c>
      <c r="T160" s="546">
        <v>0.5</v>
      </c>
      <c r="U160" s="548">
        <v>1</v>
      </c>
    </row>
    <row r="161" spans="1:21" ht="14.4" customHeight="1" x14ac:dyDescent="0.3">
      <c r="A161" s="541">
        <v>27</v>
      </c>
      <c r="B161" s="542" t="s">
        <v>500</v>
      </c>
      <c r="C161" s="542">
        <v>89301273</v>
      </c>
      <c r="D161" s="543" t="s">
        <v>1085</v>
      </c>
      <c r="E161" s="544" t="s">
        <v>519</v>
      </c>
      <c r="F161" s="542" t="s">
        <v>510</v>
      </c>
      <c r="G161" s="542" t="s">
        <v>630</v>
      </c>
      <c r="H161" s="542" t="s">
        <v>495</v>
      </c>
      <c r="I161" s="542" t="s">
        <v>699</v>
      </c>
      <c r="J161" s="542" t="s">
        <v>632</v>
      </c>
      <c r="K161" s="542" t="s">
        <v>700</v>
      </c>
      <c r="L161" s="545">
        <v>0</v>
      </c>
      <c r="M161" s="545">
        <v>0</v>
      </c>
      <c r="N161" s="542">
        <v>11</v>
      </c>
      <c r="O161" s="546">
        <v>4.5</v>
      </c>
      <c r="P161" s="545">
        <v>0</v>
      </c>
      <c r="Q161" s="547"/>
      <c r="R161" s="542">
        <v>1</v>
      </c>
      <c r="S161" s="547">
        <v>9.0909090909090912E-2</v>
      </c>
      <c r="T161" s="546">
        <v>0.5</v>
      </c>
      <c r="U161" s="548">
        <v>0.1111111111111111</v>
      </c>
    </row>
    <row r="162" spans="1:21" ht="14.4" customHeight="1" x14ac:dyDescent="0.3">
      <c r="A162" s="541">
        <v>27</v>
      </c>
      <c r="B162" s="542" t="s">
        <v>500</v>
      </c>
      <c r="C162" s="542">
        <v>89301273</v>
      </c>
      <c r="D162" s="543" t="s">
        <v>1085</v>
      </c>
      <c r="E162" s="544" t="s">
        <v>519</v>
      </c>
      <c r="F162" s="542" t="s">
        <v>510</v>
      </c>
      <c r="G162" s="542" t="s">
        <v>630</v>
      </c>
      <c r="H162" s="542" t="s">
        <v>495</v>
      </c>
      <c r="I162" s="542" t="s">
        <v>699</v>
      </c>
      <c r="J162" s="542" t="s">
        <v>632</v>
      </c>
      <c r="K162" s="542" t="s">
        <v>700</v>
      </c>
      <c r="L162" s="545">
        <v>193.26</v>
      </c>
      <c r="M162" s="545">
        <v>1546.08</v>
      </c>
      <c r="N162" s="542">
        <v>8</v>
      </c>
      <c r="O162" s="546">
        <v>3</v>
      </c>
      <c r="P162" s="545"/>
      <c r="Q162" s="547">
        <v>0</v>
      </c>
      <c r="R162" s="542"/>
      <c r="S162" s="547">
        <v>0</v>
      </c>
      <c r="T162" s="546"/>
      <c r="U162" s="548">
        <v>0</v>
      </c>
    </row>
    <row r="163" spans="1:21" ht="14.4" customHeight="1" x14ac:dyDescent="0.3">
      <c r="A163" s="541">
        <v>27</v>
      </c>
      <c r="B163" s="542" t="s">
        <v>500</v>
      </c>
      <c r="C163" s="542">
        <v>89301273</v>
      </c>
      <c r="D163" s="543" t="s">
        <v>1085</v>
      </c>
      <c r="E163" s="544" t="s">
        <v>519</v>
      </c>
      <c r="F163" s="542" t="s">
        <v>510</v>
      </c>
      <c r="G163" s="542" t="s">
        <v>630</v>
      </c>
      <c r="H163" s="542" t="s">
        <v>455</v>
      </c>
      <c r="I163" s="542" t="s">
        <v>925</v>
      </c>
      <c r="J163" s="542" t="s">
        <v>632</v>
      </c>
      <c r="K163" s="542" t="s">
        <v>926</v>
      </c>
      <c r="L163" s="545">
        <v>96.63</v>
      </c>
      <c r="M163" s="545">
        <v>289.89</v>
      </c>
      <c r="N163" s="542">
        <v>3</v>
      </c>
      <c r="O163" s="546">
        <v>1</v>
      </c>
      <c r="P163" s="545"/>
      <c r="Q163" s="547">
        <v>0</v>
      </c>
      <c r="R163" s="542"/>
      <c r="S163" s="547">
        <v>0</v>
      </c>
      <c r="T163" s="546"/>
      <c r="U163" s="548">
        <v>0</v>
      </c>
    </row>
    <row r="164" spans="1:21" ht="14.4" customHeight="1" x14ac:dyDescent="0.3">
      <c r="A164" s="541">
        <v>27</v>
      </c>
      <c r="B164" s="542" t="s">
        <v>500</v>
      </c>
      <c r="C164" s="542">
        <v>89301273</v>
      </c>
      <c r="D164" s="543" t="s">
        <v>1085</v>
      </c>
      <c r="E164" s="544" t="s">
        <v>519</v>
      </c>
      <c r="F164" s="542" t="s">
        <v>510</v>
      </c>
      <c r="G164" s="542" t="s">
        <v>630</v>
      </c>
      <c r="H164" s="542" t="s">
        <v>455</v>
      </c>
      <c r="I164" s="542" t="s">
        <v>925</v>
      </c>
      <c r="J164" s="542" t="s">
        <v>632</v>
      </c>
      <c r="K164" s="542" t="s">
        <v>926</v>
      </c>
      <c r="L164" s="545">
        <v>59.55</v>
      </c>
      <c r="M164" s="545">
        <v>178.64999999999998</v>
      </c>
      <c r="N164" s="542">
        <v>3</v>
      </c>
      <c r="O164" s="546">
        <v>1.5</v>
      </c>
      <c r="P164" s="545">
        <v>59.55</v>
      </c>
      <c r="Q164" s="547">
        <v>0.33333333333333337</v>
      </c>
      <c r="R164" s="542">
        <v>1</v>
      </c>
      <c r="S164" s="547">
        <v>0.33333333333333331</v>
      </c>
      <c r="T164" s="546">
        <v>1</v>
      </c>
      <c r="U164" s="548">
        <v>0.66666666666666663</v>
      </c>
    </row>
    <row r="165" spans="1:21" ht="14.4" customHeight="1" x14ac:dyDescent="0.3">
      <c r="A165" s="541">
        <v>27</v>
      </c>
      <c r="B165" s="542" t="s">
        <v>500</v>
      </c>
      <c r="C165" s="542">
        <v>89301273</v>
      </c>
      <c r="D165" s="543" t="s">
        <v>1085</v>
      </c>
      <c r="E165" s="544" t="s">
        <v>519</v>
      </c>
      <c r="F165" s="542" t="s">
        <v>510</v>
      </c>
      <c r="G165" s="542" t="s">
        <v>630</v>
      </c>
      <c r="H165" s="542" t="s">
        <v>455</v>
      </c>
      <c r="I165" s="542" t="s">
        <v>927</v>
      </c>
      <c r="J165" s="542" t="s">
        <v>928</v>
      </c>
      <c r="K165" s="542" t="s">
        <v>929</v>
      </c>
      <c r="L165" s="545">
        <v>96.63</v>
      </c>
      <c r="M165" s="545">
        <v>483.15</v>
      </c>
      <c r="N165" s="542">
        <v>5</v>
      </c>
      <c r="O165" s="546">
        <v>3.5</v>
      </c>
      <c r="P165" s="545">
        <v>193.26</v>
      </c>
      <c r="Q165" s="547">
        <v>0.4</v>
      </c>
      <c r="R165" s="542">
        <v>2</v>
      </c>
      <c r="S165" s="547">
        <v>0.4</v>
      </c>
      <c r="T165" s="546">
        <v>1</v>
      </c>
      <c r="U165" s="548">
        <v>0.2857142857142857</v>
      </c>
    </row>
    <row r="166" spans="1:21" ht="14.4" customHeight="1" x14ac:dyDescent="0.3">
      <c r="A166" s="541">
        <v>27</v>
      </c>
      <c r="B166" s="542" t="s">
        <v>500</v>
      </c>
      <c r="C166" s="542">
        <v>89301273</v>
      </c>
      <c r="D166" s="543" t="s">
        <v>1085</v>
      </c>
      <c r="E166" s="544" t="s">
        <v>519</v>
      </c>
      <c r="F166" s="542" t="s">
        <v>510</v>
      </c>
      <c r="G166" s="542" t="s">
        <v>630</v>
      </c>
      <c r="H166" s="542" t="s">
        <v>455</v>
      </c>
      <c r="I166" s="542" t="s">
        <v>927</v>
      </c>
      <c r="J166" s="542" t="s">
        <v>928</v>
      </c>
      <c r="K166" s="542" t="s">
        <v>929</v>
      </c>
      <c r="L166" s="545">
        <v>59.55</v>
      </c>
      <c r="M166" s="545">
        <v>119.1</v>
      </c>
      <c r="N166" s="542">
        <v>2</v>
      </c>
      <c r="O166" s="546">
        <v>1</v>
      </c>
      <c r="P166" s="545">
        <v>119.1</v>
      </c>
      <c r="Q166" s="547">
        <v>1</v>
      </c>
      <c r="R166" s="542">
        <v>2</v>
      </c>
      <c r="S166" s="547">
        <v>1</v>
      </c>
      <c r="T166" s="546">
        <v>1</v>
      </c>
      <c r="U166" s="548">
        <v>1</v>
      </c>
    </row>
    <row r="167" spans="1:21" ht="14.4" customHeight="1" x14ac:dyDescent="0.3">
      <c r="A167" s="541">
        <v>27</v>
      </c>
      <c r="B167" s="542" t="s">
        <v>500</v>
      </c>
      <c r="C167" s="542">
        <v>89301273</v>
      </c>
      <c r="D167" s="543" t="s">
        <v>1085</v>
      </c>
      <c r="E167" s="544" t="s">
        <v>519</v>
      </c>
      <c r="F167" s="542" t="s">
        <v>510</v>
      </c>
      <c r="G167" s="542" t="s">
        <v>634</v>
      </c>
      <c r="H167" s="542" t="s">
        <v>455</v>
      </c>
      <c r="I167" s="542" t="s">
        <v>930</v>
      </c>
      <c r="J167" s="542" t="s">
        <v>636</v>
      </c>
      <c r="K167" s="542" t="s">
        <v>931</v>
      </c>
      <c r="L167" s="545">
        <v>0</v>
      </c>
      <c r="M167" s="545">
        <v>0</v>
      </c>
      <c r="N167" s="542">
        <v>1</v>
      </c>
      <c r="O167" s="546">
        <v>0.5</v>
      </c>
      <c r="P167" s="545"/>
      <c r="Q167" s="547"/>
      <c r="R167" s="542"/>
      <c r="S167" s="547">
        <v>0</v>
      </c>
      <c r="T167" s="546"/>
      <c r="U167" s="548">
        <v>0</v>
      </c>
    </row>
    <row r="168" spans="1:21" ht="14.4" customHeight="1" x14ac:dyDescent="0.3">
      <c r="A168" s="541">
        <v>27</v>
      </c>
      <c r="B168" s="542" t="s">
        <v>500</v>
      </c>
      <c r="C168" s="542">
        <v>89301273</v>
      </c>
      <c r="D168" s="543" t="s">
        <v>1085</v>
      </c>
      <c r="E168" s="544" t="s">
        <v>519</v>
      </c>
      <c r="F168" s="542" t="s">
        <v>510</v>
      </c>
      <c r="G168" s="542" t="s">
        <v>634</v>
      </c>
      <c r="H168" s="542" t="s">
        <v>455</v>
      </c>
      <c r="I168" s="542" t="s">
        <v>932</v>
      </c>
      <c r="J168" s="542" t="s">
        <v>636</v>
      </c>
      <c r="K168" s="542" t="s">
        <v>933</v>
      </c>
      <c r="L168" s="545">
        <v>314.89999999999998</v>
      </c>
      <c r="M168" s="545">
        <v>314.89999999999998</v>
      </c>
      <c r="N168" s="542">
        <v>1</v>
      </c>
      <c r="O168" s="546">
        <v>0.5</v>
      </c>
      <c r="P168" s="545">
        <v>314.89999999999998</v>
      </c>
      <c r="Q168" s="547">
        <v>1</v>
      </c>
      <c r="R168" s="542">
        <v>1</v>
      </c>
      <c r="S168" s="547">
        <v>1</v>
      </c>
      <c r="T168" s="546">
        <v>0.5</v>
      </c>
      <c r="U168" s="548">
        <v>1</v>
      </c>
    </row>
    <row r="169" spans="1:21" ht="14.4" customHeight="1" x14ac:dyDescent="0.3">
      <c r="A169" s="541">
        <v>27</v>
      </c>
      <c r="B169" s="542" t="s">
        <v>500</v>
      </c>
      <c r="C169" s="542">
        <v>89301273</v>
      </c>
      <c r="D169" s="543" t="s">
        <v>1085</v>
      </c>
      <c r="E169" s="544" t="s">
        <v>519</v>
      </c>
      <c r="F169" s="542" t="s">
        <v>510</v>
      </c>
      <c r="G169" s="542" t="s">
        <v>701</v>
      </c>
      <c r="H169" s="542" t="s">
        <v>455</v>
      </c>
      <c r="I169" s="542" t="s">
        <v>702</v>
      </c>
      <c r="J169" s="542" t="s">
        <v>703</v>
      </c>
      <c r="K169" s="542" t="s">
        <v>704</v>
      </c>
      <c r="L169" s="545">
        <v>293.89</v>
      </c>
      <c r="M169" s="545">
        <v>587.78</v>
      </c>
      <c r="N169" s="542">
        <v>2</v>
      </c>
      <c r="O169" s="546">
        <v>1</v>
      </c>
      <c r="P169" s="545">
        <v>293.89</v>
      </c>
      <c r="Q169" s="547">
        <v>0.5</v>
      </c>
      <c r="R169" s="542">
        <v>1</v>
      </c>
      <c r="S169" s="547">
        <v>0.5</v>
      </c>
      <c r="T169" s="546">
        <v>0.5</v>
      </c>
      <c r="U169" s="548">
        <v>0.5</v>
      </c>
    </row>
    <row r="170" spans="1:21" ht="14.4" customHeight="1" x14ac:dyDescent="0.3">
      <c r="A170" s="541">
        <v>27</v>
      </c>
      <c r="B170" s="542" t="s">
        <v>500</v>
      </c>
      <c r="C170" s="542">
        <v>89301273</v>
      </c>
      <c r="D170" s="543" t="s">
        <v>1085</v>
      </c>
      <c r="E170" s="544" t="s">
        <v>519</v>
      </c>
      <c r="F170" s="542" t="s">
        <v>510</v>
      </c>
      <c r="G170" s="542" t="s">
        <v>701</v>
      </c>
      <c r="H170" s="542" t="s">
        <v>455</v>
      </c>
      <c r="I170" s="542" t="s">
        <v>934</v>
      </c>
      <c r="J170" s="542" t="s">
        <v>703</v>
      </c>
      <c r="K170" s="542" t="s">
        <v>935</v>
      </c>
      <c r="L170" s="545">
        <v>0</v>
      </c>
      <c r="M170" s="545">
        <v>0</v>
      </c>
      <c r="N170" s="542">
        <v>1</v>
      </c>
      <c r="O170" s="546">
        <v>0.5</v>
      </c>
      <c r="P170" s="545"/>
      <c r="Q170" s="547"/>
      <c r="R170" s="542"/>
      <c r="S170" s="547">
        <v>0</v>
      </c>
      <c r="T170" s="546"/>
      <c r="U170" s="548">
        <v>0</v>
      </c>
    </row>
    <row r="171" spans="1:21" ht="14.4" customHeight="1" x14ac:dyDescent="0.3">
      <c r="A171" s="541">
        <v>27</v>
      </c>
      <c r="B171" s="542" t="s">
        <v>500</v>
      </c>
      <c r="C171" s="542">
        <v>89301273</v>
      </c>
      <c r="D171" s="543" t="s">
        <v>1085</v>
      </c>
      <c r="E171" s="544" t="s">
        <v>519</v>
      </c>
      <c r="F171" s="542" t="s">
        <v>510</v>
      </c>
      <c r="G171" s="542" t="s">
        <v>701</v>
      </c>
      <c r="H171" s="542" t="s">
        <v>495</v>
      </c>
      <c r="I171" s="542" t="s">
        <v>936</v>
      </c>
      <c r="J171" s="542" t="s">
        <v>708</v>
      </c>
      <c r="K171" s="542" t="s">
        <v>937</v>
      </c>
      <c r="L171" s="545">
        <v>0</v>
      </c>
      <c r="M171" s="545">
        <v>0</v>
      </c>
      <c r="N171" s="542">
        <v>1</v>
      </c>
      <c r="O171" s="546">
        <v>0.5</v>
      </c>
      <c r="P171" s="545">
        <v>0</v>
      </c>
      <c r="Q171" s="547"/>
      <c r="R171" s="542">
        <v>1</v>
      </c>
      <c r="S171" s="547">
        <v>1</v>
      </c>
      <c r="T171" s="546">
        <v>0.5</v>
      </c>
      <c r="U171" s="548">
        <v>1</v>
      </c>
    </row>
    <row r="172" spans="1:21" ht="14.4" customHeight="1" x14ac:dyDescent="0.3">
      <c r="A172" s="541">
        <v>27</v>
      </c>
      <c r="B172" s="542" t="s">
        <v>500</v>
      </c>
      <c r="C172" s="542">
        <v>89301273</v>
      </c>
      <c r="D172" s="543" t="s">
        <v>1085</v>
      </c>
      <c r="E172" s="544" t="s">
        <v>519</v>
      </c>
      <c r="F172" s="542" t="s">
        <v>510</v>
      </c>
      <c r="G172" s="542" t="s">
        <v>718</v>
      </c>
      <c r="H172" s="542" t="s">
        <v>495</v>
      </c>
      <c r="I172" s="542" t="s">
        <v>719</v>
      </c>
      <c r="J172" s="542" t="s">
        <v>720</v>
      </c>
      <c r="K172" s="542" t="s">
        <v>536</v>
      </c>
      <c r="L172" s="545">
        <v>67.42</v>
      </c>
      <c r="M172" s="545">
        <v>67.42</v>
      </c>
      <c r="N172" s="542">
        <v>1</v>
      </c>
      <c r="O172" s="546">
        <v>1</v>
      </c>
      <c r="P172" s="545">
        <v>67.42</v>
      </c>
      <c r="Q172" s="547">
        <v>1</v>
      </c>
      <c r="R172" s="542">
        <v>1</v>
      </c>
      <c r="S172" s="547">
        <v>1</v>
      </c>
      <c r="T172" s="546">
        <v>1</v>
      </c>
      <c r="U172" s="548">
        <v>1</v>
      </c>
    </row>
    <row r="173" spans="1:21" ht="14.4" customHeight="1" x14ac:dyDescent="0.3">
      <c r="A173" s="541">
        <v>27</v>
      </c>
      <c r="B173" s="542" t="s">
        <v>500</v>
      </c>
      <c r="C173" s="542">
        <v>89301273</v>
      </c>
      <c r="D173" s="543" t="s">
        <v>1085</v>
      </c>
      <c r="E173" s="544" t="s">
        <v>519</v>
      </c>
      <c r="F173" s="542" t="s">
        <v>510</v>
      </c>
      <c r="G173" s="542" t="s">
        <v>718</v>
      </c>
      <c r="H173" s="542" t="s">
        <v>495</v>
      </c>
      <c r="I173" s="542" t="s">
        <v>938</v>
      </c>
      <c r="J173" s="542" t="s">
        <v>720</v>
      </c>
      <c r="K173" s="542" t="s">
        <v>909</v>
      </c>
      <c r="L173" s="545">
        <v>202.25</v>
      </c>
      <c r="M173" s="545">
        <v>404.5</v>
      </c>
      <c r="N173" s="542">
        <v>2</v>
      </c>
      <c r="O173" s="546">
        <v>2</v>
      </c>
      <c r="P173" s="545"/>
      <c r="Q173" s="547">
        <v>0</v>
      </c>
      <c r="R173" s="542"/>
      <c r="S173" s="547">
        <v>0</v>
      </c>
      <c r="T173" s="546"/>
      <c r="U173" s="548">
        <v>0</v>
      </c>
    </row>
    <row r="174" spans="1:21" ht="14.4" customHeight="1" x14ac:dyDescent="0.3">
      <c r="A174" s="541">
        <v>27</v>
      </c>
      <c r="B174" s="542" t="s">
        <v>500</v>
      </c>
      <c r="C174" s="542">
        <v>89301273</v>
      </c>
      <c r="D174" s="543" t="s">
        <v>1085</v>
      </c>
      <c r="E174" s="544" t="s">
        <v>519</v>
      </c>
      <c r="F174" s="542" t="s">
        <v>510</v>
      </c>
      <c r="G174" s="542" t="s">
        <v>718</v>
      </c>
      <c r="H174" s="542" t="s">
        <v>495</v>
      </c>
      <c r="I174" s="542" t="s">
        <v>938</v>
      </c>
      <c r="J174" s="542" t="s">
        <v>720</v>
      </c>
      <c r="K174" s="542" t="s">
        <v>909</v>
      </c>
      <c r="L174" s="545">
        <v>151.38999999999999</v>
      </c>
      <c r="M174" s="545">
        <v>302.77999999999997</v>
      </c>
      <c r="N174" s="542">
        <v>2</v>
      </c>
      <c r="O174" s="546">
        <v>2</v>
      </c>
      <c r="P174" s="545"/>
      <c r="Q174" s="547">
        <v>0</v>
      </c>
      <c r="R174" s="542"/>
      <c r="S174" s="547">
        <v>0</v>
      </c>
      <c r="T174" s="546"/>
      <c r="U174" s="548">
        <v>0</v>
      </c>
    </row>
    <row r="175" spans="1:21" ht="14.4" customHeight="1" x14ac:dyDescent="0.3">
      <c r="A175" s="541">
        <v>27</v>
      </c>
      <c r="B175" s="542" t="s">
        <v>500</v>
      </c>
      <c r="C175" s="542">
        <v>89301273</v>
      </c>
      <c r="D175" s="543" t="s">
        <v>1085</v>
      </c>
      <c r="E175" s="544" t="s">
        <v>519</v>
      </c>
      <c r="F175" s="542" t="s">
        <v>510</v>
      </c>
      <c r="G175" s="542" t="s">
        <v>718</v>
      </c>
      <c r="H175" s="542" t="s">
        <v>495</v>
      </c>
      <c r="I175" s="542" t="s">
        <v>723</v>
      </c>
      <c r="J175" s="542" t="s">
        <v>724</v>
      </c>
      <c r="K175" s="542" t="s">
        <v>725</v>
      </c>
      <c r="L175" s="545">
        <v>224.71</v>
      </c>
      <c r="M175" s="545">
        <v>224.71</v>
      </c>
      <c r="N175" s="542">
        <v>1</v>
      </c>
      <c r="O175" s="546">
        <v>1</v>
      </c>
      <c r="P175" s="545">
        <v>224.71</v>
      </c>
      <c r="Q175" s="547">
        <v>1</v>
      </c>
      <c r="R175" s="542">
        <v>1</v>
      </c>
      <c r="S175" s="547">
        <v>1</v>
      </c>
      <c r="T175" s="546">
        <v>1</v>
      </c>
      <c r="U175" s="548">
        <v>1</v>
      </c>
    </row>
    <row r="176" spans="1:21" ht="14.4" customHeight="1" x14ac:dyDescent="0.3">
      <c r="A176" s="541">
        <v>27</v>
      </c>
      <c r="B176" s="542" t="s">
        <v>500</v>
      </c>
      <c r="C176" s="542">
        <v>89301273</v>
      </c>
      <c r="D176" s="543" t="s">
        <v>1085</v>
      </c>
      <c r="E176" s="544" t="s">
        <v>519</v>
      </c>
      <c r="F176" s="542" t="s">
        <v>510</v>
      </c>
      <c r="G176" s="542" t="s">
        <v>939</v>
      </c>
      <c r="H176" s="542" t="s">
        <v>495</v>
      </c>
      <c r="I176" s="542" t="s">
        <v>940</v>
      </c>
      <c r="J176" s="542" t="s">
        <v>941</v>
      </c>
      <c r="K176" s="542" t="s">
        <v>942</v>
      </c>
      <c r="L176" s="545">
        <v>481.8</v>
      </c>
      <c r="M176" s="545">
        <v>1445.4</v>
      </c>
      <c r="N176" s="542">
        <v>3</v>
      </c>
      <c r="O176" s="546">
        <v>1.5</v>
      </c>
      <c r="P176" s="545">
        <v>963.6</v>
      </c>
      <c r="Q176" s="547">
        <v>0.66666666666666663</v>
      </c>
      <c r="R176" s="542">
        <v>2</v>
      </c>
      <c r="S176" s="547">
        <v>0.66666666666666663</v>
      </c>
      <c r="T176" s="546">
        <v>1</v>
      </c>
      <c r="U176" s="548">
        <v>0.66666666666666663</v>
      </c>
    </row>
    <row r="177" spans="1:21" ht="14.4" customHeight="1" x14ac:dyDescent="0.3">
      <c r="A177" s="541">
        <v>27</v>
      </c>
      <c r="B177" s="542" t="s">
        <v>500</v>
      </c>
      <c r="C177" s="542">
        <v>89301273</v>
      </c>
      <c r="D177" s="543" t="s">
        <v>1085</v>
      </c>
      <c r="E177" s="544" t="s">
        <v>519</v>
      </c>
      <c r="F177" s="542" t="s">
        <v>510</v>
      </c>
      <c r="G177" s="542" t="s">
        <v>943</v>
      </c>
      <c r="H177" s="542" t="s">
        <v>455</v>
      </c>
      <c r="I177" s="542" t="s">
        <v>944</v>
      </c>
      <c r="J177" s="542" t="s">
        <v>945</v>
      </c>
      <c r="K177" s="542" t="s">
        <v>780</v>
      </c>
      <c r="L177" s="545">
        <v>85.91</v>
      </c>
      <c r="M177" s="545">
        <v>343.64</v>
      </c>
      <c r="N177" s="542">
        <v>4</v>
      </c>
      <c r="O177" s="546">
        <v>1</v>
      </c>
      <c r="P177" s="545"/>
      <c r="Q177" s="547">
        <v>0</v>
      </c>
      <c r="R177" s="542"/>
      <c r="S177" s="547">
        <v>0</v>
      </c>
      <c r="T177" s="546"/>
      <c r="U177" s="548">
        <v>0</v>
      </c>
    </row>
    <row r="178" spans="1:21" ht="14.4" customHeight="1" x14ac:dyDescent="0.3">
      <c r="A178" s="541">
        <v>27</v>
      </c>
      <c r="B178" s="542" t="s">
        <v>500</v>
      </c>
      <c r="C178" s="542">
        <v>89301273</v>
      </c>
      <c r="D178" s="543" t="s">
        <v>1085</v>
      </c>
      <c r="E178" s="544" t="s">
        <v>519</v>
      </c>
      <c r="F178" s="542" t="s">
        <v>510</v>
      </c>
      <c r="G178" s="542" t="s">
        <v>605</v>
      </c>
      <c r="H178" s="542" t="s">
        <v>455</v>
      </c>
      <c r="I178" s="542" t="s">
        <v>946</v>
      </c>
      <c r="J178" s="542" t="s">
        <v>607</v>
      </c>
      <c r="K178" s="542" t="s">
        <v>947</v>
      </c>
      <c r="L178" s="545">
        <v>113.37</v>
      </c>
      <c r="M178" s="545">
        <v>113.37</v>
      </c>
      <c r="N178" s="542">
        <v>1</v>
      </c>
      <c r="O178" s="546">
        <v>0.5</v>
      </c>
      <c r="P178" s="545">
        <v>113.37</v>
      </c>
      <c r="Q178" s="547">
        <v>1</v>
      </c>
      <c r="R178" s="542">
        <v>1</v>
      </c>
      <c r="S178" s="547">
        <v>1</v>
      </c>
      <c r="T178" s="546">
        <v>0.5</v>
      </c>
      <c r="U178" s="548">
        <v>1</v>
      </c>
    </row>
    <row r="179" spans="1:21" ht="14.4" customHeight="1" x14ac:dyDescent="0.3">
      <c r="A179" s="541">
        <v>27</v>
      </c>
      <c r="B179" s="542" t="s">
        <v>500</v>
      </c>
      <c r="C179" s="542">
        <v>89301273</v>
      </c>
      <c r="D179" s="543" t="s">
        <v>1085</v>
      </c>
      <c r="E179" s="544" t="s">
        <v>519</v>
      </c>
      <c r="F179" s="542" t="s">
        <v>510</v>
      </c>
      <c r="G179" s="542" t="s">
        <v>605</v>
      </c>
      <c r="H179" s="542" t="s">
        <v>455</v>
      </c>
      <c r="I179" s="542" t="s">
        <v>606</v>
      </c>
      <c r="J179" s="542" t="s">
        <v>607</v>
      </c>
      <c r="K179" s="542" t="s">
        <v>608</v>
      </c>
      <c r="L179" s="545">
        <v>56.69</v>
      </c>
      <c r="M179" s="545">
        <v>56.69</v>
      </c>
      <c r="N179" s="542">
        <v>1</v>
      </c>
      <c r="O179" s="546">
        <v>1</v>
      </c>
      <c r="P179" s="545">
        <v>56.69</v>
      </c>
      <c r="Q179" s="547">
        <v>1</v>
      </c>
      <c r="R179" s="542">
        <v>1</v>
      </c>
      <c r="S179" s="547">
        <v>1</v>
      </c>
      <c r="T179" s="546">
        <v>1</v>
      </c>
      <c r="U179" s="548">
        <v>1</v>
      </c>
    </row>
    <row r="180" spans="1:21" ht="14.4" customHeight="1" x14ac:dyDescent="0.3">
      <c r="A180" s="541">
        <v>27</v>
      </c>
      <c r="B180" s="542" t="s">
        <v>500</v>
      </c>
      <c r="C180" s="542">
        <v>89301273</v>
      </c>
      <c r="D180" s="543" t="s">
        <v>1085</v>
      </c>
      <c r="E180" s="544" t="s">
        <v>519</v>
      </c>
      <c r="F180" s="542" t="s">
        <v>510</v>
      </c>
      <c r="G180" s="542" t="s">
        <v>948</v>
      </c>
      <c r="H180" s="542" t="s">
        <v>455</v>
      </c>
      <c r="I180" s="542" t="s">
        <v>949</v>
      </c>
      <c r="J180" s="542" t="s">
        <v>950</v>
      </c>
      <c r="K180" s="542" t="s">
        <v>951</v>
      </c>
      <c r="L180" s="545">
        <v>0</v>
      </c>
      <c r="M180" s="545">
        <v>0</v>
      </c>
      <c r="N180" s="542">
        <v>1</v>
      </c>
      <c r="O180" s="546">
        <v>1</v>
      </c>
      <c r="P180" s="545"/>
      <c r="Q180" s="547"/>
      <c r="R180" s="542"/>
      <c r="S180" s="547">
        <v>0</v>
      </c>
      <c r="T180" s="546"/>
      <c r="U180" s="548">
        <v>0</v>
      </c>
    </row>
    <row r="181" spans="1:21" ht="14.4" customHeight="1" x14ac:dyDescent="0.3">
      <c r="A181" s="541">
        <v>27</v>
      </c>
      <c r="B181" s="542" t="s">
        <v>500</v>
      </c>
      <c r="C181" s="542">
        <v>89301273</v>
      </c>
      <c r="D181" s="543" t="s">
        <v>1085</v>
      </c>
      <c r="E181" s="544" t="s">
        <v>519</v>
      </c>
      <c r="F181" s="542" t="s">
        <v>510</v>
      </c>
      <c r="G181" s="542" t="s">
        <v>952</v>
      </c>
      <c r="H181" s="542" t="s">
        <v>455</v>
      </c>
      <c r="I181" s="542" t="s">
        <v>953</v>
      </c>
      <c r="J181" s="542" t="s">
        <v>954</v>
      </c>
      <c r="K181" s="542" t="s">
        <v>955</v>
      </c>
      <c r="L181" s="545">
        <v>0</v>
      </c>
      <c r="M181" s="545">
        <v>0</v>
      </c>
      <c r="N181" s="542">
        <v>1</v>
      </c>
      <c r="O181" s="546">
        <v>1</v>
      </c>
      <c r="P181" s="545"/>
      <c r="Q181" s="547"/>
      <c r="R181" s="542"/>
      <c r="S181" s="547">
        <v>0</v>
      </c>
      <c r="T181" s="546"/>
      <c r="U181" s="548">
        <v>0</v>
      </c>
    </row>
    <row r="182" spans="1:21" ht="14.4" customHeight="1" x14ac:dyDescent="0.3">
      <c r="A182" s="541">
        <v>27</v>
      </c>
      <c r="B182" s="542" t="s">
        <v>500</v>
      </c>
      <c r="C182" s="542">
        <v>89301273</v>
      </c>
      <c r="D182" s="543" t="s">
        <v>1085</v>
      </c>
      <c r="E182" s="544" t="s">
        <v>519</v>
      </c>
      <c r="F182" s="542" t="s">
        <v>510</v>
      </c>
      <c r="G182" s="542" t="s">
        <v>952</v>
      </c>
      <c r="H182" s="542" t="s">
        <v>455</v>
      </c>
      <c r="I182" s="542" t="s">
        <v>956</v>
      </c>
      <c r="J182" s="542" t="s">
        <v>954</v>
      </c>
      <c r="K182" s="542" t="s">
        <v>957</v>
      </c>
      <c r="L182" s="545">
        <v>0</v>
      </c>
      <c r="M182" s="545">
        <v>0</v>
      </c>
      <c r="N182" s="542">
        <v>1</v>
      </c>
      <c r="O182" s="546">
        <v>1</v>
      </c>
      <c r="P182" s="545"/>
      <c r="Q182" s="547"/>
      <c r="R182" s="542"/>
      <c r="S182" s="547">
        <v>0</v>
      </c>
      <c r="T182" s="546"/>
      <c r="U182" s="548">
        <v>0</v>
      </c>
    </row>
    <row r="183" spans="1:21" ht="14.4" customHeight="1" x14ac:dyDescent="0.3">
      <c r="A183" s="541">
        <v>27</v>
      </c>
      <c r="B183" s="542" t="s">
        <v>500</v>
      </c>
      <c r="C183" s="542">
        <v>89301273</v>
      </c>
      <c r="D183" s="543" t="s">
        <v>1085</v>
      </c>
      <c r="E183" s="544" t="s">
        <v>519</v>
      </c>
      <c r="F183" s="542" t="s">
        <v>510</v>
      </c>
      <c r="G183" s="542" t="s">
        <v>734</v>
      </c>
      <c r="H183" s="542" t="s">
        <v>495</v>
      </c>
      <c r="I183" s="542" t="s">
        <v>497</v>
      </c>
      <c r="J183" s="542" t="s">
        <v>498</v>
      </c>
      <c r="K183" s="542" t="s">
        <v>506</v>
      </c>
      <c r="L183" s="545">
        <v>94.8</v>
      </c>
      <c r="M183" s="545">
        <v>284.39999999999998</v>
      </c>
      <c r="N183" s="542">
        <v>3</v>
      </c>
      <c r="O183" s="546">
        <v>1.5</v>
      </c>
      <c r="P183" s="545"/>
      <c r="Q183" s="547">
        <v>0</v>
      </c>
      <c r="R183" s="542"/>
      <c r="S183" s="547">
        <v>0</v>
      </c>
      <c r="T183" s="546"/>
      <c r="U183" s="548">
        <v>0</v>
      </c>
    </row>
    <row r="184" spans="1:21" ht="14.4" customHeight="1" x14ac:dyDescent="0.3">
      <c r="A184" s="541">
        <v>27</v>
      </c>
      <c r="B184" s="542" t="s">
        <v>500</v>
      </c>
      <c r="C184" s="542">
        <v>89301273</v>
      </c>
      <c r="D184" s="543" t="s">
        <v>1085</v>
      </c>
      <c r="E184" s="544" t="s">
        <v>519</v>
      </c>
      <c r="F184" s="542" t="s">
        <v>510</v>
      </c>
      <c r="G184" s="542" t="s">
        <v>958</v>
      </c>
      <c r="H184" s="542" t="s">
        <v>495</v>
      </c>
      <c r="I184" s="542" t="s">
        <v>959</v>
      </c>
      <c r="J184" s="542" t="s">
        <v>960</v>
      </c>
      <c r="K184" s="542" t="s">
        <v>961</v>
      </c>
      <c r="L184" s="545">
        <v>276</v>
      </c>
      <c r="M184" s="545">
        <v>828</v>
      </c>
      <c r="N184" s="542">
        <v>3</v>
      </c>
      <c r="O184" s="546">
        <v>0.5</v>
      </c>
      <c r="P184" s="545"/>
      <c r="Q184" s="547">
        <v>0</v>
      </c>
      <c r="R184" s="542"/>
      <c r="S184" s="547">
        <v>0</v>
      </c>
      <c r="T184" s="546"/>
      <c r="U184" s="548">
        <v>0</v>
      </c>
    </row>
    <row r="185" spans="1:21" ht="14.4" customHeight="1" x14ac:dyDescent="0.3">
      <c r="A185" s="541">
        <v>27</v>
      </c>
      <c r="B185" s="542" t="s">
        <v>500</v>
      </c>
      <c r="C185" s="542">
        <v>89301273</v>
      </c>
      <c r="D185" s="543" t="s">
        <v>1085</v>
      </c>
      <c r="E185" s="544" t="s">
        <v>519</v>
      </c>
      <c r="F185" s="542" t="s">
        <v>510</v>
      </c>
      <c r="G185" s="542" t="s">
        <v>735</v>
      </c>
      <c r="H185" s="542" t="s">
        <v>455</v>
      </c>
      <c r="I185" s="542" t="s">
        <v>736</v>
      </c>
      <c r="J185" s="542" t="s">
        <v>737</v>
      </c>
      <c r="K185" s="542" t="s">
        <v>738</v>
      </c>
      <c r="L185" s="545">
        <v>91.41</v>
      </c>
      <c r="M185" s="545">
        <v>274.23</v>
      </c>
      <c r="N185" s="542">
        <v>3</v>
      </c>
      <c r="O185" s="546">
        <v>1.5</v>
      </c>
      <c r="P185" s="545">
        <v>91.41</v>
      </c>
      <c r="Q185" s="547">
        <v>0.33333333333333331</v>
      </c>
      <c r="R185" s="542">
        <v>1</v>
      </c>
      <c r="S185" s="547">
        <v>0.33333333333333331</v>
      </c>
      <c r="T185" s="546">
        <v>0.5</v>
      </c>
      <c r="U185" s="548">
        <v>0.33333333333333331</v>
      </c>
    </row>
    <row r="186" spans="1:21" ht="14.4" customHeight="1" x14ac:dyDescent="0.3">
      <c r="A186" s="541">
        <v>27</v>
      </c>
      <c r="B186" s="542" t="s">
        <v>500</v>
      </c>
      <c r="C186" s="542">
        <v>89301273</v>
      </c>
      <c r="D186" s="543" t="s">
        <v>1085</v>
      </c>
      <c r="E186" s="544" t="s">
        <v>519</v>
      </c>
      <c r="F186" s="542" t="s">
        <v>510</v>
      </c>
      <c r="G186" s="542" t="s">
        <v>962</v>
      </c>
      <c r="H186" s="542" t="s">
        <v>455</v>
      </c>
      <c r="I186" s="542" t="s">
        <v>963</v>
      </c>
      <c r="J186" s="542" t="s">
        <v>964</v>
      </c>
      <c r="K186" s="542" t="s">
        <v>965</v>
      </c>
      <c r="L186" s="545">
        <v>56.59</v>
      </c>
      <c r="M186" s="545">
        <v>169.77</v>
      </c>
      <c r="N186" s="542">
        <v>3</v>
      </c>
      <c r="O186" s="546">
        <v>2</v>
      </c>
      <c r="P186" s="545">
        <v>113.18</v>
      </c>
      <c r="Q186" s="547">
        <v>0.66666666666666663</v>
      </c>
      <c r="R186" s="542">
        <v>2</v>
      </c>
      <c r="S186" s="547">
        <v>0.66666666666666663</v>
      </c>
      <c r="T186" s="546">
        <v>1</v>
      </c>
      <c r="U186" s="548">
        <v>0.5</v>
      </c>
    </row>
    <row r="187" spans="1:21" ht="14.4" customHeight="1" x14ac:dyDescent="0.3">
      <c r="A187" s="541">
        <v>27</v>
      </c>
      <c r="B187" s="542" t="s">
        <v>500</v>
      </c>
      <c r="C187" s="542">
        <v>89301273</v>
      </c>
      <c r="D187" s="543" t="s">
        <v>1085</v>
      </c>
      <c r="E187" s="544" t="s">
        <v>519</v>
      </c>
      <c r="F187" s="542" t="s">
        <v>510</v>
      </c>
      <c r="G187" s="542" t="s">
        <v>739</v>
      </c>
      <c r="H187" s="542" t="s">
        <v>455</v>
      </c>
      <c r="I187" s="542" t="s">
        <v>740</v>
      </c>
      <c r="J187" s="542" t="s">
        <v>741</v>
      </c>
      <c r="K187" s="542" t="s">
        <v>742</v>
      </c>
      <c r="L187" s="545">
        <v>0</v>
      </c>
      <c r="M187" s="545">
        <v>0</v>
      </c>
      <c r="N187" s="542">
        <v>3</v>
      </c>
      <c r="O187" s="546">
        <v>1</v>
      </c>
      <c r="P187" s="545"/>
      <c r="Q187" s="547"/>
      <c r="R187" s="542"/>
      <c r="S187" s="547">
        <v>0</v>
      </c>
      <c r="T187" s="546"/>
      <c r="U187" s="548">
        <v>0</v>
      </c>
    </row>
    <row r="188" spans="1:21" ht="14.4" customHeight="1" x14ac:dyDescent="0.3">
      <c r="A188" s="541">
        <v>27</v>
      </c>
      <c r="B188" s="542" t="s">
        <v>500</v>
      </c>
      <c r="C188" s="542">
        <v>89301273</v>
      </c>
      <c r="D188" s="543" t="s">
        <v>1085</v>
      </c>
      <c r="E188" s="544" t="s">
        <v>519</v>
      </c>
      <c r="F188" s="542" t="s">
        <v>510</v>
      </c>
      <c r="G188" s="542" t="s">
        <v>743</v>
      </c>
      <c r="H188" s="542" t="s">
        <v>455</v>
      </c>
      <c r="I188" s="542" t="s">
        <v>744</v>
      </c>
      <c r="J188" s="542" t="s">
        <v>745</v>
      </c>
      <c r="K188" s="542" t="s">
        <v>746</v>
      </c>
      <c r="L188" s="545">
        <v>23.46</v>
      </c>
      <c r="M188" s="545">
        <v>70.38</v>
      </c>
      <c r="N188" s="542">
        <v>3</v>
      </c>
      <c r="O188" s="546">
        <v>0.5</v>
      </c>
      <c r="P188" s="545">
        <v>70.38</v>
      </c>
      <c r="Q188" s="547">
        <v>1</v>
      </c>
      <c r="R188" s="542">
        <v>3</v>
      </c>
      <c r="S188" s="547">
        <v>1</v>
      </c>
      <c r="T188" s="546">
        <v>0.5</v>
      </c>
      <c r="U188" s="548">
        <v>1</v>
      </c>
    </row>
    <row r="189" spans="1:21" ht="14.4" customHeight="1" x14ac:dyDescent="0.3">
      <c r="A189" s="541">
        <v>27</v>
      </c>
      <c r="B189" s="542" t="s">
        <v>500</v>
      </c>
      <c r="C189" s="542">
        <v>89301273</v>
      </c>
      <c r="D189" s="543" t="s">
        <v>1085</v>
      </c>
      <c r="E189" s="544" t="s">
        <v>519</v>
      </c>
      <c r="F189" s="542" t="s">
        <v>510</v>
      </c>
      <c r="G189" s="542" t="s">
        <v>966</v>
      </c>
      <c r="H189" s="542" t="s">
        <v>455</v>
      </c>
      <c r="I189" s="542" t="s">
        <v>967</v>
      </c>
      <c r="J189" s="542" t="s">
        <v>968</v>
      </c>
      <c r="K189" s="542" t="s">
        <v>969</v>
      </c>
      <c r="L189" s="545">
        <v>0</v>
      </c>
      <c r="M189" s="545">
        <v>0</v>
      </c>
      <c r="N189" s="542">
        <v>1</v>
      </c>
      <c r="O189" s="546">
        <v>1</v>
      </c>
      <c r="P189" s="545"/>
      <c r="Q189" s="547"/>
      <c r="R189" s="542"/>
      <c r="S189" s="547">
        <v>0</v>
      </c>
      <c r="T189" s="546"/>
      <c r="U189" s="548">
        <v>0</v>
      </c>
    </row>
    <row r="190" spans="1:21" ht="14.4" customHeight="1" x14ac:dyDescent="0.3">
      <c r="A190" s="541">
        <v>27</v>
      </c>
      <c r="B190" s="542" t="s">
        <v>500</v>
      </c>
      <c r="C190" s="542">
        <v>89301273</v>
      </c>
      <c r="D190" s="543" t="s">
        <v>1085</v>
      </c>
      <c r="E190" s="544" t="s">
        <v>519</v>
      </c>
      <c r="F190" s="542" t="s">
        <v>510</v>
      </c>
      <c r="G190" s="542" t="s">
        <v>970</v>
      </c>
      <c r="H190" s="542" t="s">
        <v>455</v>
      </c>
      <c r="I190" s="542" t="s">
        <v>971</v>
      </c>
      <c r="J190" s="542" t="s">
        <v>972</v>
      </c>
      <c r="K190" s="542" t="s">
        <v>973</v>
      </c>
      <c r="L190" s="545">
        <v>38.65</v>
      </c>
      <c r="M190" s="545">
        <v>38.65</v>
      </c>
      <c r="N190" s="542">
        <v>1</v>
      </c>
      <c r="O190" s="546">
        <v>1</v>
      </c>
      <c r="P190" s="545"/>
      <c r="Q190" s="547">
        <v>0</v>
      </c>
      <c r="R190" s="542"/>
      <c r="S190" s="547">
        <v>0</v>
      </c>
      <c r="T190" s="546"/>
      <c r="U190" s="548">
        <v>0</v>
      </c>
    </row>
    <row r="191" spans="1:21" ht="14.4" customHeight="1" x14ac:dyDescent="0.3">
      <c r="A191" s="541">
        <v>27</v>
      </c>
      <c r="B191" s="542" t="s">
        <v>500</v>
      </c>
      <c r="C191" s="542">
        <v>89301273</v>
      </c>
      <c r="D191" s="543" t="s">
        <v>1085</v>
      </c>
      <c r="E191" s="544" t="s">
        <v>519</v>
      </c>
      <c r="F191" s="542" t="s">
        <v>510</v>
      </c>
      <c r="G191" s="542" t="s">
        <v>974</v>
      </c>
      <c r="H191" s="542" t="s">
        <v>495</v>
      </c>
      <c r="I191" s="542" t="s">
        <v>975</v>
      </c>
      <c r="J191" s="542" t="s">
        <v>976</v>
      </c>
      <c r="K191" s="542" t="s">
        <v>977</v>
      </c>
      <c r="L191" s="545">
        <v>196.46</v>
      </c>
      <c r="M191" s="545">
        <v>392.92</v>
      </c>
      <c r="N191" s="542">
        <v>2</v>
      </c>
      <c r="O191" s="546">
        <v>0.5</v>
      </c>
      <c r="P191" s="545"/>
      <c r="Q191" s="547">
        <v>0</v>
      </c>
      <c r="R191" s="542"/>
      <c r="S191" s="547">
        <v>0</v>
      </c>
      <c r="T191" s="546"/>
      <c r="U191" s="548">
        <v>0</v>
      </c>
    </row>
    <row r="192" spans="1:21" ht="14.4" customHeight="1" x14ac:dyDescent="0.3">
      <c r="A192" s="541">
        <v>27</v>
      </c>
      <c r="B192" s="542" t="s">
        <v>500</v>
      </c>
      <c r="C192" s="542">
        <v>89301273</v>
      </c>
      <c r="D192" s="543" t="s">
        <v>1085</v>
      </c>
      <c r="E192" s="544" t="s">
        <v>519</v>
      </c>
      <c r="F192" s="542" t="s">
        <v>510</v>
      </c>
      <c r="G192" s="542" t="s">
        <v>974</v>
      </c>
      <c r="H192" s="542" t="s">
        <v>495</v>
      </c>
      <c r="I192" s="542" t="s">
        <v>978</v>
      </c>
      <c r="J192" s="542" t="s">
        <v>979</v>
      </c>
      <c r="K192" s="542" t="s">
        <v>980</v>
      </c>
      <c r="L192" s="545">
        <v>314.33999999999997</v>
      </c>
      <c r="M192" s="545">
        <v>1257.3599999999999</v>
      </c>
      <c r="N192" s="542">
        <v>4</v>
      </c>
      <c r="O192" s="546">
        <v>1.5</v>
      </c>
      <c r="P192" s="545"/>
      <c r="Q192" s="547">
        <v>0</v>
      </c>
      <c r="R192" s="542"/>
      <c r="S192" s="547">
        <v>0</v>
      </c>
      <c r="T192" s="546"/>
      <c r="U192" s="548">
        <v>0</v>
      </c>
    </row>
    <row r="193" spans="1:21" ht="14.4" customHeight="1" x14ac:dyDescent="0.3">
      <c r="A193" s="541">
        <v>27</v>
      </c>
      <c r="B193" s="542" t="s">
        <v>500</v>
      </c>
      <c r="C193" s="542">
        <v>89301273</v>
      </c>
      <c r="D193" s="543" t="s">
        <v>1085</v>
      </c>
      <c r="E193" s="544" t="s">
        <v>519</v>
      </c>
      <c r="F193" s="542" t="s">
        <v>510</v>
      </c>
      <c r="G193" s="542" t="s">
        <v>981</v>
      </c>
      <c r="H193" s="542" t="s">
        <v>455</v>
      </c>
      <c r="I193" s="542" t="s">
        <v>982</v>
      </c>
      <c r="J193" s="542" t="s">
        <v>983</v>
      </c>
      <c r="K193" s="542" t="s">
        <v>984</v>
      </c>
      <c r="L193" s="545">
        <v>162.13</v>
      </c>
      <c r="M193" s="545">
        <v>486.39</v>
      </c>
      <c r="N193" s="542">
        <v>3</v>
      </c>
      <c r="O193" s="546">
        <v>1.5</v>
      </c>
      <c r="P193" s="545"/>
      <c r="Q193" s="547">
        <v>0</v>
      </c>
      <c r="R193" s="542"/>
      <c r="S193" s="547">
        <v>0</v>
      </c>
      <c r="T193" s="546"/>
      <c r="U193" s="548">
        <v>0</v>
      </c>
    </row>
    <row r="194" spans="1:21" ht="14.4" customHeight="1" x14ac:dyDescent="0.3">
      <c r="A194" s="541">
        <v>27</v>
      </c>
      <c r="B194" s="542" t="s">
        <v>500</v>
      </c>
      <c r="C194" s="542">
        <v>89301273</v>
      </c>
      <c r="D194" s="543" t="s">
        <v>1085</v>
      </c>
      <c r="E194" s="544" t="s">
        <v>519</v>
      </c>
      <c r="F194" s="542" t="s">
        <v>510</v>
      </c>
      <c r="G194" s="542" t="s">
        <v>985</v>
      </c>
      <c r="H194" s="542" t="s">
        <v>455</v>
      </c>
      <c r="I194" s="542" t="s">
        <v>986</v>
      </c>
      <c r="J194" s="542" t="s">
        <v>987</v>
      </c>
      <c r="K194" s="542" t="s">
        <v>814</v>
      </c>
      <c r="L194" s="545">
        <v>0</v>
      </c>
      <c r="M194" s="545">
        <v>0</v>
      </c>
      <c r="N194" s="542">
        <v>5</v>
      </c>
      <c r="O194" s="546">
        <v>2.5</v>
      </c>
      <c r="P194" s="545">
        <v>0</v>
      </c>
      <c r="Q194" s="547"/>
      <c r="R194" s="542">
        <v>2</v>
      </c>
      <c r="S194" s="547">
        <v>0.4</v>
      </c>
      <c r="T194" s="546">
        <v>0.5</v>
      </c>
      <c r="U194" s="548">
        <v>0.2</v>
      </c>
    </row>
    <row r="195" spans="1:21" ht="14.4" customHeight="1" x14ac:dyDescent="0.3">
      <c r="A195" s="541">
        <v>27</v>
      </c>
      <c r="B195" s="542" t="s">
        <v>500</v>
      </c>
      <c r="C195" s="542">
        <v>89301273</v>
      </c>
      <c r="D195" s="543" t="s">
        <v>1085</v>
      </c>
      <c r="E195" s="544" t="s">
        <v>519</v>
      </c>
      <c r="F195" s="542" t="s">
        <v>510</v>
      </c>
      <c r="G195" s="542" t="s">
        <v>985</v>
      </c>
      <c r="H195" s="542" t="s">
        <v>455</v>
      </c>
      <c r="I195" s="542" t="s">
        <v>988</v>
      </c>
      <c r="J195" s="542" t="s">
        <v>987</v>
      </c>
      <c r="K195" s="542" t="s">
        <v>814</v>
      </c>
      <c r="L195" s="545">
        <v>0</v>
      </c>
      <c r="M195" s="545">
        <v>0</v>
      </c>
      <c r="N195" s="542">
        <v>1</v>
      </c>
      <c r="O195" s="546">
        <v>0.5</v>
      </c>
      <c r="P195" s="545">
        <v>0</v>
      </c>
      <c r="Q195" s="547"/>
      <c r="R195" s="542">
        <v>1</v>
      </c>
      <c r="S195" s="547">
        <v>1</v>
      </c>
      <c r="T195" s="546">
        <v>0.5</v>
      </c>
      <c r="U195" s="548">
        <v>1</v>
      </c>
    </row>
    <row r="196" spans="1:21" ht="14.4" customHeight="1" x14ac:dyDescent="0.3">
      <c r="A196" s="541">
        <v>27</v>
      </c>
      <c r="B196" s="542" t="s">
        <v>500</v>
      </c>
      <c r="C196" s="542">
        <v>89301273</v>
      </c>
      <c r="D196" s="543" t="s">
        <v>1085</v>
      </c>
      <c r="E196" s="544" t="s">
        <v>519</v>
      </c>
      <c r="F196" s="542" t="s">
        <v>510</v>
      </c>
      <c r="G196" s="542" t="s">
        <v>985</v>
      </c>
      <c r="H196" s="542" t="s">
        <v>455</v>
      </c>
      <c r="I196" s="542" t="s">
        <v>989</v>
      </c>
      <c r="J196" s="542" t="s">
        <v>987</v>
      </c>
      <c r="K196" s="542" t="s">
        <v>814</v>
      </c>
      <c r="L196" s="545">
        <v>0</v>
      </c>
      <c r="M196" s="545">
        <v>0</v>
      </c>
      <c r="N196" s="542">
        <v>2</v>
      </c>
      <c r="O196" s="546">
        <v>0.5</v>
      </c>
      <c r="P196" s="545"/>
      <c r="Q196" s="547"/>
      <c r="R196" s="542"/>
      <c r="S196" s="547">
        <v>0</v>
      </c>
      <c r="T196" s="546"/>
      <c r="U196" s="548">
        <v>0</v>
      </c>
    </row>
    <row r="197" spans="1:21" ht="14.4" customHeight="1" x14ac:dyDescent="0.3">
      <c r="A197" s="541">
        <v>27</v>
      </c>
      <c r="B197" s="542" t="s">
        <v>500</v>
      </c>
      <c r="C197" s="542">
        <v>89301273</v>
      </c>
      <c r="D197" s="543" t="s">
        <v>1085</v>
      </c>
      <c r="E197" s="544" t="s">
        <v>519</v>
      </c>
      <c r="F197" s="542" t="s">
        <v>510</v>
      </c>
      <c r="G197" s="542" t="s">
        <v>990</v>
      </c>
      <c r="H197" s="542" t="s">
        <v>455</v>
      </c>
      <c r="I197" s="542" t="s">
        <v>991</v>
      </c>
      <c r="J197" s="542" t="s">
        <v>992</v>
      </c>
      <c r="K197" s="542" t="s">
        <v>993</v>
      </c>
      <c r="L197" s="545">
        <v>0</v>
      </c>
      <c r="M197" s="545">
        <v>0</v>
      </c>
      <c r="N197" s="542">
        <v>1</v>
      </c>
      <c r="O197" s="546">
        <v>0.5</v>
      </c>
      <c r="P197" s="545"/>
      <c r="Q197" s="547"/>
      <c r="R197" s="542"/>
      <c r="S197" s="547">
        <v>0</v>
      </c>
      <c r="T197" s="546"/>
      <c r="U197" s="548">
        <v>0</v>
      </c>
    </row>
    <row r="198" spans="1:21" ht="14.4" customHeight="1" x14ac:dyDescent="0.3">
      <c r="A198" s="541">
        <v>27</v>
      </c>
      <c r="B198" s="542" t="s">
        <v>500</v>
      </c>
      <c r="C198" s="542">
        <v>89301273</v>
      </c>
      <c r="D198" s="543" t="s">
        <v>1085</v>
      </c>
      <c r="E198" s="544" t="s">
        <v>519</v>
      </c>
      <c r="F198" s="542" t="s">
        <v>510</v>
      </c>
      <c r="G198" s="542" t="s">
        <v>990</v>
      </c>
      <c r="H198" s="542" t="s">
        <v>455</v>
      </c>
      <c r="I198" s="542" t="s">
        <v>994</v>
      </c>
      <c r="J198" s="542" t="s">
        <v>992</v>
      </c>
      <c r="K198" s="542" t="s">
        <v>995</v>
      </c>
      <c r="L198" s="545">
        <v>0</v>
      </c>
      <c r="M198" s="545">
        <v>0</v>
      </c>
      <c r="N198" s="542">
        <v>1</v>
      </c>
      <c r="O198" s="546">
        <v>0.5</v>
      </c>
      <c r="P198" s="545"/>
      <c r="Q198" s="547"/>
      <c r="R198" s="542"/>
      <c r="S198" s="547">
        <v>0</v>
      </c>
      <c r="T198" s="546"/>
      <c r="U198" s="548">
        <v>0</v>
      </c>
    </row>
    <row r="199" spans="1:21" ht="14.4" customHeight="1" x14ac:dyDescent="0.3">
      <c r="A199" s="541">
        <v>27</v>
      </c>
      <c r="B199" s="542" t="s">
        <v>500</v>
      </c>
      <c r="C199" s="542">
        <v>89301273</v>
      </c>
      <c r="D199" s="543" t="s">
        <v>1085</v>
      </c>
      <c r="E199" s="544" t="s">
        <v>519</v>
      </c>
      <c r="F199" s="542" t="s">
        <v>510</v>
      </c>
      <c r="G199" s="542" t="s">
        <v>996</v>
      </c>
      <c r="H199" s="542" t="s">
        <v>455</v>
      </c>
      <c r="I199" s="542" t="s">
        <v>997</v>
      </c>
      <c r="J199" s="542" t="s">
        <v>998</v>
      </c>
      <c r="K199" s="542" t="s">
        <v>999</v>
      </c>
      <c r="L199" s="545">
        <v>0</v>
      </c>
      <c r="M199" s="545">
        <v>0</v>
      </c>
      <c r="N199" s="542">
        <v>1</v>
      </c>
      <c r="O199" s="546">
        <v>1</v>
      </c>
      <c r="P199" s="545"/>
      <c r="Q199" s="547"/>
      <c r="R199" s="542"/>
      <c r="S199" s="547">
        <v>0</v>
      </c>
      <c r="T199" s="546"/>
      <c r="U199" s="548">
        <v>0</v>
      </c>
    </row>
    <row r="200" spans="1:21" ht="14.4" customHeight="1" x14ac:dyDescent="0.3">
      <c r="A200" s="541">
        <v>27</v>
      </c>
      <c r="B200" s="542" t="s">
        <v>500</v>
      </c>
      <c r="C200" s="542">
        <v>89301273</v>
      </c>
      <c r="D200" s="543" t="s">
        <v>1085</v>
      </c>
      <c r="E200" s="544" t="s">
        <v>520</v>
      </c>
      <c r="F200" s="542" t="s">
        <v>510</v>
      </c>
      <c r="G200" s="542" t="s">
        <v>1000</v>
      </c>
      <c r="H200" s="542" t="s">
        <v>455</v>
      </c>
      <c r="I200" s="542" t="s">
        <v>1001</v>
      </c>
      <c r="J200" s="542" t="s">
        <v>1002</v>
      </c>
      <c r="K200" s="542" t="s">
        <v>1003</v>
      </c>
      <c r="L200" s="545">
        <v>89.6</v>
      </c>
      <c r="M200" s="545">
        <v>89.6</v>
      </c>
      <c r="N200" s="542">
        <v>1</v>
      </c>
      <c r="O200" s="546">
        <v>1</v>
      </c>
      <c r="P200" s="545"/>
      <c r="Q200" s="547">
        <v>0</v>
      </c>
      <c r="R200" s="542"/>
      <c r="S200" s="547">
        <v>0</v>
      </c>
      <c r="T200" s="546"/>
      <c r="U200" s="548">
        <v>0</v>
      </c>
    </row>
    <row r="201" spans="1:21" ht="14.4" customHeight="1" x14ac:dyDescent="0.3">
      <c r="A201" s="541">
        <v>27</v>
      </c>
      <c r="B201" s="542" t="s">
        <v>500</v>
      </c>
      <c r="C201" s="542">
        <v>89301273</v>
      </c>
      <c r="D201" s="543" t="s">
        <v>1085</v>
      </c>
      <c r="E201" s="544" t="s">
        <v>520</v>
      </c>
      <c r="F201" s="542" t="s">
        <v>510</v>
      </c>
      <c r="G201" s="542" t="s">
        <v>1000</v>
      </c>
      <c r="H201" s="542" t="s">
        <v>455</v>
      </c>
      <c r="I201" s="542" t="s">
        <v>1001</v>
      </c>
      <c r="J201" s="542" t="s">
        <v>1002</v>
      </c>
      <c r="K201" s="542" t="s">
        <v>1003</v>
      </c>
      <c r="L201" s="545">
        <v>95.25</v>
      </c>
      <c r="M201" s="545">
        <v>190.5</v>
      </c>
      <c r="N201" s="542">
        <v>2</v>
      </c>
      <c r="O201" s="546">
        <v>1</v>
      </c>
      <c r="P201" s="545"/>
      <c r="Q201" s="547">
        <v>0</v>
      </c>
      <c r="R201" s="542"/>
      <c r="S201" s="547">
        <v>0</v>
      </c>
      <c r="T201" s="546"/>
      <c r="U201" s="548">
        <v>0</v>
      </c>
    </row>
    <row r="202" spans="1:21" ht="14.4" customHeight="1" x14ac:dyDescent="0.3">
      <c r="A202" s="541">
        <v>27</v>
      </c>
      <c r="B202" s="542" t="s">
        <v>500</v>
      </c>
      <c r="C202" s="542">
        <v>89301273</v>
      </c>
      <c r="D202" s="543" t="s">
        <v>1085</v>
      </c>
      <c r="E202" s="544" t="s">
        <v>520</v>
      </c>
      <c r="F202" s="542" t="s">
        <v>510</v>
      </c>
      <c r="G202" s="542" t="s">
        <v>1004</v>
      </c>
      <c r="H202" s="542" t="s">
        <v>455</v>
      </c>
      <c r="I202" s="542" t="s">
        <v>1005</v>
      </c>
      <c r="J202" s="542" t="s">
        <v>1006</v>
      </c>
      <c r="K202" s="542" t="s">
        <v>601</v>
      </c>
      <c r="L202" s="545">
        <v>0</v>
      </c>
      <c r="M202" s="545">
        <v>0</v>
      </c>
      <c r="N202" s="542">
        <v>2</v>
      </c>
      <c r="O202" s="546">
        <v>1</v>
      </c>
      <c r="P202" s="545"/>
      <c r="Q202" s="547"/>
      <c r="R202" s="542"/>
      <c r="S202" s="547">
        <v>0</v>
      </c>
      <c r="T202" s="546"/>
      <c r="U202" s="548">
        <v>0</v>
      </c>
    </row>
    <row r="203" spans="1:21" ht="14.4" customHeight="1" x14ac:dyDescent="0.3">
      <c r="A203" s="541">
        <v>27</v>
      </c>
      <c r="B203" s="542" t="s">
        <v>500</v>
      </c>
      <c r="C203" s="542">
        <v>89301273</v>
      </c>
      <c r="D203" s="543" t="s">
        <v>1085</v>
      </c>
      <c r="E203" s="544" t="s">
        <v>520</v>
      </c>
      <c r="F203" s="542" t="s">
        <v>510</v>
      </c>
      <c r="G203" s="542" t="s">
        <v>525</v>
      </c>
      <c r="H203" s="542" t="s">
        <v>495</v>
      </c>
      <c r="I203" s="542" t="s">
        <v>1007</v>
      </c>
      <c r="J203" s="542" t="s">
        <v>1008</v>
      </c>
      <c r="K203" s="542" t="s">
        <v>1009</v>
      </c>
      <c r="L203" s="545">
        <v>217.65</v>
      </c>
      <c r="M203" s="545">
        <v>1088.25</v>
      </c>
      <c r="N203" s="542">
        <v>5</v>
      </c>
      <c r="O203" s="546">
        <v>4</v>
      </c>
      <c r="P203" s="545">
        <v>435.3</v>
      </c>
      <c r="Q203" s="547">
        <v>0.4</v>
      </c>
      <c r="R203" s="542">
        <v>2</v>
      </c>
      <c r="S203" s="547">
        <v>0.4</v>
      </c>
      <c r="T203" s="546">
        <v>1.5</v>
      </c>
      <c r="U203" s="548">
        <v>0.375</v>
      </c>
    </row>
    <row r="204" spans="1:21" ht="14.4" customHeight="1" x14ac:dyDescent="0.3">
      <c r="A204" s="541">
        <v>27</v>
      </c>
      <c r="B204" s="542" t="s">
        <v>500</v>
      </c>
      <c r="C204" s="542">
        <v>89301273</v>
      </c>
      <c r="D204" s="543" t="s">
        <v>1085</v>
      </c>
      <c r="E204" s="544" t="s">
        <v>520</v>
      </c>
      <c r="F204" s="542" t="s">
        <v>510</v>
      </c>
      <c r="G204" s="542" t="s">
        <v>1010</v>
      </c>
      <c r="H204" s="542" t="s">
        <v>495</v>
      </c>
      <c r="I204" s="542" t="s">
        <v>1011</v>
      </c>
      <c r="J204" s="542" t="s">
        <v>1012</v>
      </c>
      <c r="K204" s="542" t="s">
        <v>1013</v>
      </c>
      <c r="L204" s="545">
        <v>146.63</v>
      </c>
      <c r="M204" s="545">
        <v>146.63</v>
      </c>
      <c r="N204" s="542">
        <v>1</v>
      </c>
      <c r="O204" s="546">
        <v>0.5</v>
      </c>
      <c r="P204" s="545"/>
      <c r="Q204" s="547">
        <v>0</v>
      </c>
      <c r="R204" s="542"/>
      <c r="S204" s="547">
        <v>0</v>
      </c>
      <c r="T204" s="546"/>
      <c r="U204" s="548">
        <v>0</v>
      </c>
    </row>
    <row r="205" spans="1:21" ht="14.4" customHeight="1" x14ac:dyDescent="0.3">
      <c r="A205" s="541">
        <v>27</v>
      </c>
      <c r="B205" s="542" t="s">
        <v>500</v>
      </c>
      <c r="C205" s="542">
        <v>89301273</v>
      </c>
      <c r="D205" s="543" t="s">
        <v>1085</v>
      </c>
      <c r="E205" s="544" t="s">
        <v>520</v>
      </c>
      <c r="F205" s="542" t="s">
        <v>510</v>
      </c>
      <c r="G205" s="542" t="s">
        <v>533</v>
      </c>
      <c r="H205" s="542" t="s">
        <v>455</v>
      </c>
      <c r="I205" s="542" t="s">
        <v>1014</v>
      </c>
      <c r="J205" s="542" t="s">
        <v>1015</v>
      </c>
      <c r="K205" s="542" t="s">
        <v>1016</v>
      </c>
      <c r="L205" s="545">
        <v>31.43</v>
      </c>
      <c r="M205" s="545">
        <v>31.43</v>
      </c>
      <c r="N205" s="542">
        <v>1</v>
      </c>
      <c r="O205" s="546">
        <v>1</v>
      </c>
      <c r="P205" s="545"/>
      <c r="Q205" s="547">
        <v>0</v>
      </c>
      <c r="R205" s="542"/>
      <c r="S205" s="547">
        <v>0</v>
      </c>
      <c r="T205" s="546"/>
      <c r="U205" s="548">
        <v>0</v>
      </c>
    </row>
    <row r="206" spans="1:21" ht="14.4" customHeight="1" x14ac:dyDescent="0.3">
      <c r="A206" s="541">
        <v>27</v>
      </c>
      <c r="B206" s="542" t="s">
        <v>500</v>
      </c>
      <c r="C206" s="542">
        <v>89301273</v>
      </c>
      <c r="D206" s="543" t="s">
        <v>1085</v>
      </c>
      <c r="E206" s="544" t="s">
        <v>520</v>
      </c>
      <c r="F206" s="542" t="s">
        <v>510</v>
      </c>
      <c r="G206" s="542" t="s">
        <v>533</v>
      </c>
      <c r="H206" s="542" t="s">
        <v>495</v>
      </c>
      <c r="I206" s="542" t="s">
        <v>1017</v>
      </c>
      <c r="J206" s="542" t="s">
        <v>1018</v>
      </c>
      <c r="K206" s="542" t="s">
        <v>536</v>
      </c>
      <c r="L206" s="545">
        <v>44.89</v>
      </c>
      <c r="M206" s="545">
        <v>134.67000000000002</v>
      </c>
      <c r="N206" s="542">
        <v>3</v>
      </c>
      <c r="O206" s="546">
        <v>0.5</v>
      </c>
      <c r="P206" s="545">
        <v>134.67000000000002</v>
      </c>
      <c r="Q206" s="547">
        <v>1</v>
      </c>
      <c r="R206" s="542">
        <v>3</v>
      </c>
      <c r="S206" s="547">
        <v>1</v>
      </c>
      <c r="T206" s="546">
        <v>0.5</v>
      </c>
      <c r="U206" s="548">
        <v>1</v>
      </c>
    </row>
    <row r="207" spans="1:21" ht="14.4" customHeight="1" x14ac:dyDescent="0.3">
      <c r="A207" s="541">
        <v>27</v>
      </c>
      <c r="B207" s="542" t="s">
        <v>500</v>
      </c>
      <c r="C207" s="542">
        <v>89301273</v>
      </c>
      <c r="D207" s="543" t="s">
        <v>1085</v>
      </c>
      <c r="E207" s="544" t="s">
        <v>520</v>
      </c>
      <c r="F207" s="542" t="s">
        <v>510</v>
      </c>
      <c r="G207" s="542" t="s">
        <v>533</v>
      </c>
      <c r="H207" s="542" t="s">
        <v>455</v>
      </c>
      <c r="I207" s="542" t="s">
        <v>534</v>
      </c>
      <c r="J207" s="542" t="s">
        <v>535</v>
      </c>
      <c r="K207" s="542" t="s">
        <v>536</v>
      </c>
      <c r="L207" s="545">
        <v>44.89</v>
      </c>
      <c r="M207" s="545">
        <v>89.78</v>
      </c>
      <c r="N207" s="542">
        <v>2</v>
      </c>
      <c r="O207" s="546">
        <v>1</v>
      </c>
      <c r="P207" s="545"/>
      <c r="Q207" s="547">
        <v>0</v>
      </c>
      <c r="R207" s="542"/>
      <c r="S207" s="547">
        <v>0</v>
      </c>
      <c r="T207" s="546"/>
      <c r="U207" s="548">
        <v>0</v>
      </c>
    </row>
    <row r="208" spans="1:21" ht="14.4" customHeight="1" x14ac:dyDescent="0.3">
      <c r="A208" s="541">
        <v>27</v>
      </c>
      <c r="B208" s="542" t="s">
        <v>500</v>
      </c>
      <c r="C208" s="542">
        <v>89301273</v>
      </c>
      <c r="D208" s="543" t="s">
        <v>1085</v>
      </c>
      <c r="E208" s="544" t="s">
        <v>520</v>
      </c>
      <c r="F208" s="542" t="s">
        <v>510</v>
      </c>
      <c r="G208" s="542" t="s">
        <v>1019</v>
      </c>
      <c r="H208" s="542" t="s">
        <v>455</v>
      </c>
      <c r="I208" s="542" t="s">
        <v>1020</v>
      </c>
      <c r="J208" s="542" t="s">
        <v>1021</v>
      </c>
      <c r="K208" s="542" t="s">
        <v>1022</v>
      </c>
      <c r="L208" s="545">
        <v>553.65</v>
      </c>
      <c r="M208" s="545">
        <v>553.65</v>
      </c>
      <c r="N208" s="542">
        <v>1</v>
      </c>
      <c r="O208" s="546">
        <v>0.5</v>
      </c>
      <c r="P208" s="545">
        <v>553.65</v>
      </c>
      <c r="Q208" s="547">
        <v>1</v>
      </c>
      <c r="R208" s="542">
        <v>1</v>
      </c>
      <c r="S208" s="547">
        <v>1</v>
      </c>
      <c r="T208" s="546">
        <v>0.5</v>
      </c>
      <c r="U208" s="548">
        <v>1</v>
      </c>
    </row>
    <row r="209" spans="1:21" ht="14.4" customHeight="1" x14ac:dyDescent="0.3">
      <c r="A209" s="541">
        <v>27</v>
      </c>
      <c r="B209" s="542" t="s">
        <v>500</v>
      </c>
      <c r="C209" s="542">
        <v>89301273</v>
      </c>
      <c r="D209" s="543" t="s">
        <v>1085</v>
      </c>
      <c r="E209" s="544" t="s">
        <v>520</v>
      </c>
      <c r="F209" s="542" t="s">
        <v>510</v>
      </c>
      <c r="G209" s="542" t="s">
        <v>541</v>
      </c>
      <c r="H209" s="542" t="s">
        <v>455</v>
      </c>
      <c r="I209" s="542" t="s">
        <v>542</v>
      </c>
      <c r="J209" s="542" t="s">
        <v>543</v>
      </c>
      <c r="K209" s="542" t="s">
        <v>544</v>
      </c>
      <c r="L209" s="545">
        <v>115.3</v>
      </c>
      <c r="M209" s="545">
        <v>115.3</v>
      </c>
      <c r="N209" s="542">
        <v>1</v>
      </c>
      <c r="O209" s="546">
        <v>1</v>
      </c>
      <c r="P209" s="545">
        <v>115.3</v>
      </c>
      <c r="Q209" s="547">
        <v>1</v>
      </c>
      <c r="R209" s="542">
        <v>1</v>
      </c>
      <c r="S209" s="547">
        <v>1</v>
      </c>
      <c r="T209" s="546">
        <v>1</v>
      </c>
      <c r="U209" s="548">
        <v>1</v>
      </c>
    </row>
    <row r="210" spans="1:21" ht="14.4" customHeight="1" x14ac:dyDescent="0.3">
      <c r="A210" s="541">
        <v>27</v>
      </c>
      <c r="B210" s="542" t="s">
        <v>500</v>
      </c>
      <c r="C210" s="542">
        <v>89301273</v>
      </c>
      <c r="D210" s="543" t="s">
        <v>1085</v>
      </c>
      <c r="E210" s="544" t="s">
        <v>520</v>
      </c>
      <c r="F210" s="542" t="s">
        <v>510</v>
      </c>
      <c r="G210" s="542" t="s">
        <v>553</v>
      </c>
      <c r="H210" s="542" t="s">
        <v>455</v>
      </c>
      <c r="I210" s="542" t="s">
        <v>554</v>
      </c>
      <c r="J210" s="542" t="s">
        <v>555</v>
      </c>
      <c r="K210" s="542" t="s">
        <v>556</v>
      </c>
      <c r="L210" s="545">
        <v>163.9</v>
      </c>
      <c r="M210" s="545">
        <v>1475.1000000000001</v>
      </c>
      <c r="N210" s="542">
        <v>9</v>
      </c>
      <c r="O210" s="546">
        <v>1.5</v>
      </c>
      <c r="P210" s="545"/>
      <c r="Q210" s="547">
        <v>0</v>
      </c>
      <c r="R210" s="542"/>
      <c r="S210" s="547">
        <v>0</v>
      </c>
      <c r="T210" s="546"/>
      <c r="U210" s="548">
        <v>0</v>
      </c>
    </row>
    <row r="211" spans="1:21" ht="14.4" customHeight="1" x14ac:dyDescent="0.3">
      <c r="A211" s="541">
        <v>27</v>
      </c>
      <c r="B211" s="542" t="s">
        <v>500</v>
      </c>
      <c r="C211" s="542">
        <v>89301273</v>
      </c>
      <c r="D211" s="543" t="s">
        <v>1085</v>
      </c>
      <c r="E211" s="544" t="s">
        <v>520</v>
      </c>
      <c r="F211" s="542" t="s">
        <v>510</v>
      </c>
      <c r="G211" s="542" t="s">
        <v>1023</v>
      </c>
      <c r="H211" s="542" t="s">
        <v>455</v>
      </c>
      <c r="I211" s="542" t="s">
        <v>1024</v>
      </c>
      <c r="J211" s="542" t="s">
        <v>1025</v>
      </c>
      <c r="K211" s="542" t="s">
        <v>1026</v>
      </c>
      <c r="L211" s="545">
        <v>31.95</v>
      </c>
      <c r="M211" s="545">
        <v>159.75</v>
      </c>
      <c r="N211" s="542">
        <v>5</v>
      </c>
      <c r="O211" s="546">
        <v>0.5</v>
      </c>
      <c r="P211" s="545">
        <v>159.75</v>
      </c>
      <c r="Q211" s="547">
        <v>1</v>
      </c>
      <c r="R211" s="542">
        <v>5</v>
      </c>
      <c r="S211" s="547">
        <v>1</v>
      </c>
      <c r="T211" s="546">
        <v>0.5</v>
      </c>
      <c r="U211" s="548">
        <v>1</v>
      </c>
    </row>
    <row r="212" spans="1:21" ht="14.4" customHeight="1" x14ac:dyDescent="0.3">
      <c r="A212" s="541">
        <v>27</v>
      </c>
      <c r="B212" s="542" t="s">
        <v>500</v>
      </c>
      <c r="C212" s="542">
        <v>89301273</v>
      </c>
      <c r="D212" s="543" t="s">
        <v>1085</v>
      </c>
      <c r="E212" s="544" t="s">
        <v>520</v>
      </c>
      <c r="F212" s="542" t="s">
        <v>510</v>
      </c>
      <c r="G212" s="542" t="s">
        <v>857</v>
      </c>
      <c r="H212" s="542" t="s">
        <v>455</v>
      </c>
      <c r="I212" s="542" t="s">
        <v>858</v>
      </c>
      <c r="J212" s="542" t="s">
        <v>859</v>
      </c>
      <c r="K212" s="542" t="s">
        <v>860</v>
      </c>
      <c r="L212" s="545">
        <v>159.79</v>
      </c>
      <c r="M212" s="545">
        <v>159.79</v>
      </c>
      <c r="N212" s="542">
        <v>1</v>
      </c>
      <c r="O212" s="546">
        <v>1</v>
      </c>
      <c r="P212" s="545">
        <v>159.79</v>
      </c>
      <c r="Q212" s="547">
        <v>1</v>
      </c>
      <c r="R212" s="542">
        <v>1</v>
      </c>
      <c r="S212" s="547">
        <v>1</v>
      </c>
      <c r="T212" s="546">
        <v>1</v>
      </c>
      <c r="U212" s="548">
        <v>1</v>
      </c>
    </row>
    <row r="213" spans="1:21" ht="14.4" customHeight="1" x14ac:dyDescent="0.3">
      <c r="A213" s="541">
        <v>27</v>
      </c>
      <c r="B213" s="542" t="s">
        <v>500</v>
      </c>
      <c r="C213" s="542">
        <v>89301273</v>
      </c>
      <c r="D213" s="543" t="s">
        <v>1085</v>
      </c>
      <c r="E213" s="544" t="s">
        <v>520</v>
      </c>
      <c r="F213" s="542" t="s">
        <v>510</v>
      </c>
      <c r="G213" s="542" t="s">
        <v>857</v>
      </c>
      <c r="H213" s="542" t="s">
        <v>455</v>
      </c>
      <c r="I213" s="542" t="s">
        <v>861</v>
      </c>
      <c r="J213" s="542" t="s">
        <v>859</v>
      </c>
      <c r="K213" s="542" t="s">
        <v>862</v>
      </c>
      <c r="L213" s="545">
        <v>47.94</v>
      </c>
      <c r="M213" s="545">
        <v>143.82</v>
      </c>
      <c r="N213" s="542">
        <v>3</v>
      </c>
      <c r="O213" s="546">
        <v>2</v>
      </c>
      <c r="P213" s="545">
        <v>143.82</v>
      </c>
      <c r="Q213" s="547">
        <v>1</v>
      </c>
      <c r="R213" s="542">
        <v>3</v>
      </c>
      <c r="S213" s="547">
        <v>1</v>
      </c>
      <c r="T213" s="546">
        <v>2</v>
      </c>
      <c r="U213" s="548">
        <v>1</v>
      </c>
    </row>
    <row r="214" spans="1:21" ht="14.4" customHeight="1" x14ac:dyDescent="0.3">
      <c r="A214" s="541">
        <v>27</v>
      </c>
      <c r="B214" s="542" t="s">
        <v>500</v>
      </c>
      <c r="C214" s="542">
        <v>89301273</v>
      </c>
      <c r="D214" s="543" t="s">
        <v>1085</v>
      </c>
      <c r="E214" s="544" t="s">
        <v>520</v>
      </c>
      <c r="F214" s="542" t="s">
        <v>510</v>
      </c>
      <c r="G214" s="542" t="s">
        <v>1027</v>
      </c>
      <c r="H214" s="542" t="s">
        <v>455</v>
      </c>
      <c r="I214" s="542" t="s">
        <v>1028</v>
      </c>
      <c r="J214" s="542" t="s">
        <v>1029</v>
      </c>
      <c r="K214" s="542" t="s">
        <v>1030</v>
      </c>
      <c r="L214" s="545">
        <v>55.38</v>
      </c>
      <c r="M214" s="545">
        <v>166.14000000000001</v>
      </c>
      <c r="N214" s="542">
        <v>3</v>
      </c>
      <c r="O214" s="546">
        <v>0.5</v>
      </c>
      <c r="P214" s="545">
        <v>166.14000000000001</v>
      </c>
      <c r="Q214" s="547">
        <v>1</v>
      </c>
      <c r="R214" s="542">
        <v>3</v>
      </c>
      <c r="S214" s="547">
        <v>1</v>
      </c>
      <c r="T214" s="546">
        <v>0.5</v>
      </c>
      <c r="U214" s="548">
        <v>1</v>
      </c>
    </row>
    <row r="215" spans="1:21" ht="14.4" customHeight="1" x14ac:dyDescent="0.3">
      <c r="A215" s="541">
        <v>27</v>
      </c>
      <c r="B215" s="542" t="s">
        <v>500</v>
      </c>
      <c r="C215" s="542">
        <v>89301273</v>
      </c>
      <c r="D215" s="543" t="s">
        <v>1085</v>
      </c>
      <c r="E215" s="544" t="s">
        <v>520</v>
      </c>
      <c r="F215" s="542" t="s">
        <v>510</v>
      </c>
      <c r="G215" s="542" t="s">
        <v>1031</v>
      </c>
      <c r="H215" s="542" t="s">
        <v>455</v>
      </c>
      <c r="I215" s="542" t="s">
        <v>191</v>
      </c>
      <c r="J215" s="542" t="s">
        <v>1032</v>
      </c>
      <c r="K215" s="542"/>
      <c r="L215" s="545">
        <v>0</v>
      </c>
      <c r="M215" s="545">
        <v>0</v>
      </c>
      <c r="N215" s="542">
        <v>3</v>
      </c>
      <c r="O215" s="546">
        <v>0.5</v>
      </c>
      <c r="P215" s="545"/>
      <c r="Q215" s="547"/>
      <c r="R215" s="542"/>
      <c r="S215" s="547">
        <v>0</v>
      </c>
      <c r="T215" s="546"/>
      <c r="U215" s="548">
        <v>0</v>
      </c>
    </row>
    <row r="216" spans="1:21" ht="14.4" customHeight="1" x14ac:dyDescent="0.3">
      <c r="A216" s="541">
        <v>27</v>
      </c>
      <c r="B216" s="542" t="s">
        <v>500</v>
      </c>
      <c r="C216" s="542">
        <v>89301273</v>
      </c>
      <c r="D216" s="543" t="s">
        <v>1085</v>
      </c>
      <c r="E216" s="544" t="s">
        <v>520</v>
      </c>
      <c r="F216" s="542" t="s">
        <v>510</v>
      </c>
      <c r="G216" s="542" t="s">
        <v>1031</v>
      </c>
      <c r="H216" s="542" t="s">
        <v>455</v>
      </c>
      <c r="I216" s="542" t="s">
        <v>1033</v>
      </c>
      <c r="J216" s="542" t="s">
        <v>1032</v>
      </c>
      <c r="K216" s="542"/>
      <c r="L216" s="545">
        <v>0</v>
      </c>
      <c r="M216" s="545">
        <v>0</v>
      </c>
      <c r="N216" s="542">
        <v>1</v>
      </c>
      <c r="O216" s="546">
        <v>0.5</v>
      </c>
      <c r="P216" s="545"/>
      <c r="Q216" s="547"/>
      <c r="R216" s="542"/>
      <c r="S216" s="547">
        <v>0</v>
      </c>
      <c r="T216" s="546"/>
      <c r="U216" s="548">
        <v>0</v>
      </c>
    </row>
    <row r="217" spans="1:21" ht="14.4" customHeight="1" x14ac:dyDescent="0.3">
      <c r="A217" s="541">
        <v>27</v>
      </c>
      <c r="B217" s="542" t="s">
        <v>500</v>
      </c>
      <c r="C217" s="542">
        <v>89301273</v>
      </c>
      <c r="D217" s="543" t="s">
        <v>1085</v>
      </c>
      <c r="E217" s="544" t="s">
        <v>520</v>
      </c>
      <c r="F217" s="542" t="s">
        <v>510</v>
      </c>
      <c r="G217" s="542" t="s">
        <v>899</v>
      </c>
      <c r="H217" s="542" t="s">
        <v>455</v>
      </c>
      <c r="I217" s="542" t="s">
        <v>900</v>
      </c>
      <c r="J217" s="542" t="s">
        <v>901</v>
      </c>
      <c r="K217" s="542" t="s">
        <v>698</v>
      </c>
      <c r="L217" s="545">
        <v>0</v>
      </c>
      <c r="M217" s="545">
        <v>0</v>
      </c>
      <c r="N217" s="542">
        <v>3</v>
      </c>
      <c r="O217" s="546">
        <v>0.5</v>
      </c>
      <c r="P217" s="545">
        <v>0</v>
      </c>
      <c r="Q217" s="547"/>
      <c r="R217" s="542">
        <v>3</v>
      </c>
      <c r="S217" s="547">
        <v>1</v>
      </c>
      <c r="T217" s="546">
        <v>0.5</v>
      </c>
      <c r="U217" s="548">
        <v>1</v>
      </c>
    </row>
    <row r="218" spans="1:21" ht="14.4" customHeight="1" x14ac:dyDescent="0.3">
      <c r="A218" s="541">
        <v>27</v>
      </c>
      <c r="B218" s="542" t="s">
        <v>500</v>
      </c>
      <c r="C218" s="542">
        <v>89301273</v>
      </c>
      <c r="D218" s="543" t="s">
        <v>1085</v>
      </c>
      <c r="E218" s="544" t="s">
        <v>520</v>
      </c>
      <c r="F218" s="542" t="s">
        <v>510</v>
      </c>
      <c r="G218" s="542" t="s">
        <v>899</v>
      </c>
      <c r="H218" s="542" t="s">
        <v>455</v>
      </c>
      <c r="I218" s="542" t="s">
        <v>1034</v>
      </c>
      <c r="J218" s="542" t="s">
        <v>901</v>
      </c>
      <c r="K218" s="542" t="s">
        <v>1035</v>
      </c>
      <c r="L218" s="545">
        <v>34.31</v>
      </c>
      <c r="M218" s="545">
        <v>68.62</v>
      </c>
      <c r="N218" s="542">
        <v>2</v>
      </c>
      <c r="O218" s="546">
        <v>1</v>
      </c>
      <c r="P218" s="545"/>
      <c r="Q218" s="547">
        <v>0</v>
      </c>
      <c r="R218" s="542"/>
      <c r="S218" s="547">
        <v>0</v>
      </c>
      <c r="T218" s="546"/>
      <c r="U218" s="548">
        <v>0</v>
      </c>
    </row>
    <row r="219" spans="1:21" ht="14.4" customHeight="1" x14ac:dyDescent="0.3">
      <c r="A219" s="541">
        <v>27</v>
      </c>
      <c r="B219" s="542" t="s">
        <v>500</v>
      </c>
      <c r="C219" s="542">
        <v>89301273</v>
      </c>
      <c r="D219" s="543" t="s">
        <v>1085</v>
      </c>
      <c r="E219" s="544" t="s">
        <v>520</v>
      </c>
      <c r="F219" s="542" t="s">
        <v>510</v>
      </c>
      <c r="G219" s="542" t="s">
        <v>899</v>
      </c>
      <c r="H219" s="542" t="s">
        <v>455</v>
      </c>
      <c r="I219" s="542" t="s">
        <v>1034</v>
      </c>
      <c r="J219" s="542" t="s">
        <v>901</v>
      </c>
      <c r="K219" s="542" t="s">
        <v>1035</v>
      </c>
      <c r="L219" s="545">
        <v>30.88</v>
      </c>
      <c r="M219" s="545">
        <v>61.76</v>
      </c>
      <c r="N219" s="542">
        <v>2</v>
      </c>
      <c r="O219" s="546">
        <v>0.5</v>
      </c>
      <c r="P219" s="545"/>
      <c r="Q219" s="547">
        <v>0</v>
      </c>
      <c r="R219" s="542"/>
      <c r="S219" s="547">
        <v>0</v>
      </c>
      <c r="T219" s="546"/>
      <c r="U219" s="548">
        <v>0</v>
      </c>
    </row>
    <row r="220" spans="1:21" ht="14.4" customHeight="1" x14ac:dyDescent="0.3">
      <c r="A220" s="541">
        <v>27</v>
      </c>
      <c r="B220" s="542" t="s">
        <v>500</v>
      </c>
      <c r="C220" s="542">
        <v>89301273</v>
      </c>
      <c r="D220" s="543" t="s">
        <v>1085</v>
      </c>
      <c r="E220" s="544" t="s">
        <v>520</v>
      </c>
      <c r="F220" s="542" t="s">
        <v>510</v>
      </c>
      <c r="G220" s="542" t="s">
        <v>1036</v>
      </c>
      <c r="H220" s="542" t="s">
        <v>455</v>
      </c>
      <c r="I220" s="542" t="s">
        <v>1037</v>
      </c>
      <c r="J220" s="542" t="s">
        <v>1038</v>
      </c>
      <c r="K220" s="542" t="s">
        <v>1039</v>
      </c>
      <c r="L220" s="545">
        <v>0</v>
      </c>
      <c r="M220" s="545">
        <v>0</v>
      </c>
      <c r="N220" s="542">
        <v>3</v>
      </c>
      <c r="O220" s="546">
        <v>1</v>
      </c>
      <c r="P220" s="545"/>
      <c r="Q220" s="547"/>
      <c r="R220" s="542"/>
      <c r="S220" s="547">
        <v>0</v>
      </c>
      <c r="T220" s="546"/>
      <c r="U220" s="548">
        <v>0</v>
      </c>
    </row>
    <row r="221" spans="1:21" ht="14.4" customHeight="1" x14ac:dyDescent="0.3">
      <c r="A221" s="541">
        <v>27</v>
      </c>
      <c r="B221" s="542" t="s">
        <v>500</v>
      </c>
      <c r="C221" s="542">
        <v>89301273</v>
      </c>
      <c r="D221" s="543" t="s">
        <v>1085</v>
      </c>
      <c r="E221" s="544" t="s">
        <v>520</v>
      </c>
      <c r="F221" s="542" t="s">
        <v>510</v>
      </c>
      <c r="G221" s="542" t="s">
        <v>1040</v>
      </c>
      <c r="H221" s="542" t="s">
        <v>455</v>
      </c>
      <c r="I221" s="542" t="s">
        <v>1041</v>
      </c>
      <c r="J221" s="542" t="s">
        <v>1042</v>
      </c>
      <c r="K221" s="542" t="s">
        <v>1043</v>
      </c>
      <c r="L221" s="545">
        <v>0</v>
      </c>
      <c r="M221" s="545">
        <v>0</v>
      </c>
      <c r="N221" s="542">
        <v>1</v>
      </c>
      <c r="O221" s="546">
        <v>0.5</v>
      </c>
      <c r="P221" s="545">
        <v>0</v>
      </c>
      <c r="Q221" s="547"/>
      <c r="R221" s="542">
        <v>1</v>
      </c>
      <c r="S221" s="547">
        <v>1</v>
      </c>
      <c r="T221" s="546">
        <v>0.5</v>
      </c>
      <c r="U221" s="548">
        <v>1</v>
      </c>
    </row>
    <row r="222" spans="1:21" ht="14.4" customHeight="1" x14ac:dyDescent="0.3">
      <c r="A222" s="541">
        <v>27</v>
      </c>
      <c r="B222" s="542" t="s">
        <v>500</v>
      </c>
      <c r="C222" s="542">
        <v>89301273</v>
      </c>
      <c r="D222" s="543" t="s">
        <v>1085</v>
      </c>
      <c r="E222" s="544" t="s">
        <v>520</v>
      </c>
      <c r="F222" s="542" t="s">
        <v>510</v>
      </c>
      <c r="G222" s="542" t="s">
        <v>590</v>
      </c>
      <c r="H222" s="542" t="s">
        <v>495</v>
      </c>
      <c r="I222" s="542" t="s">
        <v>1044</v>
      </c>
      <c r="J222" s="542" t="s">
        <v>1045</v>
      </c>
      <c r="K222" s="542" t="s">
        <v>544</v>
      </c>
      <c r="L222" s="545">
        <v>53.16</v>
      </c>
      <c r="M222" s="545">
        <v>159.47999999999999</v>
      </c>
      <c r="N222" s="542">
        <v>3</v>
      </c>
      <c r="O222" s="546">
        <v>0.5</v>
      </c>
      <c r="P222" s="545">
        <v>159.47999999999999</v>
      </c>
      <c r="Q222" s="547">
        <v>1</v>
      </c>
      <c r="R222" s="542">
        <v>3</v>
      </c>
      <c r="S222" s="547">
        <v>1</v>
      </c>
      <c r="T222" s="546">
        <v>0.5</v>
      </c>
      <c r="U222" s="548">
        <v>1</v>
      </c>
    </row>
    <row r="223" spans="1:21" ht="14.4" customHeight="1" x14ac:dyDescent="0.3">
      <c r="A223" s="541">
        <v>27</v>
      </c>
      <c r="B223" s="542" t="s">
        <v>500</v>
      </c>
      <c r="C223" s="542">
        <v>89301273</v>
      </c>
      <c r="D223" s="543" t="s">
        <v>1085</v>
      </c>
      <c r="E223" s="544" t="s">
        <v>520</v>
      </c>
      <c r="F223" s="542" t="s">
        <v>510</v>
      </c>
      <c r="G223" s="542" t="s">
        <v>634</v>
      </c>
      <c r="H223" s="542" t="s">
        <v>455</v>
      </c>
      <c r="I223" s="542" t="s">
        <v>1046</v>
      </c>
      <c r="J223" s="542" t="s">
        <v>1047</v>
      </c>
      <c r="K223" s="542" t="s">
        <v>1048</v>
      </c>
      <c r="L223" s="545">
        <v>342.89</v>
      </c>
      <c r="M223" s="545">
        <v>1371.56</v>
      </c>
      <c r="N223" s="542">
        <v>4</v>
      </c>
      <c r="O223" s="546">
        <v>2</v>
      </c>
      <c r="P223" s="545">
        <v>1028.67</v>
      </c>
      <c r="Q223" s="547">
        <v>0.75000000000000011</v>
      </c>
      <c r="R223" s="542">
        <v>3</v>
      </c>
      <c r="S223" s="547">
        <v>0.75</v>
      </c>
      <c r="T223" s="546">
        <v>1.5</v>
      </c>
      <c r="U223" s="548">
        <v>0.75</v>
      </c>
    </row>
    <row r="224" spans="1:21" ht="14.4" customHeight="1" x14ac:dyDescent="0.3">
      <c r="A224" s="541">
        <v>27</v>
      </c>
      <c r="B224" s="542" t="s">
        <v>500</v>
      </c>
      <c r="C224" s="542">
        <v>89301273</v>
      </c>
      <c r="D224" s="543" t="s">
        <v>1085</v>
      </c>
      <c r="E224" s="544" t="s">
        <v>520</v>
      </c>
      <c r="F224" s="542" t="s">
        <v>510</v>
      </c>
      <c r="G224" s="542" t="s">
        <v>634</v>
      </c>
      <c r="H224" s="542" t="s">
        <v>455</v>
      </c>
      <c r="I224" s="542" t="s">
        <v>1049</v>
      </c>
      <c r="J224" s="542" t="s">
        <v>1050</v>
      </c>
      <c r="K224" s="542" t="s">
        <v>1051</v>
      </c>
      <c r="L224" s="545">
        <v>314.89999999999998</v>
      </c>
      <c r="M224" s="545">
        <v>314.89999999999998</v>
      </c>
      <c r="N224" s="542">
        <v>1</v>
      </c>
      <c r="O224" s="546">
        <v>0.5</v>
      </c>
      <c r="P224" s="545">
        <v>314.89999999999998</v>
      </c>
      <c r="Q224" s="547">
        <v>1</v>
      </c>
      <c r="R224" s="542">
        <v>1</v>
      </c>
      <c r="S224" s="547">
        <v>1</v>
      </c>
      <c r="T224" s="546">
        <v>0.5</v>
      </c>
      <c r="U224" s="548">
        <v>1</v>
      </c>
    </row>
    <row r="225" spans="1:21" ht="14.4" customHeight="1" x14ac:dyDescent="0.3">
      <c r="A225" s="541">
        <v>27</v>
      </c>
      <c r="B225" s="542" t="s">
        <v>500</v>
      </c>
      <c r="C225" s="542">
        <v>89301273</v>
      </c>
      <c r="D225" s="543" t="s">
        <v>1085</v>
      </c>
      <c r="E225" s="544" t="s">
        <v>520</v>
      </c>
      <c r="F225" s="542" t="s">
        <v>510</v>
      </c>
      <c r="G225" s="542" t="s">
        <v>939</v>
      </c>
      <c r="H225" s="542" t="s">
        <v>495</v>
      </c>
      <c r="I225" s="542" t="s">
        <v>940</v>
      </c>
      <c r="J225" s="542" t="s">
        <v>941</v>
      </c>
      <c r="K225" s="542" t="s">
        <v>942</v>
      </c>
      <c r="L225" s="545">
        <v>481.8</v>
      </c>
      <c r="M225" s="545">
        <v>3372.6000000000004</v>
      </c>
      <c r="N225" s="542">
        <v>7</v>
      </c>
      <c r="O225" s="546">
        <v>5</v>
      </c>
      <c r="P225" s="545">
        <v>1445.4</v>
      </c>
      <c r="Q225" s="547">
        <v>0.42857142857142855</v>
      </c>
      <c r="R225" s="542">
        <v>3</v>
      </c>
      <c r="S225" s="547">
        <v>0.42857142857142855</v>
      </c>
      <c r="T225" s="546">
        <v>1.5</v>
      </c>
      <c r="U225" s="548">
        <v>0.3</v>
      </c>
    </row>
    <row r="226" spans="1:21" ht="14.4" customHeight="1" x14ac:dyDescent="0.3">
      <c r="A226" s="541">
        <v>27</v>
      </c>
      <c r="B226" s="542" t="s">
        <v>500</v>
      </c>
      <c r="C226" s="542">
        <v>89301273</v>
      </c>
      <c r="D226" s="543" t="s">
        <v>1085</v>
      </c>
      <c r="E226" s="544" t="s">
        <v>520</v>
      </c>
      <c r="F226" s="542" t="s">
        <v>510</v>
      </c>
      <c r="G226" s="542" t="s">
        <v>602</v>
      </c>
      <c r="H226" s="542" t="s">
        <v>495</v>
      </c>
      <c r="I226" s="542" t="s">
        <v>1052</v>
      </c>
      <c r="J226" s="542" t="s">
        <v>604</v>
      </c>
      <c r="K226" s="542" t="s">
        <v>1053</v>
      </c>
      <c r="L226" s="545">
        <v>101.68</v>
      </c>
      <c r="M226" s="545">
        <v>203.36</v>
      </c>
      <c r="N226" s="542">
        <v>2</v>
      </c>
      <c r="O226" s="546">
        <v>1</v>
      </c>
      <c r="P226" s="545">
        <v>203.36</v>
      </c>
      <c r="Q226" s="547">
        <v>1</v>
      </c>
      <c r="R226" s="542">
        <v>2</v>
      </c>
      <c r="S226" s="547">
        <v>1</v>
      </c>
      <c r="T226" s="546">
        <v>1</v>
      </c>
      <c r="U226" s="548">
        <v>1</v>
      </c>
    </row>
    <row r="227" spans="1:21" ht="14.4" customHeight="1" x14ac:dyDescent="0.3">
      <c r="A227" s="541">
        <v>27</v>
      </c>
      <c r="B227" s="542" t="s">
        <v>500</v>
      </c>
      <c r="C227" s="542">
        <v>89301273</v>
      </c>
      <c r="D227" s="543" t="s">
        <v>1085</v>
      </c>
      <c r="E227" s="544" t="s">
        <v>520</v>
      </c>
      <c r="F227" s="542" t="s">
        <v>510</v>
      </c>
      <c r="G227" s="542" t="s">
        <v>602</v>
      </c>
      <c r="H227" s="542" t="s">
        <v>495</v>
      </c>
      <c r="I227" s="542" t="s">
        <v>603</v>
      </c>
      <c r="J227" s="542" t="s">
        <v>604</v>
      </c>
      <c r="K227" s="542" t="s">
        <v>585</v>
      </c>
      <c r="L227" s="545">
        <v>305.08</v>
      </c>
      <c r="M227" s="545">
        <v>305.08</v>
      </c>
      <c r="N227" s="542">
        <v>1</v>
      </c>
      <c r="O227" s="546">
        <v>1</v>
      </c>
      <c r="P227" s="545">
        <v>305.08</v>
      </c>
      <c r="Q227" s="547">
        <v>1</v>
      </c>
      <c r="R227" s="542">
        <v>1</v>
      </c>
      <c r="S227" s="547">
        <v>1</v>
      </c>
      <c r="T227" s="546">
        <v>1</v>
      </c>
      <c r="U227" s="548">
        <v>1</v>
      </c>
    </row>
    <row r="228" spans="1:21" ht="14.4" customHeight="1" x14ac:dyDescent="0.3">
      <c r="A228" s="541">
        <v>27</v>
      </c>
      <c r="B228" s="542" t="s">
        <v>500</v>
      </c>
      <c r="C228" s="542">
        <v>89301273</v>
      </c>
      <c r="D228" s="543" t="s">
        <v>1085</v>
      </c>
      <c r="E228" s="544" t="s">
        <v>520</v>
      </c>
      <c r="F228" s="542" t="s">
        <v>510</v>
      </c>
      <c r="G228" s="542" t="s">
        <v>1054</v>
      </c>
      <c r="H228" s="542" t="s">
        <v>455</v>
      </c>
      <c r="I228" s="542" t="s">
        <v>1055</v>
      </c>
      <c r="J228" s="542" t="s">
        <v>1056</v>
      </c>
      <c r="K228" s="542" t="s">
        <v>1057</v>
      </c>
      <c r="L228" s="545">
        <v>167.38</v>
      </c>
      <c r="M228" s="545">
        <v>502.14</v>
      </c>
      <c r="N228" s="542">
        <v>3</v>
      </c>
      <c r="O228" s="546">
        <v>1</v>
      </c>
      <c r="P228" s="545"/>
      <c r="Q228" s="547">
        <v>0</v>
      </c>
      <c r="R228" s="542"/>
      <c r="S228" s="547">
        <v>0</v>
      </c>
      <c r="T228" s="546"/>
      <c r="U228" s="548">
        <v>0</v>
      </c>
    </row>
    <row r="229" spans="1:21" ht="14.4" customHeight="1" x14ac:dyDescent="0.3">
      <c r="A229" s="541">
        <v>27</v>
      </c>
      <c r="B229" s="542" t="s">
        <v>500</v>
      </c>
      <c r="C229" s="542">
        <v>89301273</v>
      </c>
      <c r="D229" s="543" t="s">
        <v>1085</v>
      </c>
      <c r="E229" s="544" t="s">
        <v>520</v>
      </c>
      <c r="F229" s="542" t="s">
        <v>510</v>
      </c>
      <c r="G229" s="542" t="s">
        <v>1058</v>
      </c>
      <c r="H229" s="542" t="s">
        <v>455</v>
      </c>
      <c r="I229" s="542" t="s">
        <v>1059</v>
      </c>
      <c r="J229" s="542" t="s">
        <v>1060</v>
      </c>
      <c r="K229" s="542" t="s">
        <v>1061</v>
      </c>
      <c r="L229" s="545">
        <v>330.74</v>
      </c>
      <c r="M229" s="545">
        <v>330.74</v>
      </c>
      <c r="N229" s="542">
        <v>1</v>
      </c>
      <c r="O229" s="546">
        <v>0.5</v>
      </c>
      <c r="P229" s="545"/>
      <c r="Q229" s="547">
        <v>0</v>
      </c>
      <c r="R229" s="542"/>
      <c r="S229" s="547">
        <v>0</v>
      </c>
      <c r="T229" s="546"/>
      <c r="U229" s="548">
        <v>0</v>
      </c>
    </row>
    <row r="230" spans="1:21" ht="14.4" customHeight="1" x14ac:dyDescent="0.3">
      <c r="A230" s="541">
        <v>27</v>
      </c>
      <c r="B230" s="542" t="s">
        <v>500</v>
      </c>
      <c r="C230" s="542">
        <v>89301273</v>
      </c>
      <c r="D230" s="543" t="s">
        <v>1085</v>
      </c>
      <c r="E230" s="544" t="s">
        <v>520</v>
      </c>
      <c r="F230" s="542" t="s">
        <v>510</v>
      </c>
      <c r="G230" s="542" t="s">
        <v>1058</v>
      </c>
      <c r="H230" s="542" t="s">
        <v>455</v>
      </c>
      <c r="I230" s="542" t="s">
        <v>1062</v>
      </c>
      <c r="J230" s="542" t="s">
        <v>1060</v>
      </c>
      <c r="K230" s="542" t="s">
        <v>1063</v>
      </c>
      <c r="L230" s="545">
        <v>110.25</v>
      </c>
      <c r="M230" s="545">
        <v>330.75</v>
      </c>
      <c r="N230" s="542">
        <v>3</v>
      </c>
      <c r="O230" s="546">
        <v>0.5</v>
      </c>
      <c r="P230" s="545">
        <v>330.75</v>
      </c>
      <c r="Q230" s="547">
        <v>1</v>
      </c>
      <c r="R230" s="542">
        <v>3</v>
      </c>
      <c r="S230" s="547">
        <v>1</v>
      </c>
      <c r="T230" s="546">
        <v>0.5</v>
      </c>
      <c r="U230" s="548">
        <v>1</v>
      </c>
    </row>
    <row r="231" spans="1:21" ht="14.4" customHeight="1" x14ac:dyDescent="0.3">
      <c r="A231" s="541">
        <v>27</v>
      </c>
      <c r="B231" s="542" t="s">
        <v>500</v>
      </c>
      <c r="C231" s="542">
        <v>89301273</v>
      </c>
      <c r="D231" s="543" t="s">
        <v>1085</v>
      </c>
      <c r="E231" s="544" t="s">
        <v>520</v>
      </c>
      <c r="F231" s="542" t="s">
        <v>510</v>
      </c>
      <c r="G231" s="542" t="s">
        <v>1064</v>
      </c>
      <c r="H231" s="542" t="s">
        <v>455</v>
      </c>
      <c r="I231" s="542" t="s">
        <v>1065</v>
      </c>
      <c r="J231" s="542" t="s">
        <v>1066</v>
      </c>
      <c r="K231" s="542" t="s">
        <v>1067</v>
      </c>
      <c r="L231" s="545">
        <v>58.26</v>
      </c>
      <c r="M231" s="545">
        <v>174.78</v>
      </c>
      <c r="N231" s="542">
        <v>3</v>
      </c>
      <c r="O231" s="546">
        <v>0.5</v>
      </c>
      <c r="P231" s="545"/>
      <c r="Q231" s="547">
        <v>0</v>
      </c>
      <c r="R231" s="542"/>
      <c r="S231" s="547">
        <v>0</v>
      </c>
      <c r="T231" s="546"/>
      <c r="U231" s="548">
        <v>0</v>
      </c>
    </row>
    <row r="232" spans="1:21" ht="14.4" customHeight="1" x14ac:dyDescent="0.3">
      <c r="A232" s="541">
        <v>27</v>
      </c>
      <c r="B232" s="542" t="s">
        <v>500</v>
      </c>
      <c r="C232" s="542">
        <v>89301273</v>
      </c>
      <c r="D232" s="543" t="s">
        <v>1085</v>
      </c>
      <c r="E232" s="544" t="s">
        <v>520</v>
      </c>
      <c r="F232" s="542" t="s">
        <v>510</v>
      </c>
      <c r="G232" s="542" t="s">
        <v>962</v>
      </c>
      <c r="H232" s="542" t="s">
        <v>455</v>
      </c>
      <c r="I232" s="542" t="s">
        <v>963</v>
      </c>
      <c r="J232" s="542" t="s">
        <v>964</v>
      </c>
      <c r="K232" s="542" t="s">
        <v>965</v>
      </c>
      <c r="L232" s="545">
        <v>56.59</v>
      </c>
      <c r="M232" s="545">
        <v>113.18</v>
      </c>
      <c r="N232" s="542">
        <v>2</v>
      </c>
      <c r="O232" s="546">
        <v>1</v>
      </c>
      <c r="P232" s="545">
        <v>113.18</v>
      </c>
      <c r="Q232" s="547">
        <v>1</v>
      </c>
      <c r="R232" s="542">
        <v>2</v>
      </c>
      <c r="S232" s="547">
        <v>1</v>
      </c>
      <c r="T232" s="546">
        <v>1</v>
      </c>
      <c r="U232" s="548">
        <v>1</v>
      </c>
    </row>
    <row r="233" spans="1:21" ht="14.4" customHeight="1" x14ac:dyDescent="0.3">
      <c r="A233" s="541">
        <v>27</v>
      </c>
      <c r="B233" s="542" t="s">
        <v>500</v>
      </c>
      <c r="C233" s="542">
        <v>89301273</v>
      </c>
      <c r="D233" s="543" t="s">
        <v>1085</v>
      </c>
      <c r="E233" s="544" t="s">
        <v>520</v>
      </c>
      <c r="F233" s="542" t="s">
        <v>510</v>
      </c>
      <c r="G233" s="542" t="s">
        <v>1068</v>
      </c>
      <c r="H233" s="542" t="s">
        <v>455</v>
      </c>
      <c r="I233" s="542" t="s">
        <v>1069</v>
      </c>
      <c r="J233" s="542" t="s">
        <v>1070</v>
      </c>
      <c r="K233" s="542" t="s">
        <v>1071</v>
      </c>
      <c r="L233" s="545">
        <v>100.63</v>
      </c>
      <c r="M233" s="545">
        <v>201.26</v>
      </c>
      <c r="N233" s="542">
        <v>2</v>
      </c>
      <c r="O233" s="546">
        <v>1</v>
      </c>
      <c r="P233" s="545">
        <v>201.26</v>
      </c>
      <c r="Q233" s="547">
        <v>1</v>
      </c>
      <c r="R233" s="542">
        <v>2</v>
      </c>
      <c r="S233" s="547">
        <v>1</v>
      </c>
      <c r="T233" s="546">
        <v>1</v>
      </c>
      <c r="U233" s="548">
        <v>1</v>
      </c>
    </row>
    <row r="234" spans="1:21" ht="14.4" customHeight="1" x14ac:dyDescent="0.3">
      <c r="A234" s="541">
        <v>27</v>
      </c>
      <c r="B234" s="542" t="s">
        <v>500</v>
      </c>
      <c r="C234" s="542">
        <v>89301273</v>
      </c>
      <c r="D234" s="543" t="s">
        <v>1085</v>
      </c>
      <c r="E234" s="544" t="s">
        <v>520</v>
      </c>
      <c r="F234" s="542" t="s">
        <v>510</v>
      </c>
      <c r="G234" s="542" t="s">
        <v>1068</v>
      </c>
      <c r="H234" s="542" t="s">
        <v>455</v>
      </c>
      <c r="I234" s="542" t="s">
        <v>1072</v>
      </c>
      <c r="J234" s="542" t="s">
        <v>1073</v>
      </c>
      <c r="K234" s="542" t="s">
        <v>1074</v>
      </c>
      <c r="L234" s="545">
        <v>0</v>
      </c>
      <c r="M234" s="545">
        <v>0</v>
      </c>
      <c r="N234" s="542">
        <v>1</v>
      </c>
      <c r="O234" s="546">
        <v>1</v>
      </c>
      <c r="P234" s="545">
        <v>0</v>
      </c>
      <c r="Q234" s="547"/>
      <c r="R234" s="542">
        <v>1</v>
      </c>
      <c r="S234" s="547">
        <v>1</v>
      </c>
      <c r="T234" s="546">
        <v>1</v>
      </c>
      <c r="U234" s="548">
        <v>1</v>
      </c>
    </row>
    <row r="235" spans="1:21" ht="14.4" customHeight="1" x14ac:dyDescent="0.3">
      <c r="A235" s="541">
        <v>27</v>
      </c>
      <c r="B235" s="542" t="s">
        <v>500</v>
      </c>
      <c r="C235" s="542">
        <v>89301273</v>
      </c>
      <c r="D235" s="543" t="s">
        <v>1085</v>
      </c>
      <c r="E235" s="544" t="s">
        <v>520</v>
      </c>
      <c r="F235" s="542" t="s">
        <v>510</v>
      </c>
      <c r="G235" s="542" t="s">
        <v>1075</v>
      </c>
      <c r="H235" s="542" t="s">
        <v>455</v>
      </c>
      <c r="I235" s="542" t="s">
        <v>1076</v>
      </c>
      <c r="J235" s="542" t="s">
        <v>1077</v>
      </c>
      <c r="K235" s="542" t="s">
        <v>1078</v>
      </c>
      <c r="L235" s="545">
        <v>0</v>
      </c>
      <c r="M235" s="545">
        <v>0</v>
      </c>
      <c r="N235" s="542">
        <v>2</v>
      </c>
      <c r="O235" s="546">
        <v>1</v>
      </c>
      <c r="P235" s="545">
        <v>0</v>
      </c>
      <c r="Q235" s="547"/>
      <c r="R235" s="542">
        <v>2</v>
      </c>
      <c r="S235" s="547">
        <v>1</v>
      </c>
      <c r="T235" s="546">
        <v>1</v>
      </c>
      <c r="U235" s="548">
        <v>1</v>
      </c>
    </row>
    <row r="236" spans="1:21" ht="14.4" customHeight="1" x14ac:dyDescent="0.3">
      <c r="A236" s="541">
        <v>27</v>
      </c>
      <c r="B236" s="542" t="s">
        <v>500</v>
      </c>
      <c r="C236" s="542">
        <v>89301273</v>
      </c>
      <c r="D236" s="543" t="s">
        <v>1085</v>
      </c>
      <c r="E236" s="544" t="s">
        <v>520</v>
      </c>
      <c r="F236" s="542" t="s">
        <v>510</v>
      </c>
      <c r="G236" s="542" t="s">
        <v>1075</v>
      </c>
      <c r="H236" s="542" t="s">
        <v>455</v>
      </c>
      <c r="I236" s="542" t="s">
        <v>1079</v>
      </c>
      <c r="J236" s="542" t="s">
        <v>1077</v>
      </c>
      <c r="K236" s="542" t="s">
        <v>1080</v>
      </c>
      <c r="L236" s="545">
        <v>0</v>
      </c>
      <c r="M236" s="545">
        <v>0</v>
      </c>
      <c r="N236" s="542">
        <v>1</v>
      </c>
      <c r="O236" s="546">
        <v>0.5</v>
      </c>
      <c r="P236" s="545">
        <v>0</v>
      </c>
      <c r="Q236" s="547"/>
      <c r="R236" s="542">
        <v>1</v>
      </c>
      <c r="S236" s="547">
        <v>1</v>
      </c>
      <c r="T236" s="546">
        <v>0.5</v>
      </c>
      <c r="U236" s="548">
        <v>1</v>
      </c>
    </row>
    <row r="237" spans="1:21" ht="14.4" customHeight="1" x14ac:dyDescent="0.3">
      <c r="A237" s="541">
        <v>27</v>
      </c>
      <c r="B237" s="542" t="s">
        <v>500</v>
      </c>
      <c r="C237" s="542">
        <v>89301273</v>
      </c>
      <c r="D237" s="543" t="s">
        <v>1085</v>
      </c>
      <c r="E237" s="544" t="s">
        <v>520</v>
      </c>
      <c r="F237" s="542" t="s">
        <v>510</v>
      </c>
      <c r="G237" s="542" t="s">
        <v>1081</v>
      </c>
      <c r="H237" s="542" t="s">
        <v>455</v>
      </c>
      <c r="I237" s="542" t="s">
        <v>1082</v>
      </c>
      <c r="J237" s="542" t="s">
        <v>1083</v>
      </c>
      <c r="K237" s="542" t="s">
        <v>1084</v>
      </c>
      <c r="L237" s="545">
        <v>129.94999999999999</v>
      </c>
      <c r="M237" s="545">
        <v>389.84999999999997</v>
      </c>
      <c r="N237" s="542">
        <v>3</v>
      </c>
      <c r="O237" s="546">
        <v>0.5</v>
      </c>
      <c r="P237" s="545">
        <v>389.84999999999997</v>
      </c>
      <c r="Q237" s="547">
        <v>1</v>
      </c>
      <c r="R237" s="542">
        <v>3</v>
      </c>
      <c r="S237" s="547">
        <v>1</v>
      </c>
      <c r="T237" s="546">
        <v>0.5</v>
      </c>
      <c r="U237" s="548">
        <v>1</v>
      </c>
    </row>
    <row r="238" spans="1:21" ht="14.4" customHeight="1" x14ac:dyDescent="0.3">
      <c r="A238" s="541">
        <v>27</v>
      </c>
      <c r="B238" s="542" t="s">
        <v>500</v>
      </c>
      <c r="C238" s="542">
        <v>89301275</v>
      </c>
      <c r="D238" s="543" t="s">
        <v>1086</v>
      </c>
      <c r="E238" s="544" t="s">
        <v>520</v>
      </c>
      <c r="F238" s="542" t="s">
        <v>510</v>
      </c>
      <c r="G238" s="542" t="s">
        <v>1023</v>
      </c>
      <c r="H238" s="542" t="s">
        <v>455</v>
      </c>
      <c r="I238" s="542" t="s">
        <v>1024</v>
      </c>
      <c r="J238" s="542" t="s">
        <v>1025</v>
      </c>
      <c r="K238" s="542" t="s">
        <v>1026</v>
      </c>
      <c r="L238" s="545">
        <v>31.95</v>
      </c>
      <c r="M238" s="545">
        <v>95.85</v>
      </c>
      <c r="N238" s="542">
        <v>3</v>
      </c>
      <c r="O238" s="546">
        <v>0.5</v>
      </c>
      <c r="P238" s="545"/>
      <c r="Q238" s="547">
        <v>0</v>
      </c>
      <c r="R238" s="542"/>
      <c r="S238" s="547">
        <v>0</v>
      </c>
      <c r="T238" s="546"/>
      <c r="U238" s="548">
        <v>0</v>
      </c>
    </row>
    <row r="239" spans="1:21" ht="14.4" customHeight="1" x14ac:dyDescent="0.3">
      <c r="A239" s="541">
        <v>27</v>
      </c>
      <c r="B239" s="542" t="s">
        <v>500</v>
      </c>
      <c r="C239" s="542">
        <v>89301275</v>
      </c>
      <c r="D239" s="543" t="s">
        <v>1086</v>
      </c>
      <c r="E239" s="544" t="s">
        <v>520</v>
      </c>
      <c r="F239" s="542" t="s">
        <v>510</v>
      </c>
      <c r="G239" s="542" t="s">
        <v>1031</v>
      </c>
      <c r="H239" s="542" t="s">
        <v>455</v>
      </c>
      <c r="I239" s="542" t="s">
        <v>1033</v>
      </c>
      <c r="J239" s="542" t="s">
        <v>1032</v>
      </c>
      <c r="K239" s="542"/>
      <c r="L239" s="545">
        <v>0</v>
      </c>
      <c r="M239" s="545">
        <v>0</v>
      </c>
      <c r="N239" s="542">
        <v>1</v>
      </c>
      <c r="O239" s="546">
        <v>1</v>
      </c>
      <c r="P239" s="545"/>
      <c r="Q239" s="547"/>
      <c r="R239" s="542"/>
      <c r="S239" s="547">
        <v>0</v>
      </c>
      <c r="T239" s="546"/>
      <c r="U239" s="548">
        <v>0</v>
      </c>
    </row>
    <row r="240" spans="1:21" ht="14.4" customHeight="1" thickBot="1" x14ac:dyDescent="0.35">
      <c r="A240" s="549">
        <v>27</v>
      </c>
      <c r="B240" s="550" t="s">
        <v>500</v>
      </c>
      <c r="C240" s="550">
        <v>89301275</v>
      </c>
      <c r="D240" s="551" t="s">
        <v>1086</v>
      </c>
      <c r="E240" s="552" t="s">
        <v>520</v>
      </c>
      <c r="F240" s="550" t="s">
        <v>510</v>
      </c>
      <c r="G240" s="550" t="s">
        <v>1058</v>
      </c>
      <c r="H240" s="550" t="s">
        <v>455</v>
      </c>
      <c r="I240" s="550" t="s">
        <v>1059</v>
      </c>
      <c r="J240" s="550" t="s">
        <v>1060</v>
      </c>
      <c r="K240" s="550" t="s">
        <v>1061</v>
      </c>
      <c r="L240" s="553">
        <v>330.74</v>
      </c>
      <c r="M240" s="553">
        <v>330.74</v>
      </c>
      <c r="N240" s="550">
        <v>1</v>
      </c>
      <c r="O240" s="554">
        <v>0.5</v>
      </c>
      <c r="P240" s="553"/>
      <c r="Q240" s="555">
        <v>0</v>
      </c>
      <c r="R240" s="550"/>
      <c r="S240" s="555">
        <v>0</v>
      </c>
      <c r="T240" s="554"/>
      <c r="U240" s="556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41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8" customWidth="1"/>
    <col min="3" max="3" width="5.5546875" style="211" customWidth="1"/>
    <col min="4" max="4" width="10" style="208" customWidth="1"/>
    <col min="5" max="5" width="5.5546875" style="211" customWidth="1"/>
    <col min="6" max="6" width="10" style="208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62" t="s">
        <v>1088</v>
      </c>
      <c r="B1" s="363"/>
      <c r="C1" s="363"/>
      <c r="D1" s="363"/>
      <c r="E1" s="363"/>
      <c r="F1" s="363"/>
    </row>
    <row r="2" spans="1:6" ht="14.4" customHeight="1" thickBot="1" x14ac:dyDescent="0.35">
      <c r="A2" s="235" t="s">
        <v>281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131</v>
      </c>
      <c r="C3" s="365"/>
      <c r="D3" s="366" t="s">
        <v>130</v>
      </c>
      <c r="E3" s="365"/>
      <c r="F3" s="80" t="s">
        <v>3</v>
      </c>
    </row>
    <row r="4" spans="1:6" ht="14.4" customHeight="1" thickBot="1" x14ac:dyDescent="0.35">
      <c r="A4" s="557" t="s">
        <v>189</v>
      </c>
      <c r="B4" s="477" t="s">
        <v>14</v>
      </c>
      <c r="C4" s="478" t="s">
        <v>2</v>
      </c>
      <c r="D4" s="477" t="s">
        <v>14</v>
      </c>
      <c r="E4" s="478" t="s">
        <v>2</v>
      </c>
      <c r="F4" s="479" t="s">
        <v>14</v>
      </c>
    </row>
    <row r="5" spans="1:6" ht="14.4" customHeight="1" x14ac:dyDescent="0.3">
      <c r="A5" s="566" t="s">
        <v>519</v>
      </c>
      <c r="B5" s="116">
        <v>3823.51</v>
      </c>
      <c r="C5" s="540">
        <v>0.22277774896885083</v>
      </c>
      <c r="D5" s="116">
        <v>13339.380000000001</v>
      </c>
      <c r="E5" s="540">
        <v>0.77722225103114928</v>
      </c>
      <c r="F5" s="558">
        <v>17162.89</v>
      </c>
    </row>
    <row r="6" spans="1:6" ht="14.4" customHeight="1" x14ac:dyDescent="0.3">
      <c r="A6" s="567" t="s">
        <v>518</v>
      </c>
      <c r="B6" s="559">
        <v>1598.67</v>
      </c>
      <c r="C6" s="547">
        <v>0.43159005869108619</v>
      </c>
      <c r="D6" s="559">
        <v>2105.4700000000003</v>
      </c>
      <c r="E6" s="547">
        <v>0.56840994130891387</v>
      </c>
      <c r="F6" s="560">
        <v>3704.1400000000003</v>
      </c>
    </row>
    <row r="7" spans="1:6" ht="14.4" customHeight="1" x14ac:dyDescent="0.3">
      <c r="A7" s="567" t="s">
        <v>516</v>
      </c>
      <c r="B7" s="559">
        <v>848.05</v>
      </c>
      <c r="C7" s="547">
        <v>0.46936053397682115</v>
      </c>
      <c r="D7" s="559">
        <v>958.77</v>
      </c>
      <c r="E7" s="547">
        <v>0.53063946602317891</v>
      </c>
      <c r="F7" s="560">
        <v>1806.82</v>
      </c>
    </row>
    <row r="8" spans="1:6" ht="14.4" customHeight="1" x14ac:dyDescent="0.3">
      <c r="A8" s="567" t="s">
        <v>520</v>
      </c>
      <c r="B8" s="559">
        <v>824.61</v>
      </c>
      <c r="C8" s="547">
        <v>0.33672806863517751</v>
      </c>
      <c r="D8" s="559">
        <v>1624.2800000000002</v>
      </c>
      <c r="E8" s="547">
        <v>0.66327193136482243</v>
      </c>
      <c r="F8" s="560">
        <v>2448.8900000000003</v>
      </c>
    </row>
    <row r="9" spans="1:6" ht="14.4" customHeight="1" thickBot="1" x14ac:dyDescent="0.35">
      <c r="A9" s="568" t="s">
        <v>517</v>
      </c>
      <c r="B9" s="563">
        <v>356.47</v>
      </c>
      <c r="C9" s="564">
        <v>0.47995206807410601</v>
      </c>
      <c r="D9" s="563">
        <v>386.25</v>
      </c>
      <c r="E9" s="564">
        <v>0.52004793192589405</v>
      </c>
      <c r="F9" s="565">
        <v>742.72</v>
      </c>
    </row>
    <row r="10" spans="1:6" ht="14.4" customHeight="1" thickBot="1" x14ac:dyDescent="0.35">
      <c r="A10" s="486" t="s">
        <v>3</v>
      </c>
      <c r="B10" s="487">
        <v>7451.31</v>
      </c>
      <c r="C10" s="488">
        <v>0.2880795470097961</v>
      </c>
      <c r="D10" s="487">
        <v>18414.150000000001</v>
      </c>
      <c r="E10" s="488">
        <v>0.71192045299020401</v>
      </c>
      <c r="F10" s="489">
        <v>25865.46</v>
      </c>
    </row>
    <row r="11" spans="1:6" ht="14.4" customHeight="1" thickBot="1" x14ac:dyDescent="0.35"/>
    <row r="12" spans="1:6" ht="14.4" customHeight="1" x14ac:dyDescent="0.3">
      <c r="A12" s="566" t="s">
        <v>1089</v>
      </c>
      <c r="B12" s="116">
        <v>1175.56</v>
      </c>
      <c r="C12" s="540">
        <v>0.85713452424352898</v>
      </c>
      <c r="D12" s="116">
        <v>195.94</v>
      </c>
      <c r="E12" s="540">
        <v>0.14286547575647102</v>
      </c>
      <c r="F12" s="558">
        <v>1371.5</v>
      </c>
    </row>
    <row r="13" spans="1:6" ht="14.4" customHeight="1" x14ac:dyDescent="0.3">
      <c r="A13" s="567" t="s">
        <v>1090</v>
      </c>
      <c r="B13" s="559">
        <v>944.68</v>
      </c>
      <c r="C13" s="547">
        <v>0.25616912346924386</v>
      </c>
      <c r="D13" s="559">
        <v>2743.04</v>
      </c>
      <c r="E13" s="547">
        <v>0.74383087653075619</v>
      </c>
      <c r="F13" s="560">
        <v>3687.72</v>
      </c>
    </row>
    <row r="14" spans="1:6" ht="14.4" customHeight="1" x14ac:dyDescent="0.3">
      <c r="A14" s="567" t="s">
        <v>1091</v>
      </c>
      <c r="B14" s="559">
        <v>905.42000000000007</v>
      </c>
      <c r="C14" s="547">
        <v>1</v>
      </c>
      <c r="D14" s="559"/>
      <c r="E14" s="547">
        <v>0</v>
      </c>
      <c r="F14" s="560">
        <v>905.42000000000007</v>
      </c>
    </row>
    <row r="15" spans="1:6" ht="14.4" customHeight="1" x14ac:dyDescent="0.3">
      <c r="A15" s="567" t="s">
        <v>1092</v>
      </c>
      <c r="B15" s="559">
        <v>602.25</v>
      </c>
      <c r="C15" s="547">
        <v>0.18351992589116484</v>
      </c>
      <c r="D15" s="559">
        <v>2679.41</v>
      </c>
      <c r="E15" s="547">
        <v>0.81648007410883516</v>
      </c>
      <c r="F15" s="560">
        <v>3281.66</v>
      </c>
    </row>
    <row r="16" spans="1:6" ht="14.4" customHeight="1" x14ac:dyDescent="0.3">
      <c r="A16" s="567" t="s">
        <v>1093</v>
      </c>
      <c r="B16" s="559">
        <v>584</v>
      </c>
      <c r="C16" s="547">
        <v>0.32258242699086942</v>
      </c>
      <c r="D16" s="559">
        <v>1226.3899999999999</v>
      </c>
      <c r="E16" s="547">
        <v>0.67741757300913064</v>
      </c>
      <c r="F16" s="560">
        <v>1810.3899999999999</v>
      </c>
    </row>
    <row r="17" spans="1:6" ht="14.4" customHeight="1" x14ac:dyDescent="0.3">
      <c r="A17" s="567" t="s">
        <v>1094</v>
      </c>
      <c r="B17" s="559">
        <v>548.45999999999992</v>
      </c>
      <c r="C17" s="547">
        <v>1</v>
      </c>
      <c r="D17" s="559"/>
      <c r="E17" s="547">
        <v>0</v>
      </c>
      <c r="F17" s="560">
        <v>548.45999999999992</v>
      </c>
    </row>
    <row r="18" spans="1:6" ht="14.4" customHeight="1" x14ac:dyDescent="0.3">
      <c r="A18" s="567" t="s">
        <v>1095</v>
      </c>
      <c r="B18" s="559">
        <v>505.04</v>
      </c>
      <c r="C18" s="547">
        <v>1</v>
      </c>
      <c r="D18" s="559"/>
      <c r="E18" s="547">
        <v>0</v>
      </c>
      <c r="F18" s="560">
        <v>505.04</v>
      </c>
    </row>
    <row r="19" spans="1:6" ht="14.4" customHeight="1" x14ac:dyDescent="0.3">
      <c r="A19" s="567" t="s">
        <v>1096</v>
      </c>
      <c r="B19" s="559">
        <v>502.14</v>
      </c>
      <c r="C19" s="547">
        <v>1</v>
      </c>
      <c r="D19" s="559"/>
      <c r="E19" s="547">
        <v>0</v>
      </c>
      <c r="F19" s="560">
        <v>502.14</v>
      </c>
    </row>
    <row r="20" spans="1:6" ht="14.4" customHeight="1" x14ac:dyDescent="0.3">
      <c r="A20" s="567" t="s">
        <v>1097</v>
      </c>
      <c r="B20" s="559">
        <v>356.47</v>
      </c>
      <c r="C20" s="547">
        <v>0.5</v>
      </c>
      <c r="D20" s="559">
        <v>356.47</v>
      </c>
      <c r="E20" s="547">
        <v>0.5</v>
      </c>
      <c r="F20" s="560">
        <v>712.94</v>
      </c>
    </row>
    <row r="21" spans="1:6" ht="14.4" customHeight="1" x14ac:dyDescent="0.3">
      <c r="A21" s="567" t="s">
        <v>1098</v>
      </c>
      <c r="B21" s="559">
        <v>356.47</v>
      </c>
      <c r="C21" s="547">
        <v>1</v>
      </c>
      <c r="D21" s="559"/>
      <c r="E21" s="547">
        <v>0</v>
      </c>
      <c r="F21" s="560">
        <v>356.47</v>
      </c>
    </row>
    <row r="22" spans="1:6" ht="14.4" customHeight="1" x14ac:dyDescent="0.3">
      <c r="A22" s="567" t="s">
        <v>1099</v>
      </c>
      <c r="B22" s="559">
        <v>222.25</v>
      </c>
      <c r="C22" s="547">
        <v>0.13788846079872938</v>
      </c>
      <c r="D22" s="559">
        <v>1389.56</v>
      </c>
      <c r="E22" s="547">
        <v>0.86211153920127059</v>
      </c>
      <c r="F22" s="560">
        <v>1611.81</v>
      </c>
    </row>
    <row r="23" spans="1:6" ht="14.4" customHeight="1" x14ac:dyDescent="0.3">
      <c r="A23" s="567" t="s">
        <v>1100</v>
      </c>
      <c r="B23" s="559">
        <v>201.26</v>
      </c>
      <c r="C23" s="547">
        <v>1</v>
      </c>
      <c r="D23" s="559"/>
      <c r="E23" s="547">
        <v>0</v>
      </c>
      <c r="F23" s="560">
        <v>201.26</v>
      </c>
    </row>
    <row r="24" spans="1:6" ht="14.4" customHeight="1" x14ac:dyDescent="0.3">
      <c r="A24" s="567" t="s">
        <v>1101</v>
      </c>
      <c r="B24" s="559">
        <v>195.89</v>
      </c>
      <c r="C24" s="547">
        <v>7.4482323328339706E-2</v>
      </c>
      <c r="D24" s="559">
        <v>2434.13</v>
      </c>
      <c r="E24" s="547">
        <v>0.92551767667166029</v>
      </c>
      <c r="F24" s="560">
        <v>2630.02</v>
      </c>
    </row>
    <row r="25" spans="1:6" ht="14.4" customHeight="1" x14ac:dyDescent="0.3">
      <c r="A25" s="567" t="s">
        <v>1102</v>
      </c>
      <c r="B25" s="559">
        <v>166.1</v>
      </c>
      <c r="C25" s="547">
        <v>0.55224922698407419</v>
      </c>
      <c r="D25" s="559">
        <v>134.67000000000002</v>
      </c>
      <c r="E25" s="547">
        <v>0.44775077301592586</v>
      </c>
      <c r="F25" s="560">
        <v>300.77</v>
      </c>
    </row>
    <row r="26" spans="1:6" ht="14.4" customHeight="1" x14ac:dyDescent="0.3">
      <c r="A26" s="567" t="s">
        <v>1103</v>
      </c>
      <c r="B26" s="559">
        <v>102.23</v>
      </c>
      <c r="C26" s="547">
        <v>0.39062320889534224</v>
      </c>
      <c r="D26" s="559">
        <v>159.47999999999999</v>
      </c>
      <c r="E26" s="547">
        <v>0.60937679110465781</v>
      </c>
      <c r="F26" s="560">
        <v>261.70999999999998</v>
      </c>
    </row>
    <row r="27" spans="1:6" ht="14.4" customHeight="1" x14ac:dyDescent="0.3">
      <c r="A27" s="567" t="s">
        <v>1104</v>
      </c>
      <c r="B27" s="559">
        <v>83.09</v>
      </c>
      <c r="C27" s="547">
        <v>1</v>
      </c>
      <c r="D27" s="559"/>
      <c r="E27" s="547">
        <v>0</v>
      </c>
      <c r="F27" s="560">
        <v>83.09</v>
      </c>
    </row>
    <row r="28" spans="1:6" ht="14.4" customHeight="1" x14ac:dyDescent="0.3">
      <c r="A28" s="567" t="s">
        <v>1105</v>
      </c>
      <c r="B28" s="559"/>
      <c r="C28" s="547">
        <v>0</v>
      </c>
      <c r="D28" s="559">
        <v>828</v>
      </c>
      <c r="E28" s="547">
        <v>1</v>
      </c>
      <c r="F28" s="560">
        <v>828</v>
      </c>
    </row>
    <row r="29" spans="1:6" ht="14.4" customHeight="1" x14ac:dyDescent="0.3">
      <c r="A29" s="567" t="s">
        <v>1106</v>
      </c>
      <c r="B29" s="559"/>
      <c r="C29" s="547">
        <v>0</v>
      </c>
      <c r="D29" s="559">
        <v>95.25</v>
      </c>
      <c r="E29" s="547">
        <v>1</v>
      </c>
      <c r="F29" s="560">
        <v>95.25</v>
      </c>
    </row>
    <row r="30" spans="1:6" ht="14.4" customHeight="1" x14ac:dyDescent="0.3">
      <c r="A30" s="567" t="s">
        <v>1107</v>
      </c>
      <c r="B30" s="559"/>
      <c r="C30" s="547">
        <v>0</v>
      </c>
      <c r="D30" s="559">
        <v>140.56</v>
      </c>
      <c r="E30" s="547">
        <v>1</v>
      </c>
      <c r="F30" s="560">
        <v>140.56</v>
      </c>
    </row>
    <row r="31" spans="1:6" ht="14.4" customHeight="1" x14ac:dyDescent="0.3">
      <c r="A31" s="567" t="s">
        <v>1108</v>
      </c>
      <c r="B31" s="559"/>
      <c r="C31" s="547">
        <v>0</v>
      </c>
      <c r="D31" s="559">
        <v>21.92</v>
      </c>
      <c r="E31" s="547">
        <v>1</v>
      </c>
      <c r="F31" s="560">
        <v>21.92</v>
      </c>
    </row>
    <row r="32" spans="1:6" ht="14.4" customHeight="1" x14ac:dyDescent="0.3">
      <c r="A32" s="567" t="s">
        <v>1109</v>
      </c>
      <c r="B32" s="559"/>
      <c r="C32" s="547">
        <v>0</v>
      </c>
      <c r="D32" s="559">
        <v>1156.79</v>
      </c>
      <c r="E32" s="547">
        <v>1</v>
      </c>
      <c r="F32" s="560">
        <v>1156.79</v>
      </c>
    </row>
    <row r="33" spans="1:6" ht="14.4" customHeight="1" x14ac:dyDescent="0.3">
      <c r="A33" s="567" t="s">
        <v>1110</v>
      </c>
      <c r="B33" s="559"/>
      <c r="C33" s="547">
        <v>0</v>
      </c>
      <c r="D33" s="559">
        <v>65.069999999999993</v>
      </c>
      <c r="E33" s="547">
        <v>1</v>
      </c>
      <c r="F33" s="560">
        <v>65.069999999999993</v>
      </c>
    </row>
    <row r="34" spans="1:6" ht="14.4" customHeight="1" x14ac:dyDescent="0.3">
      <c r="A34" s="567" t="s">
        <v>1111</v>
      </c>
      <c r="B34" s="559"/>
      <c r="C34" s="547">
        <v>0</v>
      </c>
      <c r="D34" s="559">
        <v>1650.28</v>
      </c>
      <c r="E34" s="547">
        <v>1</v>
      </c>
      <c r="F34" s="560">
        <v>1650.28</v>
      </c>
    </row>
    <row r="35" spans="1:6" ht="14.4" customHeight="1" x14ac:dyDescent="0.3">
      <c r="A35" s="567" t="s">
        <v>1112</v>
      </c>
      <c r="B35" s="559"/>
      <c r="C35" s="547">
        <v>0</v>
      </c>
      <c r="D35" s="559">
        <v>736.88</v>
      </c>
      <c r="E35" s="547">
        <v>1</v>
      </c>
      <c r="F35" s="560">
        <v>736.88</v>
      </c>
    </row>
    <row r="36" spans="1:6" ht="14.4" customHeight="1" x14ac:dyDescent="0.3">
      <c r="A36" s="567" t="s">
        <v>504</v>
      </c>
      <c r="B36" s="559"/>
      <c r="C36" s="547">
        <v>0</v>
      </c>
      <c r="D36" s="559">
        <v>379.2</v>
      </c>
      <c r="E36" s="547">
        <v>1</v>
      </c>
      <c r="F36" s="560">
        <v>379.2</v>
      </c>
    </row>
    <row r="37" spans="1:6" ht="14.4" customHeight="1" x14ac:dyDescent="0.3">
      <c r="A37" s="567" t="s">
        <v>1113</v>
      </c>
      <c r="B37" s="559"/>
      <c r="C37" s="547">
        <v>0</v>
      </c>
      <c r="D37" s="559">
        <v>1175.52</v>
      </c>
      <c r="E37" s="547">
        <v>1</v>
      </c>
      <c r="F37" s="560">
        <v>1175.52</v>
      </c>
    </row>
    <row r="38" spans="1:6" ht="14.4" customHeight="1" x14ac:dyDescent="0.3">
      <c r="A38" s="567" t="s">
        <v>1114</v>
      </c>
      <c r="B38" s="559"/>
      <c r="C38" s="547">
        <v>0</v>
      </c>
      <c r="D38" s="559">
        <v>81.33</v>
      </c>
      <c r="E38" s="547">
        <v>1</v>
      </c>
      <c r="F38" s="560">
        <v>81.33</v>
      </c>
    </row>
    <row r="39" spans="1:6" ht="14.4" customHeight="1" x14ac:dyDescent="0.3">
      <c r="A39" s="567" t="s">
        <v>1115</v>
      </c>
      <c r="B39" s="559"/>
      <c r="C39" s="547">
        <v>0</v>
      </c>
      <c r="D39" s="559">
        <v>146.63</v>
      </c>
      <c r="E39" s="547">
        <v>1</v>
      </c>
      <c r="F39" s="560">
        <v>146.63</v>
      </c>
    </row>
    <row r="40" spans="1:6" ht="14.4" customHeight="1" thickBot="1" x14ac:dyDescent="0.35">
      <c r="A40" s="568" t="s">
        <v>1116</v>
      </c>
      <c r="B40" s="563">
        <v>0</v>
      </c>
      <c r="C40" s="564">
        <v>0</v>
      </c>
      <c r="D40" s="563">
        <v>617.63</v>
      </c>
      <c r="E40" s="564">
        <v>1</v>
      </c>
      <c r="F40" s="565">
        <v>617.63</v>
      </c>
    </row>
    <row r="41" spans="1:6" ht="14.4" customHeight="1" thickBot="1" x14ac:dyDescent="0.35">
      <c r="A41" s="486" t="s">
        <v>3</v>
      </c>
      <c r="B41" s="487">
        <v>7451.31</v>
      </c>
      <c r="C41" s="488">
        <v>0.2880795470097961</v>
      </c>
      <c r="D41" s="487">
        <v>18414.149999999998</v>
      </c>
      <c r="E41" s="488">
        <v>0.7119204529902039</v>
      </c>
      <c r="F41" s="489">
        <v>25865.46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9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{47049458-EB88-4806-962F-622F02F5C8DD}</x14:id>
        </ext>
      </extLst>
    </cfRule>
  </conditionalFormatting>
  <conditionalFormatting sqref="F12:F40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{85307C18-DE62-49F7-B422-747B6B793E26}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7049458-EB88-4806-962F-622F02F5C8D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F5:F9</xm:sqref>
        </x14:conditionalFormatting>
        <x14:conditionalFormatting xmlns:xm="http://schemas.microsoft.com/office/excel/2006/main">
          <x14:cfRule type="dataBar" id="{85307C18-DE62-49F7-B422-747B6B793E2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F12:F40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7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8" customWidth="1"/>
    <col min="7" max="7" width="10" style="208" customWidth="1"/>
    <col min="8" max="8" width="6.77734375" style="211" customWidth="1"/>
    <col min="9" max="9" width="6.6640625" style="208" customWidth="1"/>
    <col min="10" max="10" width="10" style="208" customWidth="1"/>
    <col min="11" max="11" width="6.77734375" style="211" customWidth="1"/>
    <col min="12" max="12" width="6.6640625" style="208" customWidth="1"/>
    <col min="13" max="13" width="10" style="208" customWidth="1"/>
    <col min="14" max="16384" width="8.88671875" style="130"/>
  </cols>
  <sheetData>
    <row r="1" spans="1:13" ht="18.600000000000001" customHeight="1" thickBot="1" x14ac:dyDescent="0.4">
      <c r="A1" s="363" t="s">
        <v>1147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5" t="s">
        <v>281</v>
      </c>
      <c r="B2" s="207"/>
      <c r="C2" s="207"/>
      <c r="D2" s="207"/>
      <c r="E2" s="207"/>
      <c r="F2" s="215"/>
      <c r="G2" s="215"/>
      <c r="H2" s="216"/>
      <c r="I2" s="215"/>
      <c r="J2" s="215"/>
      <c r="K2" s="216"/>
      <c r="L2" s="215"/>
    </row>
    <row r="3" spans="1:13" ht="14.4" customHeight="1" thickBot="1" x14ac:dyDescent="0.35">
      <c r="E3" s="79" t="s">
        <v>129</v>
      </c>
      <c r="F3" s="43">
        <f>SUBTOTAL(9,F6:F1048576)</f>
        <v>60</v>
      </c>
      <c r="G3" s="43">
        <f>SUBTOTAL(9,G6:G1048576)</f>
        <v>7451.31</v>
      </c>
      <c r="H3" s="44">
        <f>IF(M3=0,0,G3/M3)</f>
        <v>0.28807954700979616</v>
      </c>
      <c r="I3" s="43">
        <f>SUBTOTAL(9,I6:I1048576)</f>
        <v>120</v>
      </c>
      <c r="J3" s="43">
        <f>SUBTOTAL(9,J6:J1048576)</f>
        <v>18414.150000000001</v>
      </c>
      <c r="K3" s="44">
        <f>IF(M3=0,0,J3/M3)</f>
        <v>0.71192045299020412</v>
      </c>
      <c r="L3" s="43">
        <f>SUBTOTAL(9,L6:L1048576)</f>
        <v>180</v>
      </c>
      <c r="M3" s="45">
        <f>SUBTOTAL(9,M6:M1048576)</f>
        <v>25865.459999999995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131</v>
      </c>
      <c r="G4" s="368"/>
      <c r="H4" s="369"/>
      <c r="I4" s="370" t="s">
        <v>130</v>
      </c>
      <c r="J4" s="368"/>
      <c r="K4" s="369"/>
      <c r="L4" s="371" t="s">
        <v>3</v>
      </c>
      <c r="M4" s="372"/>
    </row>
    <row r="5" spans="1:13" ht="14.4" customHeight="1" thickBot="1" x14ac:dyDescent="0.35">
      <c r="A5" s="557" t="s">
        <v>137</v>
      </c>
      <c r="B5" s="569" t="s">
        <v>133</v>
      </c>
      <c r="C5" s="569" t="s">
        <v>71</v>
      </c>
      <c r="D5" s="569" t="s">
        <v>134</v>
      </c>
      <c r="E5" s="569" t="s">
        <v>135</v>
      </c>
      <c r="F5" s="493" t="s">
        <v>28</v>
      </c>
      <c r="G5" s="493" t="s">
        <v>14</v>
      </c>
      <c r="H5" s="478" t="s">
        <v>136</v>
      </c>
      <c r="I5" s="477" t="s">
        <v>28</v>
      </c>
      <c r="J5" s="493" t="s">
        <v>14</v>
      </c>
      <c r="K5" s="478" t="s">
        <v>136</v>
      </c>
      <c r="L5" s="477" t="s">
        <v>28</v>
      </c>
      <c r="M5" s="494" t="s">
        <v>14</v>
      </c>
    </row>
    <row r="6" spans="1:13" ht="14.4" customHeight="1" x14ac:dyDescent="0.3">
      <c r="A6" s="534" t="s">
        <v>516</v>
      </c>
      <c r="B6" s="535" t="s">
        <v>1117</v>
      </c>
      <c r="C6" s="535" t="s">
        <v>610</v>
      </c>
      <c r="D6" s="535" t="s">
        <v>611</v>
      </c>
      <c r="E6" s="535" t="s">
        <v>612</v>
      </c>
      <c r="F6" s="116"/>
      <c r="G6" s="116"/>
      <c r="H6" s="540">
        <v>0</v>
      </c>
      <c r="I6" s="116">
        <v>4</v>
      </c>
      <c r="J6" s="116">
        <v>140.56</v>
      </c>
      <c r="K6" s="540">
        <v>1</v>
      </c>
      <c r="L6" s="116">
        <v>4</v>
      </c>
      <c r="M6" s="558">
        <v>140.56</v>
      </c>
    </row>
    <row r="7" spans="1:13" ht="14.4" customHeight="1" x14ac:dyDescent="0.3">
      <c r="A7" s="541" t="s">
        <v>516</v>
      </c>
      <c r="B7" s="542" t="s">
        <v>1118</v>
      </c>
      <c r="C7" s="542" t="s">
        <v>591</v>
      </c>
      <c r="D7" s="542" t="s">
        <v>592</v>
      </c>
      <c r="E7" s="542" t="s">
        <v>593</v>
      </c>
      <c r="F7" s="559">
        <v>1</v>
      </c>
      <c r="G7" s="559">
        <v>102.23</v>
      </c>
      <c r="H7" s="547">
        <v>1</v>
      </c>
      <c r="I7" s="559"/>
      <c r="J7" s="559"/>
      <c r="K7" s="547">
        <v>0</v>
      </c>
      <c r="L7" s="559">
        <v>1</v>
      </c>
      <c r="M7" s="560">
        <v>102.23</v>
      </c>
    </row>
    <row r="8" spans="1:13" ht="14.4" customHeight="1" x14ac:dyDescent="0.3">
      <c r="A8" s="541" t="s">
        <v>516</v>
      </c>
      <c r="B8" s="542" t="s">
        <v>1119</v>
      </c>
      <c r="C8" s="542" t="s">
        <v>534</v>
      </c>
      <c r="D8" s="542" t="s">
        <v>535</v>
      </c>
      <c r="E8" s="542" t="s">
        <v>536</v>
      </c>
      <c r="F8" s="559">
        <v>1</v>
      </c>
      <c r="G8" s="559">
        <v>44.89</v>
      </c>
      <c r="H8" s="547">
        <v>1</v>
      </c>
      <c r="I8" s="559"/>
      <c r="J8" s="559"/>
      <c r="K8" s="547">
        <v>0</v>
      </c>
      <c r="L8" s="559">
        <v>1</v>
      </c>
      <c r="M8" s="560">
        <v>44.89</v>
      </c>
    </row>
    <row r="9" spans="1:13" ht="14.4" customHeight="1" x14ac:dyDescent="0.3">
      <c r="A9" s="541" t="s">
        <v>516</v>
      </c>
      <c r="B9" s="542" t="s">
        <v>1120</v>
      </c>
      <c r="C9" s="542" t="s">
        <v>583</v>
      </c>
      <c r="D9" s="542" t="s">
        <v>584</v>
      </c>
      <c r="E9" s="542" t="s">
        <v>585</v>
      </c>
      <c r="F9" s="559"/>
      <c r="G9" s="559"/>
      <c r="H9" s="547">
        <v>0</v>
      </c>
      <c r="I9" s="559">
        <v>1</v>
      </c>
      <c r="J9" s="559">
        <v>81.33</v>
      </c>
      <c r="K9" s="547">
        <v>1</v>
      </c>
      <c r="L9" s="559">
        <v>1</v>
      </c>
      <c r="M9" s="560">
        <v>81.33</v>
      </c>
    </row>
    <row r="10" spans="1:13" ht="14.4" customHeight="1" x14ac:dyDescent="0.3">
      <c r="A10" s="541" t="s">
        <v>516</v>
      </c>
      <c r="B10" s="542" t="s">
        <v>1121</v>
      </c>
      <c r="C10" s="542" t="s">
        <v>526</v>
      </c>
      <c r="D10" s="542" t="s">
        <v>527</v>
      </c>
      <c r="E10" s="542" t="s">
        <v>528</v>
      </c>
      <c r="F10" s="559">
        <v>1</v>
      </c>
      <c r="G10" s="559">
        <v>195.89</v>
      </c>
      <c r="H10" s="547">
        <v>1</v>
      </c>
      <c r="I10" s="559"/>
      <c r="J10" s="559"/>
      <c r="K10" s="547">
        <v>0</v>
      </c>
      <c r="L10" s="559">
        <v>1</v>
      </c>
      <c r="M10" s="560">
        <v>195.89</v>
      </c>
    </row>
    <row r="11" spans="1:13" ht="14.4" customHeight="1" x14ac:dyDescent="0.3">
      <c r="A11" s="541" t="s">
        <v>516</v>
      </c>
      <c r="B11" s="542" t="s">
        <v>1122</v>
      </c>
      <c r="C11" s="542" t="s">
        <v>538</v>
      </c>
      <c r="D11" s="542" t="s">
        <v>539</v>
      </c>
      <c r="E11" s="542" t="s">
        <v>540</v>
      </c>
      <c r="F11" s="559"/>
      <c r="G11" s="559"/>
      <c r="H11" s="547">
        <v>0</v>
      </c>
      <c r="I11" s="559">
        <v>4</v>
      </c>
      <c r="J11" s="559">
        <v>736.88</v>
      </c>
      <c r="K11" s="547">
        <v>1</v>
      </c>
      <c r="L11" s="559">
        <v>4</v>
      </c>
      <c r="M11" s="560">
        <v>736.88</v>
      </c>
    </row>
    <row r="12" spans="1:13" ht="14.4" customHeight="1" x14ac:dyDescent="0.3">
      <c r="A12" s="541" t="s">
        <v>516</v>
      </c>
      <c r="B12" s="542" t="s">
        <v>1123</v>
      </c>
      <c r="C12" s="542" t="s">
        <v>530</v>
      </c>
      <c r="D12" s="542" t="s">
        <v>531</v>
      </c>
      <c r="E12" s="542" t="s">
        <v>532</v>
      </c>
      <c r="F12" s="559"/>
      <c r="G12" s="559"/>
      <c r="H12" s="547"/>
      <c r="I12" s="559">
        <v>2</v>
      </c>
      <c r="J12" s="559">
        <v>0</v>
      </c>
      <c r="K12" s="547"/>
      <c r="L12" s="559">
        <v>2</v>
      </c>
      <c r="M12" s="560">
        <v>0</v>
      </c>
    </row>
    <row r="13" spans="1:13" ht="14.4" customHeight="1" x14ac:dyDescent="0.3">
      <c r="A13" s="541" t="s">
        <v>516</v>
      </c>
      <c r="B13" s="542" t="s">
        <v>1124</v>
      </c>
      <c r="C13" s="542" t="s">
        <v>618</v>
      </c>
      <c r="D13" s="542" t="s">
        <v>619</v>
      </c>
      <c r="E13" s="542" t="s">
        <v>620</v>
      </c>
      <c r="F13" s="559">
        <v>4</v>
      </c>
      <c r="G13" s="559">
        <v>505.04</v>
      </c>
      <c r="H13" s="547">
        <v>1</v>
      </c>
      <c r="I13" s="559"/>
      <c r="J13" s="559"/>
      <c r="K13" s="547">
        <v>0</v>
      </c>
      <c r="L13" s="559">
        <v>4</v>
      </c>
      <c r="M13" s="560">
        <v>505.04</v>
      </c>
    </row>
    <row r="14" spans="1:13" ht="14.4" customHeight="1" x14ac:dyDescent="0.3">
      <c r="A14" s="541" t="s">
        <v>517</v>
      </c>
      <c r="B14" s="542" t="s">
        <v>1125</v>
      </c>
      <c r="C14" s="542" t="s">
        <v>631</v>
      </c>
      <c r="D14" s="542" t="s">
        <v>632</v>
      </c>
      <c r="E14" s="542" t="s">
        <v>633</v>
      </c>
      <c r="F14" s="559"/>
      <c r="G14" s="559"/>
      <c r="H14" s="547">
        <v>0</v>
      </c>
      <c r="I14" s="559">
        <v>1</v>
      </c>
      <c r="J14" s="559">
        <v>29.78</v>
      </c>
      <c r="K14" s="547">
        <v>1</v>
      </c>
      <c r="L14" s="559">
        <v>1</v>
      </c>
      <c r="M14" s="560">
        <v>29.78</v>
      </c>
    </row>
    <row r="15" spans="1:13" ht="14.4" customHeight="1" x14ac:dyDescent="0.3">
      <c r="A15" s="541" t="s">
        <v>517</v>
      </c>
      <c r="B15" s="542" t="s">
        <v>1126</v>
      </c>
      <c r="C15" s="542" t="s">
        <v>622</v>
      </c>
      <c r="D15" s="542" t="s">
        <v>623</v>
      </c>
      <c r="E15" s="542" t="s">
        <v>528</v>
      </c>
      <c r="F15" s="559">
        <v>1</v>
      </c>
      <c r="G15" s="559">
        <v>356.47</v>
      </c>
      <c r="H15" s="547">
        <v>1</v>
      </c>
      <c r="I15" s="559"/>
      <c r="J15" s="559"/>
      <c r="K15" s="547">
        <v>0</v>
      </c>
      <c r="L15" s="559">
        <v>1</v>
      </c>
      <c r="M15" s="560">
        <v>356.47</v>
      </c>
    </row>
    <row r="16" spans="1:13" ht="14.4" customHeight="1" x14ac:dyDescent="0.3">
      <c r="A16" s="541" t="s">
        <v>517</v>
      </c>
      <c r="B16" s="542" t="s">
        <v>1126</v>
      </c>
      <c r="C16" s="542" t="s">
        <v>624</v>
      </c>
      <c r="D16" s="542" t="s">
        <v>625</v>
      </c>
      <c r="E16" s="542" t="s">
        <v>528</v>
      </c>
      <c r="F16" s="559"/>
      <c r="G16" s="559"/>
      <c r="H16" s="547">
        <v>0</v>
      </c>
      <c r="I16" s="559">
        <v>1</v>
      </c>
      <c r="J16" s="559">
        <v>356.47</v>
      </c>
      <c r="K16" s="547">
        <v>1</v>
      </c>
      <c r="L16" s="559">
        <v>1</v>
      </c>
      <c r="M16" s="560">
        <v>356.47</v>
      </c>
    </row>
    <row r="17" spans="1:13" ht="14.4" customHeight="1" x14ac:dyDescent="0.3">
      <c r="A17" s="541" t="s">
        <v>518</v>
      </c>
      <c r="B17" s="542" t="s">
        <v>1127</v>
      </c>
      <c r="C17" s="542" t="s">
        <v>702</v>
      </c>
      <c r="D17" s="542" t="s">
        <v>703</v>
      </c>
      <c r="E17" s="542" t="s">
        <v>704</v>
      </c>
      <c r="F17" s="559">
        <v>2</v>
      </c>
      <c r="G17" s="559">
        <v>587.78</v>
      </c>
      <c r="H17" s="547">
        <v>1</v>
      </c>
      <c r="I17" s="559"/>
      <c r="J17" s="559"/>
      <c r="K17" s="547">
        <v>0</v>
      </c>
      <c r="L17" s="559">
        <v>2</v>
      </c>
      <c r="M17" s="560">
        <v>587.78</v>
      </c>
    </row>
    <row r="18" spans="1:13" ht="14.4" customHeight="1" x14ac:dyDescent="0.3">
      <c r="A18" s="541" t="s">
        <v>518</v>
      </c>
      <c r="B18" s="542" t="s">
        <v>1127</v>
      </c>
      <c r="C18" s="542" t="s">
        <v>707</v>
      </c>
      <c r="D18" s="542" t="s">
        <v>708</v>
      </c>
      <c r="E18" s="542" t="s">
        <v>709</v>
      </c>
      <c r="F18" s="559"/>
      <c r="G18" s="559"/>
      <c r="H18" s="547">
        <v>0</v>
      </c>
      <c r="I18" s="559">
        <v>2</v>
      </c>
      <c r="J18" s="559">
        <v>195.94</v>
      </c>
      <c r="K18" s="547">
        <v>1</v>
      </c>
      <c r="L18" s="559">
        <v>2</v>
      </c>
      <c r="M18" s="560">
        <v>195.94</v>
      </c>
    </row>
    <row r="19" spans="1:13" ht="14.4" customHeight="1" x14ac:dyDescent="0.3">
      <c r="A19" s="541" t="s">
        <v>518</v>
      </c>
      <c r="B19" s="542" t="s">
        <v>1127</v>
      </c>
      <c r="C19" s="542" t="s">
        <v>705</v>
      </c>
      <c r="D19" s="542" t="s">
        <v>703</v>
      </c>
      <c r="E19" s="542" t="s">
        <v>706</v>
      </c>
      <c r="F19" s="559">
        <v>1</v>
      </c>
      <c r="G19" s="559">
        <v>0</v>
      </c>
      <c r="H19" s="547"/>
      <c r="I19" s="559"/>
      <c r="J19" s="559"/>
      <c r="K19" s="547"/>
      <c r="L19" s="559">
        <v>1</v>
      </c>
      <c r="M19" s="560">
        <v>0</v>
      </c>
    </row>
    <row r="20" spans="1:13" ht="14.4" customHeight="1" x14ac:dyDescent="0.3">
      <c r="A20" s="541" t="s">
        <v>518</v>
      </c>
      <c r="B20" s="542" t="s">
        <v>1127</v>
      </c>
      <c r="C20" s="542" t="s">
        <v>710</v>
      </c>
      <c r="D20" s="542" t="s">
        <v>708</v>
      </c>
      <c r="E20" s="542" t="s">
        <v>711</v>
      </c>
      <c r="F20" s="559"/>
      <c r="G20" s="559"/>
      <c r="H20" s="547"/>
      <c r="I20" s="559">
        <v>1</v>
      </c>
      <c r="J20" s="559">
        <v>0</v>
      </c>
      <c r="K20" s="547"/>
      <c r="L20" s="559">
        <v>1</v>
      </c>
      <c r="M20" s="560">
        <v>0</v>
      </c>
    </row>
    <row r="21" spans="1:13" ht="14.4" customHeight="1" x14ac:dyDescent="0.3">
      <c r="A21" s="541" t="s">
        <v>518</v>
      </c>
      <c r="B21" s="542" t="s">
        <v>1127</v>
      </c>
      <c r="C21" s="542" t="s">
        <v>712</v>
      </c>
      <c r="D21" s="542" t="s">
        <v>708</v>
      </c>
      <c r="E21" s="542" t="s">
        <v>713</v>
      </c>
      <c r="F21" s="559"/>
      <c r="G21" s="559"/>
      <c r="H21" s="547"/>
      <c r="I21" s="559">
        <v>1</v>
      </c>
      <c r="J21" s="559">
        <v>0</v>
      </c>
      <c r="K21" s="547"/>
      <c r="L21" s="559">
        <v>1</v>
      </c>
      <c r="M21" s="560">
        <v>0</v>
      </c>
    </row>
    <row r="22" spans="1:13" ht="14.4" customHeight="1" x14ac:dyDescent="0.3">
      <c r="A22" s="541" t="s">
        <v>518</v>
      </c>
      <c r="B22" s="542" t="s">
        <v>1127</v>
      </c>
      <c r="C22" s="542" t="s">
        <v>714</v>
      </c>
      <c r="D22" s="542" t="s">
        <v>708</v>
      </c>
      <c r="E22" s="542" t="s">
        <v>715</v>
      </c>
      <c r="F22" s="559"/>
      <c r="G22" s="559"/>
      <c r="H22" s="547"/>
      <c r="I22" s="559">
        <v>1</v>
      </c>
      <c r="J22" s="559">
        <v>0</v>
      </c>
      <c r="K22" s="547"/>
      <c r="L22" s="559">
        <v>1</v>
      </c>
      <c r="M22" s="560">
        <v>0</v>
      </c>
    </row>
    <row r="23" spans="1:13" ht="14.4" customHeight="1" x14ac:dyDescent="0.3">
      <c r="A23" s="541" t="s">
        <v>518</v>
      </c>
      <c r="B23" s="542" t="s">
        <v>1127</v>
      </c>
      <c r="C23" s="542" t="s">
        <v>716</v>
      </c>
      <c r="D23" s="542" t="s">
        <v>708</v>
      </c>
      <c r="E23" s="542" t="s">
        <v>717</v>
      </c>
      <c r="F23" s="559"/>
      <c r="G23" s="559"/>
      <c r="H23" s="547"/>
      <c r="I23" s="559">
        <v>1</v>
      </c>
      <c r="J23" s="559">
        <v>0</v>
      </c>
      <c r="K23" s="547"/>
      <c r="L23" s="559">
        <v>1</v>
      </c>
      <c r="M23" s="560">
        <v>0</v>
      </c>
    </row>
    <row r="24" spans="1:13" ht="14.4" customHeight="1" x14ac:dyDescent="0.3">
      <c r="A24" s="541" t="s">
        <v>518</v>
      </c>
      <c r="B24" s="542" t="s">
        <v>1128</v>
      </c>
      <c r="C24" s="542" t="s">
        <v>721</v>
      </c>
      <c r="D24" s="542" t="s">
        <v>720</v>
      </c>
      <c r="E24" s="542" t="s">
        <v>722</v>
      </c>
      <c r="F24" s="559">
        <v>1</v>
      </c>
      <c r="G24" s="559">
        <v>0</v>
      </c>
      <c r="H24" s="547"/>
      <c r="I24" s="559"/>
      <c r="J24" s="559"/>
      <c r="K24" s="547"/>
      <c r="L24" s="559">
        <v>1</v>
      </c>
      <c r="M24" s="560">
        <v>0</v>
      </c>
    </row>
    <row r="25" spans="1:13" ht="14.4" customHeight="1" x14ac:dyDescent="0.3">
      <c r="A25" s="541" t="s">
        <v>518</v>
      </c>
      <c r="B25" s="542" t="s">
        <v>1128</v>
      </c>
      <c r="C25" s="542" t="s">
        <v>723</v>
      </c>
      <c r="D25" s="542" t="s">
        <v>724</v>
      </c>
      <c r="E25" s="542" t="s">
        <v>725</v>
      </c>
      <c r="F25" s="559"/>
      <c r="G25" s="559"/>
      <c r="H25" s="547">
        <v>0</v>
      </c>
      <c r="I25" s="559">
        <v>2</v>
      </c>
      <c r="J25" s="559">
        <v>392.92</v>
      </c>
      <c r="K25" s="547">
        <v>1</v>
      </c>
      <c r="L25" s="559">
        <v>2</v>
      </c>
      <c r="M25" s="560">
        <v>392.92</v>
      </c>
    </row>
    <row r="26" spans="1:13" ht="14.4" customHeight="1" x14ac:dyDescent="0.3">
      <c r="A26" s="541" t="s">
        <v>518</v>
      </c>
      <c r="B26" s="542" t="s">
        <v>1129</v>
      </c>
      <c r="C26" s="542" t="s">
        <v>727</v>
      </c>
      <c r="D26" s="542" t="s">
        <v>728</v>
      </c>
      <c r="E26" s="542" t="s">
        <v>729</v>
      </c>
      <c r="F26" s="559"/>
      <c r="G26" s="559"/>
      <c r="H26" s="547">
        <v>0</v>
      </c>
      <c r="I26" s="559">
        <v>1</v>
      </c>
      <c r="J26" s="559">
        <v>21.92</v>
      </c>
      <c r="K26" s="547">
        <v>1</v>
      </c>
      <c r="L26" s="559">
        <v>1</v>
      </c>
      <c r="M26" s="560">
        <v>21.92</v>
      </c>
    </row>
    <row r="27" spans="1:13" ht="14.4" customHeight="1" x14ac:dyDescent="0.3">
      <c r="A27" s="541" t="s">
        <v>518</v>
      </c>
      <c r="B27" s="542" t="s">
        <v>1130</v>
      </c>
      <c r="C27" s="542" t="s">
        <v>679</v>
      </c>
      <c r="D27" s="542" t="s">
        <v>680</v>
      </c>
      <c r="E27" s="542" t="s">
        <v>681</v>
      </c>
      <c r="F27" s="559">
        <v>2</v>
      </c>
      <c r="G27" s="559">
        <v>503.06</v>
      </c>
      <c r="H27" s="547">
        <v>1</v>
      </c>
      <c r="I27" s="559"/>
      <c r="J27" s="559"/>
      <c r="K27" s="547">
        <v>0</v>
      </c>
      <c r="L27" s="559">
        <v>2</v>
      </c>
      <c r="M27" s="560">
        <v>503.06</v>
      </c>
    </row>
    <row r="28" spans="1:13" ht="14.4" customHeight="1" x14ac:dyDescent="0.3">
      <c r="A28" s="541" t="s">
        <v>518</v>
      </c>
      <c r="B28" s="542" t="s">
        <v>1131</v>
      </c>
      <c r="C28" s="542" t="s">
        <v>736</v>
      </c>
      <c r="D28" s="542" t="s">
        <v>737</v>
      </c>
      <c r="E28" s="542" t="s">
        <v>738</v>
      </c>
      <c r="F28" s="559">
        <v>3</v>
      </c>
      <c r="G28" s="559">
        <v>274.23</v>
      </c>
      <c r="H28" s="547">
        <v>1</v>
      </c>
      <c r="I28" s="559"/>
      <c r="J28" s="559"/>
      <c r="K28" s="547">
        <v>0</v>
      </c>
      <c r="L28" s="559">
        <v>3</v>
      </c>
      <c r="M28" s="560">
        <v>274.23</v>
      </c>
    </row>
    <row r="29" spans="1:13" ht="14.4" customHeight="1" x14ac:dyDescent="0.3">
      <c r="A29" s="541" t="s">
        <v>518</v>
      </c>
      <c r="B29" s="542" t="s">
        <v>1132</v>
      </c>
      <c r="C29" s="542" t="s">
        <v>522</v>
      </c>
      <c r="D29" s="542" t="s">
        <v>523</v>
      </c>
      <c r="E29" s="542" t="s">
        <v>524</v>
      </c>
      <c r="F29" s="559"/>
      <c r="G29" s="559"/>
      <c r="H29" s="547">
        <v>0</v>
      </c>
      <c r="I29" s="559">
        <v>1</v>
      </c>
      <c r="J29" s="559">
        <v>156.86000000000001</v>
      </c>
      <c r="K29" s="547">
        <v>1</v>
      </c>
      <c r="L29" s="559">
        <v>1</v>
      </c>
      <c r="M29" s="560">
        <v>156.86000000000001</v>
      </c>
    </row>
    <row r="30" spans="1:13" ht="14.4" customHeight="1" x14ac:dyDescent="0.3">
      <c r="A30" s="541" t="s">
        <v>518</v>
      </c>
      <c r="B30" s="542" t="s">
        <v>1132</v>
      </c>
      <c r="C30" s="542" t="s">
        <v>638</v>
      </c>
      <c r="D30" s="542" t="s">
        <v>639</v>
      </c>
      <c r="E30" s="542" t="s">
        <v>640</v>
      </c>
      <c r="F30" s="559"/>
      <c r="G30" s="559"/>
      <c r="H30" s="547">
        <v>0</v>
      </c>
      <c r="I30" s="559">
        <v>2</v>
      </c>
      <c r="J30" s="559">
        <v>666.62</v>
      </c>
      <c r="K30" s="547">
        <v>1</v>
      </c>
      <c r="L30" s="559">
        <v>2</v>
      </c>
      <c r="M30" s="560">
        <v>666.62</v>
      </c>
    </row>
    <row r="31" spans="1:13" ht="14.4" customHeight="1" x14ac:dyDescent="0.3">
      <c r="A31" s="541" t="s">
        <v>518</v>
      </c>
      <c r="B31" s="542" t="s">
        <v>1133</v>
      </c>
      <c r="C31" s="542" t="s">
        <v>653</v>
      </c>
      <c r="D31" s="542" t="s">
        <v>654</v>
      </c>
      <c r="E31" s="542" t="s">
        <v>655</v>
      </c>
      <c r="F31" s="559">
        <v>2</v>
      </c>
      <c r="G31" s="559">
        <v>233.6</v>
      </c>
      <c r="H31" s="547">
        <v>1</v>
      </c>
      <c r="I31" s="559"/>
      <c r="J31" s="559"/>
      <c r="K31" s="547">
        <v>0</v>
      </c>
      <c r="L31" s="559">
        <v>2</v>
      </c>
      <c r="M31" s="560">
        <v>233.6</v>
      </c>
    </row>
    <row r="32" spans="1:13" ht="14.4" customHeight="1" x14ac:dyDescent="0.3">
      <c r="A32" s="541" t="s">
        <v>518</v>
      </c>
      <c r="B32" s="542" t="s">
        <v>1133</v>
      </c>
      <c r="C32" s="542" t="s">
        <v>656</v>
      </c>
      <c r="D32" s="542" t="s">
        <v>657</v>
      </c>
      <c r="E32" s="542" t="s">
        <v>655</v>
      </c>
      <c r="F32" s="559"/>
      <c r="G32" s="559"/>
      <c r="H32" s="547">
        <v>0</v>
      </c>
      <c r="I32" s="559">
        <v>1</v>
      </c>
      <c r="J32" s="559">
        <v>116.8</v>
      </c>
      <c r="K32" s="547">
        <v>1</v>
      </c>
      <c r="L32" s="559">
        <v>1</v>
      </c>
      <c r="M32" s="560">
        <v>116.8</v>
      </c>
    </row>
    <row r="33" spans="1:13" ht="14.4" customHeight="1" x14ac:dyDescent="0.3">
      <c r="A33" s="541" t="s">
        <v>518</v>
      </c>
      <c r="B33" s="542" t="s">
        <v>1125</v>
      </c>
      <c r="C33" s="542" t="s">
        <v>697</v>
      </c>
      <c r="D33" s="542" t="s">
        <v>632</v>
      </c>
      <c r="E33" s="542" t="s">
        <v>698</v>
      </c>
      <c r="F33" s="559"/>
      <c r="G33" s="559"/>
      <c r="H33" s="547">
        <v>0</v>
      </c>
      <c r="I33" s="559">
        <v>6</v>
      </c>
      <c r="J33" s="559">
        <v>459.61</v>
      </c>
      <c r="K33" s="547">
        <v>1</v>
      </c>
      <c r="L33" s="559">
        <v>6</v>
      </c>
      <c r="M33" s="560">
        <v>459.61</v>
      </c>
    </row>
    <row r="34" spans="1:13" ht="14.4" customHeight="1" x14ac:dyDescent="0.3">
      <c r="A34" s="541" t="s">
        <v>518</v>
      </c>
      <c r="B34" s="542" t="s">
        <v>1125</v>
      </c>
      <c r="C34" s="542" t="s">
        <v>699</v>
      </c>
      <c r="D34" s="542" t="s">
        <v>632</v>
      </c>
      <c r="E34" s="542" t="s">
        <v>700</v>
      </c>
      <c r="F34" s="559"/>
      <c r="G34" s="559"/>
      <c r="H34" s="547"/>
      <c r="I34" s="559">
        <v>2</v>
      </c>
      <c r="J34" s="559">
        <v>0</v>
      </c>
      <c r="K34" s="547"/>
      <c r="L34" s="559">
        <v>2</v>
      </c>
      <c r="M34" s="560">
        <v>0</v>
      </c>
    </row>
    <row r="35" spans="1:13" ht="14.4" customHeight="1" x14ac:dyDescent="0.3">
      <c r="A35" s="541" t="s">
        <v>518</v>
      </c>
      <c r="B35" s="542" t="s">
        <v>505</v>
      </c>
      <c r="C35" s="542" t="s">
        <v>497</v>
      </c>
      <c r="D35" s="542" t="s">
        <v>498</v>
      </c>
      <c r="E35" s="542" t="s">
        <v>506</v>
      </c>
      <c r="F35" s="559"/>
      <c r="G35" s="559"/>
      <c r="H35" s="547">
        <v>0</v>
      </c>
      <c r="I35" s="559">
        <v>1</v>
      </c>
      <c r="J35" s="559">
        <v>94.8</v>
      </c>
      <c r="K35" s="547">
        <v>1</v>
      </c>
      <c r="L35" s="559">
        <v>1</v>
      </c>
      <c r="M35" s="560">
        <v>94.8</v>
      </c>
    </row>
    <row r="36" spans="1:13" ht="14.4" customHeight="1" x14ac:dyDescent="0.3">
      <c r="A36" s="541" t="s">
        <v>519</v>
      </c>
      <c r="B36" s="542" t="s">
        <v>1127</v>
      </c>
      <c r="C36" s="542" t="s">
        <v>702</v>
      </c>
      <c r="D36" s="542" t="s">
        <v>703</v>
      </c>
      <c r="E36" s="542" t="s">
        <v>704</v>
      </c>
      <c r="F36" s="559">
        <v>2</v>
      </c>
      <c r="G36" s="559">
        <v>587.78</v>
      </c>
      <c r="H36" s="547">
        <v>1</v>
      </c>
      <c r="I36" s="559"/>
      <c r="J36" s="559"/>
      <c r="K36" s="547">
        <v>0</v>
      </c>
      <c r="L36" s="559">
        <v>2</v>
      </c>
      <c r="M36" s="560">
        <v>587.78</v>
      </c>
    </row>
    <row r="37" spans="1:13" ht="14.4" customHeight="1" x14ac:dyDescent="0.3">
      <c r="A37" s="541" t="s">
        <v>519</v>
      </c>
      <c r="B37" s="542" t="s">
        <v>1127</v>
      </c>
      <c r="C37" s="542" t="s">
        <v>934</v>
      </c>
      <c r="D37" s="542" t="s">
        <v>703</v>
      </c>
      <c r="E37" s="542" t="s">
        <v>935</v>
      </c>
      <c r="F37" s="559">
        <v>1</v>
      </c>
      <c r="G37" s="559">
        <v>0</v>
      </c>
      <c r="H37" s="547"/>
      <c r="I37" s="559"/>
      <c r="J37" s="559"/>
      <c r="K37" s="547"/>
      <c r="L37" s="559">
        <v>1</v>
      </c>
      <c r="M37" s="560">
        <v>0</v>
      </c>
    </row>
    <row r="38" spans="1:13" ht="14.4" customHeight="1" x14ac:dyDescent="0.3">
      <c r="A38" s="541" t="s">
        <v>519</v>
      </c>
      <c r="B38" s="542" t="s">
        <v>1127</v>
      </c>
      <c r="C38" s="542" t="s">
        <v>936</v>
      </c>
      <c r="D38" s="542" t="s">
        <v>708</v>
      </c>
      <c r="E38" s="542" t="s">
        <v>937</v>
      </c>
      <c r="F38" s="559"/>
      <c r="G38" s="559"/>
      <c r="H38" s="547"/>
      <c r="I38" s="559">
        <v>1</v>
      </c>
      <c r="J38" s="559">
        <v>0</v>
      </c>
      <c r="K38" s="547"/>
      <c r="L38" s="559">
        <v>1</v>
      </c>
      <c r="M38" s="560">
        <v>0</v>
      </c>
    </row>
    <row r="39" spans="1:13" ht="14.4" customHeight="1" x14ac:dyDescent="0.3">
      <c r="A39" s="541" t="s">
        <v>519</v>
      </c>
      <c r="B39" s="542" t="s">
        <v>1134</v>
      </c>
      <c r="C39" s="542" t="s">
        <v>903</v>
      </c>
      <c r="D39" s="542" t="s">
        <v>904</v>
      </c>
      <c r="E39" s="542" t="s">
        <v>905</v>
      </c>
      <c r="F39" s="559"/>
      <c r="G39" s="559"/>
      <c r="H39" s="547">
        <v>0</v>
      </c>
      <c r="I39" s="559">
        <v>6</v>
      </c>
      <c r="J39" s="559">
        <v>1175.52</v>
      </c>
      <c r="K39" s="547">
        <v>1</v>
      </c>
      <c r="L39" s="559">
        <v>6</v>
      </c>
      <c r="M39" s="560">
        <v>1175.52</v>
      </c>
    </row>
    <row r="40" spans="1:13" ht="14.4" customHeight="1" x14ac:dyDescent="0.3">
      <c r="A40" s="541" t="s">
        <v>519</v>
      </c>
      <c r="B40" s="542" t="s">
        <v>1135</v>
      </c>
      <c r="C40" s="542" t="s">
        <v>820</v>
      </c>
      <c r="D40" s="542" t="s">
        <v>821</v>
      </c>
      <c r="E40" s="542" t="s">
        <v>822</v>
      </c>
      <c r="F40" s="559">
        <v>1</v>
      </c>
      <c r="G40" s="559">
        <v>314.89999999999998</v>
      </c>
      <c r="H40" s="547">
        <v>1</v>
      </c>
      <c r="I40" s="559"/>
      <c r="J40" s="559"/>
      <c r="K40" s="547">
        <v>0</v>
      </c>
      <c r="L40" s="559">
        <v>1</v>
      </c>
      <c r="M40" s="560">
        <v>314.89999999999998</v>
      </c>
    </row>
    <row r="41" spans="1:13" ht="14.4" customHeight="1" x14ac:dyDescent="0.3">
      <c r="A41" s="541" t="s">
        <v>519</v>
      </c>
      <c r="B41" s="542" t="s">
        <v>1135</v>
      </c>
      <c r="C41" s="542" t="s">
        <v>823</v>
      </c>
      <c r="D41" s="542" t="s">
        <v>824</v>
      </c>
      <c r="E41" s="542" t="s">
        <v>825</v>
      </c>
      <c r="F41" s="559">
        <v>1</v>
      </c>
      <c r="G41" s="559">
        <v>629.78</v>
      </c>
      <c r="H41" s="547">
        <v>1</v>
      </c>
      <c r="I41" s="559"/>
      <c r="J41" s="559"/>
      <c r="K41" s="547">
        <v>0</v>
      </c>
      <c r="L41" s="559">
        <v>1</v>
      </c>
      <c r="M41" s="560">
        <v>629.78</v>
      </c>
    </row>
    <row r="42" spans="1:13" ht="14.4" customHeight="1" x14ac:dyDescent="0.3">
      <c r="A42" s="541" t="s">
        <v>519</v>
      </c>
      <c r="B42" s="542" t="s">
        <v>1135</v>
      </c>
      <c r="C42" s="542" t="s">
        <v>826</v>
      </c>
      <c r="D42" s="542" t="s">
        <v>827</v>
      </c>
      <c r="E42" s="542" t="s">
        <v>828</v>
      </c>
      <c r="F42" s="559"/>
      <c r="G42" s="559"/>
      <c r="H42" s="547">
        <v>0</v>
      </c>
      <c r="I42" s="559">
        <v>2</v>
      </c>
      <c r="J42" s="559">
        <v>1371.52</v>
      </c>
      <c r="K42" s="547">
        <v>1</v>
      </c>
      <c r="L42" s="559">
        <v>2</v>
      </c>
      <c r="M42" s="560">
        <v>1371.52</v>
      </c>
    </row>
    <row r="43" spans="1:13" ht="14.4" customHeight="1" x14ac:dyDescent="0.3">
      <c r="A43" s="541" t="s">
        <v>519</v>
      </c>
      <c r="B43" s="542" t="s">
        <v>1135</v>
      </c>
      <c r="C43" s="542" t="s">
        <v>829</v>
      </c>
      <c r="D43" s="542" t="s">
        <v>827</v>
      </c>
      <c r="E43" s="542" t="s">
        <v>828</v>
      </c>
      <c r="F43" s="559"/>
      <c r="G43" s="559"/>
      <c r="H43" s="547">
        <v>0</v>
      </c>
      <c r="I43" s="559">
        <v>2</v>
      </c>
      <c r="J43" s="559">
        <v>1371.52</v>
      </c>
      <c r="K43" s="547">
        <v>1</v>
      </c>
      <c r="L43" s="559">
        <v>2</v>
      </c>
      <c r="M43" s="560">
        <v>1371.52</v>
      </c>
    </row>
    <row r="44" spans="1:13" ht="14.4" customHeight="1" x14ac:dyDescent="0.3">
      <c r="A44" s="541" t="s">
        <v>519</v>
      </c>
      <c r="B44" s="542" t="s">
        <v>1135</v>
      </c>
      <c r="C44" s="542" t="s">
        <v>830</v>
      </c>
      <c r="D44" s="542" t="s">
        <v>821</v>
      </c>
      <c r="E44" s="542" t="s">
        <v>831</v>
      </c>
      <c r="F44" s="559">
        <v>1</v>
      </c>
      <c r="G44" s="559">
        <v>0</v>
      </c>
      <c r="H44" s="547"/>
      <c r="I44" s="559"/>
      <c r="J44" s="559"/>
      <c r="K44" s="547"/>
      <c r="L44" s="559">
        <v>1</v>
      </c>
      <c r="M44" s="560">
        <v>0</v>
      </c>
    </row>
    <row r="45" spans="1:13" ht="14.4" customHeight="1" x14ac:dyDescent="0.3">
      <c r="A45" s="541" t="s">
        <v>519</v>
      </c>
      <c r="B45" s="542" t="s">
        <v>1128</v>
      </c>
      <c r="C45" s="542" t="s">
        <v>723</v>
      </c>
      <c r="D45" s="542" t="s">
        <v>724</v>
      </c>
      <c r="E45" s="542" t="s">
        <v>725</v>
      </c>
      <c r="F45" s="559"/>
      <c r="G45" s="559"/>
      <c r="H45" s="547">
        <v>0</v>
      </c>
      <c r="I45" s="559">
        <v>1</v>
      </c>
      <c r="J45" s="559">
        <v>224.71</v>
      </c>
      <c r="K45" s="547">
        <v>1</v>
      </c>
      <c r="L45" s="559">
        <v>1</v>
      </c>
      <c r="M45" s="560">
        <v>224.71</v>
      </c>
    </row>
    <row r="46" spans="1:13" ht="14.4" customHeight="1" x14ac:dyDescent="0.3">
      <c r="A46" s="541" t="s">
        <v>519</v>
      </c>
      <c r="B46" s="542" t="s">
        <v>1130</v>
      </c>
      <c r="C46" s="542" t="s">
        <v>913</v>
      </c>
      <c r="D46" s="542" t="s">
        <v>680</v>
      </c>
      <c r="E46" s="542" t="s">
        <v>914</v>
      </c>
      <c r="F46" s="559">
        <v>1</v>
      </c>
      <c r="G46" s="559">
        <v>0</v>
      </c>
      <c r="H46" s="547"/>
      <c r="I46" s="559"/>
      <c r="J46" s="559"/>
      <c r="K46" s="547"/>
      <c r="L46" s="559">
        <v>1</v>
      </c>
      <c r="M46" s="560">
        <v>0</v>
      </c>
    </row>
    <row r="47" spans="1:13" ht="14.4" customHeight="1" x14ac:dyDescent="0.3">
      <c r="A47" s="541" t="s">
        <v>519</v>
      </c>
      <c r="B47" s="542" t="s">
        <v>1130</v>
      </c>
      <c r="C47" s="542" t="s">
        <v>915</v>
      </c>
      <c r="D47" s="542" t="s">
        <v>916</v>
      </c>
      <c r="E47" s="542" t="s">
        <v>917</v>
      </c>
      <c r="F47" s="559">
        <v>3</v>
      </c>
      <c r="G47" s="559">
        <v>402.36</v>
      </c>
      <c r="H47" s="547">
        <v>1</v>
      </c>
      <c r="I47" s="559"/>
      <c r="J47" s="559"/>
      <c r="K47" s="547">
        <v>0</v>
      </c>
      <c r="L47" s="559">
        <v>3</v>
      </c>
      <c r="M47" s="560">
        <v>402.36</v>
      </c>
    </row>
    <row r="48" spans="1:13" ht="14.4" customHeight="1" x14ac:dyDescent="0.3">
      <c r="A48" s="541" t="s">
        <v>519</v>
      </c>
      <c r="B48" s="542" t="s">
        <v>1130</v>
      </c>
      <c r="C48" s="542" t="s">
        <v>918</v>
      </c>
      <c r="D48" s="542" t="s">
        <v>680</v>
      </c>
      <c r="E48" s="542" t="s">
        <v>919</v>
      </c>
      <c r="F48" s="559">
        <v>2</v>
      </c>
      <c r="G48" s="559">
        <v>0</v>
      </c>
      <c r="H48" s="547"/>
      <c r="I48" s="559"/>
      <c r="J48" s="559"/>
      <c r="K48" s="547"/>
      <c r="L48" s="559">
        <v>2</v>
      </c>
      <c r="M48" s="560">
        <v>0</v>
      </c>
    </row>
    <row r="49" spans="1:13" ht="14.4" customHeight="1" x14ac:dyDescent="0.3">
      <c r="A49" s="541" t="s">
        <v>519</v>
      </c>
      <c r="B49" s="542" t="s">
        <v>1131</v>
      </c>
      <c r="C49" s="542" t="s">
        <v>736</v>
      </c>
      <c r="D49" s="542" t="s">
        <v>737</v>
      </c>
      <c r="E49" s="542" t="s">
        <v>738</v>
      </c>
      <c r="F49" s="559">
        <v>3</v>
      </c>
      <c r="G49" s="559">
        <v>274.23</v>
      </c>
      <c r="H49" s="547">
        <v>1</v>
      </c>
      <c r="I49" s="559"/>
      <c r="J49" s="559"/>
      <c r="K49" s="547">
        <v>0</v>
      </c>
      <c r="L49" s="559">
        <v>3</v>
      </c>
      <c r="M49" s="560">
        <v>274.23</v>
      </c>
    </row>
    <row r="50" spans="1:13" ht="14.4" customHeight="1" x14ac:dyDescent="0.3">
      <c r="A50" s="541" t="s">
        <v>519</v>
      </c>
      <c r="B50" s="542" t="s">
        <v>1121</v>
      </c>
      <c r="C50" s="542" t="s">
        <v>760</v>
      </c>
      <c r="D50" s="542" t="s">
        <v>761</v>
      </c>
      <c r="E50" s="542" t="s">
        <v>762</v>
      </c>
      <c r="F50" s="559"/>
      <c r="G50" s="559"/>
      <c r="H50" s="547">
        <v>0</v>
      </c>
      <c r="I50" s="559">
        <v>2</v>
      </c>
      <c r="J50" s="559">
        <v>1345.88</v>
      </c>
      <c r="K50" s="547">
        <v>1</v>
      </c>
      <c r="L50" s="559">
        <v>2</v>
      </c>
      <c r="M50" s="560">
        <v>1345.88</v>
      </c>
    </row>
    <row r="51" spans="1:13" ht="14.4" customHeight="1" x14ac:dyDescent="0.3">
      <c r="A51" s="541" t="s">
        <v>519</v>
      </c>
      <c r="B51" s="542" t="s">
        <v>1136</v>
      </c>
      <c r="C51" s="542" t="s">
        <v>910</v>
      </c>
      <c r="D51" s="542" t="s">
        <v>911</v>
      </c>
      <c r="E51" s="542" t="s">
        <v>912</v>
      </c>
      <c r="F51" s="559"/>
      <c r="G51" s="559"/>
      <c r="H51" s="547">
        <v>0</v>
      </c>
      <c r="I51" s="559">
        <v>1</v>
      </c>
      <c r="J51" s="559">
        <v>65.069999999999993</v>
      </c>
      <c r="K51" s="547">
        <v>1</v>
      </c>
      <c r="L51" s="559">
        <v>1</v>
      </c>
      <c r="M51" s="560">
        <v>65.069999999999993</v>
      </c>
    </row>
    <row r="52" spans="1:13" ht="14.4" customHeight="1" x14ac:dyDescent="0.3">
      <c r="A52" s="541" t="s">
        <v>519</v>
      </c>
      <c r="B52" s="542" t="s">
        <v>1137</v>
      </c>
      <c r="C52" s="542" t="s">
        <v>805</v>
      </c>
      <c r="D52" s="542" t="s">
        <v>806</v>
      </c>
      <c r="E52" s="542" t="s">
        <v>807</v>
      </c>
      <c r="F52" s="559">
        <v>1</v>
      </c>
      <c r="G52" s="559">
        <v>83.09</v>
      </c>
      <c r="H52" s="547">
        <v>1</v>
      </c>
      <c r="I52" s="559"/>
      <c r="J52" s="559"/>
      <c r="K52" s="547">
        <v>0</v>
      </c>
      <c r="L52" s="559">
        <v>1</v>
      </c>
      <c r="M52" s="560">
        <v>83.09</v>
      </c>
    </row>
    <row r="53" spans="1:13" ht="14.4" customHeight="1" x14ac:dyDescent="0.3">
      <c r="A53" s="541" t="s">
        <v>519</v>
      </c>
      <c r="B53" s="542" t="s">
        <v>1132</v>
      </c>
      <c r="C53" s="542" t="s">
        <v>522</v>
      </c>
      <c r="D53" s="542" t="s">
        <v>523</v>
      </c>
      <c r="E53" s="542" t="s">
        <v>524</v>
      </c>
      <c r="F53" s="559"/>
      <c r="G53" s="559"/>
      <c r="H53" s="547">
        <v>0</v>
      </c>
      <c r="I53" s="559">
        <v>1</v>
      </c>
      <c r="J53" s="559">
        <v>333.31</v>
      </c>
      <c r="K53" s="547">
        <v>1</v>
      </c>
      <c r="L53" s="559">
        <v>1</v>
      </c>
      <c r="M53" s="560">
        <v>333.31</v>
      </c>
    </row>
    <row r="54" spans="1:13" ht="14.4" customHeight="1" x14ac:dyDescent="0.3">
      <c r="A54" s="541" t="s">
        <v>519</v>
      </c>
      <c r="B54" s="542" t="s">
        <v>1133</v>
      </c>
      <c r="C54" s="542" t="s">
        <v>653</v>
      </c>
      <c r="D54" s="542" t="s">
        <v>654</v>
      </c>
      <c r="E54" s="542" t="s">
        <v>655</v>
      </c>
      <c r="F54" s="559">
        <v>3</v>
      </c>
      <c r="G54" s="559">
        <v>350.4</v>
      </c>
      <c r="H54" s="547">
        <v>1</v>
      </c>
      <c r="I54" s="559"/>
      <c r="J54" s="559"/>
      <c r="K54" s="547">
        <v>0</v>
      </c>
      <c r="L54" s="559">
        <v>3</v>
      </c>
      <c r="M54" s="560">
        <v>350.4</v>
      </c>
    </row>
    <row r="55" spans="1:13" ht="14.4" customHeight="1" x14ac:dyDescent="0.3">
      <c r="A55" s="541" t="s">
        <v>519</v>
      </c>
      <c r="B55" s="542" t="s">
        <v>1133</v>
      </c>
      <c r="C55" s="542" t="s">
        <v>881</v>
      </c>
      <c r="D55" s="542" t="s">
        <v>882</v>
      </c>
      <c r="E55" s="542" t="s">
        <v>883</v>
      </c>
      <c r="F55" s="559"/>
      <c r="G55" s="559"/>
      <c r="H55" s="547">
        <v>0</v>
      </c>
      <c r="I55" s="559">
        <v>1</v>
      </c>
      <c r="J55" s="559">
        <v>175.19</v>
      </c>
      <c r="K55" s="547">
        <v>1</v>
      </c>
      <c r="L55" s="559">
        <v>1</v>
      </c>
      <c r="M55" s="560">
        <v>175.19</v>
      </c>
    </row>
    <row r="56" spans="1:13" ht="14.4" customHeight="1" x14ac:dyDescent="0.3">
      <c r="A56" s="541" t="s">
        <v>519</v>
      </c>
      <c r="B56" s="542" t="s">
        <v>1133</v>
      </c>
      <c r="C56" s="542" t="s">
        <v>656</v>
      </c>
      <c r="D56" s="542" t="s">
        <v>657</v>
      </c>
      <c r="E56" s="542" t="s">
        <v>655</v>
      </c>
      <c r="F56" s="559"/>
      <c r="G56" s="559"/>
      <c r="H56" s="547">
        <v>0</v>
      </c>
      <c r="I56" s="559">
        <v>8</v>
      </c>
      <c r="J56" s="559">
        <v>934.4</v>
      </c>
      <c r="K56" s="547">
        <v>1</v>
      </c>
      <c r="L56" s="559">
        <v>8</v>
      </c>
      <c r="M56" s="560">
        <v>934.4</v>
      </c>
    </row>
    <row r="57" spans="1:13" ht="14.4" customHeight="1" x14ac:dyDescent="0.3">
      <c r="A57" s="541" t="s">
        <v>519</v>
      </c>
      <c r="B57" s="542" t="s">
        <v>1133</v>
      </c>
      <c r="C57" s="542" t="s">
        <v>884</v>
      </c>
      <c r="D57" s="542" t="s">
        <v>654</v>
      </c>
      <c r="E57" s="542" t="s">
        <v>655</v>
      </c>
      <c r="F57" s="559">
        <v>2</v>
      </c>
      <c r="G57" s="559">
        <v>0</v>
      </c>
      <c r="H57" s="547"/>
      <c r="I57" s="559"/>
      <c r="J57" s="559"/>
      <c r="K57" s="547"/>
      <c r="L57" s="559">
        <v>2</v>
      </c>
      <c r="M57" s="560">
        <v>0</v>
      </c>
    </row>
    <row r="58" spans="1:13" ht="14.4" customHeight="1" x14ac:dyDescent="0.3">
      <c r="A58" s="541" t="s">
        <v>519</v>
      </c>
      <c r="B58" s="542" t="s">
        <v>1123</v>
      </c>
      <c r="C58" s="542" t="s">
        <v>763</v>
      </c>
      <c r="D58" s="542" t="s">
        <v>764</v>
      </c>
      <c r="E58" s="542" t="s">
        <v>765</v>
      </c>
      <c r="F58" s="559">
        <v>1</v>
      </c>
      <c r="G58" s="559">
        <v>222.25</v>
      </c>
      <c r="H58" s="547">
        <v>1</v>
      </c>
      <c r="I58" s="559"/>
      <c r="J58" s="559"/>
      <c r="K58" s="547">
        <v>0</v>
      </c>
      <c r="L58" s="559">
        <v>1</v>
      </c>
      <c r="M58" s="560">
        <v>222.25</v>
      </c>
    </row>
    <row r="59" spans="1:13" ht="14.4" customHeight="1" x14ac:dyDescent="0.3">
      <c r="A59" s="541" t="s">
        <v>519</v>
      </c>
      <c r="B59" s="542" t="s">
        <v>1123</v>
      </c>
      <c r="C59" s="542" t="s">
        <v>766</v>
      </c>
      <c r="D59" s="542" t="s">
        <v>531</v>
      </c>
      <c r="E59" s="542" t="s">
        <v>765</v>
      </c>
      <c r="F59" s="559"/>
      <c r="G59" s="559"/>
      <c r="H59" s="547">
        <v>0</v>
      </c>
      <c r="I59" s="559">
        <v>8</v>
      </c>
      <c r="J59" s="559">
        <v>1389.56</v>
      </c>
      <c r="K59" s="547">
        <v>1</v>
      </c>
      <c r="L59" s="559">
        <v>8</v>
      </c>
      <c r="M59" s="560">
        <v>1389.56</v>
      </c>
    </row>
    <row r="60" spans="1:13" ht="14.4" customHeight="1" x14ac:dyDescent="0.3">
      <c r="A60" s="541" t="s">
        <v>519</v>
      </c>
      <c r="B60" s="542" t="s">
        <v>1125</v>
      </c>
      <c r="C60" s="542" t="s">
        <v>697</v>
      </c>
      <c r="D60" s="542" t="s">
        <v>632</v>
      </c>
      <c r="E60" s="542" t="s">
        <v>698</v>
      </c>
      <c r="F60" s="559"/>
      <c r="G60" s="559"/>
      <c r="H60" s="547">
        <v>0</v>
      </c>
      <c r="I60" s="559">
        <v>8</v>
      </c>
      <c r="J60" s="559">
        <v>643.94000000000005</v>
      </c>
      <c r="K60" s="547">
        <v>1</v>
      </c>
      <c r="L60" s="559">
        <v>8</v>
      </c>
      <c r="M60" s="560">
        <v>643.94000000000005</v>
      </c>
    </row>
    <row r="61" spans="1:13" ht="14.4" customHeight="1" x14ac:dyDescent="0.3">
      <c r="A61" s="541" t="s">
        <v>519</v>
      </c>
      <c r="B61" s="542" t="s">
        <v>1125</v>
      </c>
      <c r="C61" s="542" t="s">
        <v>699</v>
      </c>
      <c r="D61" s="542" t="s">
        <v>632</v>
      </c>
      <c r="E61" s="542" t="s">
        <v>700</v>
      </c>
      <c r="F61" s="559"/>
      <c r="G61" s="559"/>
      <c r="H61" s="547">
        <v>0</v>
      </c>
      <c r="I61" s="559">
        <v>19</v>
      </c>
      <c r="J61" s="559">
        <v>1546.08</v>
      </c>
      <c r="K61" s="547">
        <v>1</v>
      </c>
      <c r="L61" s="559">
        <v>19</v>
      </c>
      <c r="M61" s="560">
        <v>1546.08</v>
      </c>
    </row>
    <row r="62" spans="1:13" ht="14.4" customHeight="1" x14ac:dyDescent="0.3">
      <c r="A62" s="541" t="s">
        <v>519</v>
      </c>
      <c r="B62" s="542" t="s">
        <v>1125</v>
      </c>
      <c r="C62" s="542" t="s">
        <v>927</v>
      </c>
      <c r="D62" s="542" t="s">
        <v>928</v>
      </c>
      <c r="E62" s="542" t="s">
        <v>929</v>
      </c>
      <c r="F62" s="559">
        <v>7</v>
      </c>
      <c r="G62" s="559">
        <v>602.25</v>
      </c>
      <c r="H62" s="547">
        <v>1</v>
      </c>
      <c r="I62" s="559"/>
      <c r="J62" s="559"/>
      <c r="K62" s="547">
        <v>0</v>
      </c>
      <c r="L62" s="559">
        <v>7</v>
      </c>
      <c r="M62" s="560">
        <v>602.25</v>
      </c>
    </row>
    <row r="63" spans="1:13" ht="14.4" customHeight="1" x14ac:dyDescent="0.3">
      <c r="A63" s="541" t="s">
        <v>519</v>
      </c>
      <c r="B63" s="542" t="s">
        <v>1138</v>
      </c>
      <c r="C63" s="542" t="s">
        <v>975</v>
      </c>
      <c r="D63" s="542" t="s">
        <v>976</v>
      </c>
      <c r="E63" s="542" t="s">
        <v>977</v>
      </c>
      <c r="F63" s="559"/>
      <c r="G63" s="559"/>
      <c r="H63" s="547">
        <v>0</v>
      </c>
      <c r="I63" s="559">
        <v>2</v>
      </c>
      <c r="J63" s="559">
        <v>392.92</v>
      </c>
      <c r="K63" s="547">
        <v>1</v>
      </c>
      <c r="L63" s="559">
        <v>2</v>
      </c>
      <c r="M63" s="560">
        <v>392.92</v>
      </c>
    </row>
    <row r="64" spans="1:13" ht="14.4" customHeight="1" x14ac:dyDescent="0.3">
      <c r="A64" s="541" t="s">
        <v>519</v>
      </c>
      <c r="B64" s="542" t="s">
        <v>1138</v>
      </c>
      <c r="C64" s="542" t="s">
        <v>978</v>
      </c>
      <c r="D64" s="542" t="s">
        <v>979</v>
      </c>
      <c r="E64" s="542" t="s">
        <v>980</v>
      </c>
      <c r="F64" s="559"/>
      <c r="G64" s="559"/>
      <c r="H64" s="547">
        <v>0</v>
      </c>
      <c r="I64" s="559">
        <v>4</v>
      </c>
      <c r="J64" s="559">
        <v>1257.3599999999999</v>
      </c>
      <c r="K64" s="547">
        <v>1</v>
      </c>
      <c r="L64" s="559">
        <v>4</v>
      </c>
      <c r="M64" s="560">
        <v>1257.3599999999999</v>
      </c>
    </row>
    <row r="65" spans="1:13" ht="14.4" customHeight="1" x14ac:dyDescent="0.3">
      <c r="A65" s="541" t="s">
        <v>519</v>
      </c>
      <c r="B65" s="542" t="s">
        <v>1139</v>
      </c>
      <c r="C65" s="542" t="s">
        <v>959</v>
      </c>
      <c r="D65" s="542" t="s">
        <v>960</v>
      </c>
      <c r="E65" s="542" t="s">
        <v>961</v>
      </c>
      <c r="F65" s="559"/>
      <c r="G65" s="559"/>
      <c r="H65" s="547">
        <v>0</v>
      </c>
      <c r="I65" s="559">
        <v>3</v>
      </c>
      <c r="J65" s="559">
        <v>828</v>
      </c>
      <c r="K65" s="547">
        <v>1</v>
      </c>
      <c r="L65" s="559">
        <v>3</v>
      </c>
      <c r="M65" s="560">
        <v>828</v>
      </c>
    </row>
    <row r="66" spans="1:13" ht="14.4" customHeight="1" x14ac:dyDescent="0.3">
      <c r="A66" s="541" t="s">
        <v>519</v>
      </c>
      <c r="B66" s="542" t="s">
        <v>505</v>
      </c>
      <c r="C66" s="542" t="s">
        <v>497</v>
      </c>
      <c r="D66" s="542" t="s">
        <v>498</v>
      </c>
      <c r="E66" s="542" t="s">
        <v>506</v>
      </c>
      <c r="F66" s="559"/>
      <c r="G66" s="559"/>
      <c r="H66" s="547">
        <v>0</v>
      </c>
      <c r="I66" s="559">
        <v>3</v>
      </c>
      <c r="J66" s="559">
        <v>284.39999999999998</v>
      </c>
      <c r="K66" s="547">
        <v>1</v>
      </c>
      <c r="L66" s="559">
        <v>3</v>
      </c>
      <c r="M66" s="560">
        <v>284.39999999999998</v>
      </c>
    </row>
    <row r="67" spans="1:13" ht="14.4" customHeight="1" x14ac:dyDescent="0.3">
      <c r="A67" s="541" t="s">
        <v>519</v>
      </c>
      <c r="B67" s="542" t="s">
        <v>1140</v>
      </c>
      <c r="C67" s="542" t="s">
        <v>907</v>
      </c>
      <c r="D67" s="542" t="s">
        <v>908</v>
      </c>
      <c r="E67" s="542" t="s">
        <v>909</v>
      </c>
      <c r="F67" s="559">
        <v>1</v>
      </c>
      <c r="G67" s="559">
        <v>356.47</v>
      </c>
      <c r="H67" s="547">
        <v>1</v>
      </c>
      <c r="I67" s="559"/>
      <c r="J67" s="559"/>
      <c r="K67" s="547">
        <v>0</v>
      </c>
      <c r="L67" s="559">
        <v>1</v>
      </c>
      <c r="M67" s="560">
        <v>356.47</v>
      </c>
    </row>
    <row r="68" spans="1:13" ht="14.4" customHeight="1" x14ac:dyDescent="0.3">
      <c r="A68" s="541" t="s">
        <v>520</v>
      </c>
      <c r="B68" s="542" t="s">
        <v>1118</v>
      </c>
      <c r="C68" s="542" t="s">
        <v>1044</v>
      </c>
      <c r="D68" s="542" t="s">
        <v>1045</v>
      </c>
      <c r="E68" s="542" t="s">
        <v>544</v>
      </c>
      <c r="F68" s="559"/>
      <c r="G68" s="559"/>
      <c r="H68" s="547">
        <v>0</v>
      </c>
      <c r="I68" s="559">
        <v>3</v>
      </c>
      <c r="J68" s="559">
        <v>159.47999999999999</v>
      </c>
      <c r="K68" s="547">
        <v>1</v>
      </c>
      <c r="L68" s="559">
        <v>3</v>
      </c>
      <c r="M68" s="560">
        <v>159.47999999999999</v>
      </c>
    </row>
    <row r="69" spans="1:13" ht="14.4" customHeight="1" x14ac:dyDescent="0.3">
      <c r="A69" s="541" t="s">
        <v>520</v>
      </c>
      <c r="B69" s="542" t="s">
        <v>1141</v>
      </c>
      <c r="C69" s="542" t="s">
        <v>1055</v>
      </c>
      <c r="D69" s="542" t="s">
        <v>1056</v>
      </c>
      <c r="E69" s="542" t="s">
        <v>1057</v>
      </c>
      <c r="F69" s="559">
        <v>3</v>
      </c>
      <c r="G69" s="559">
        <v>502.14</v>
      </c>
      <c r="H69" s="547">
        <v>1</v>
      </c>
      <c r="I69" s="559"/>
      <c r="J69" s="559"/>
      <c r="K69" s="547">
        <v>0</v>
      </c>
      <c r="L69" s="559">
        <v>3</v>
      </c>
      <c r="M69" s="560">
        <v>502.14</v>
      </c>
    </row>
    <row r="70" spans="1:13" ht="14.4" customHeight="1" x14ac:dyDescent="0.3">
      <c r="A70" s="541" t="s">
        <v>520</v>
      </c>
      <c r="B70" s="542" t="s">
        <v>1142</v>
      </c>
      <c r="C70" s="542" t="s">
        <v>1011</v>
      </c>
      <c r="D70" s="542" t="s">
        <v>1012</v>
      </c>
      <c r="E70" s="542" t="s">
        <v>1013</v>
      </c>
      <c r="F70" s="559"/>
      <c r="G70" s="559"/>
      <c r="H70" s="547">
        <v>0</v>
      </c>
      <c r="I70" s="559">
        <v>1</v>
      </c>
      <c r="J70" s="559">
        <v>146.63</v>
      </c>
      <c r="K70" s="547">
        <v>1</v>
      </c>
      <c r="L70" s="559">
        <v>1</v>
      </c>
      <c r="M70" s="560">
        <v>146.63</v>
      </c>
    </row>
    <row r="71" spans="1:13" ht="14.4" customHeight="1" x14ac:dyDescent="0.3">
      <c r="A71" s="541" t="s">
        <v>520</v>
      </c>
      <c r="B71" s="542" t="s">
        <v>1119</v>
      </c>
      <c r="C71" s="542" t="s">
        <v>1014</v>
      </c>
      <c r="D71" s="542" t="s">
        <v>1015</v>
      </c>
      <c r="E71" s="542" t="s">
        <v>1016</v>
      </c>
      <c r="F71" s="559">
        <v>1</v>
      </c>
      <c r="G71" s="559">
        <v>31.43</v>
      </c>
      <c r="H71" s="547">
        <v>1</v>
      </c>
      <c r="I71" s="559"/>
      <c r="J71" s="559"/>
      <c r="K71" s="547">
        <v>0</v>
      </c>
      <c r="L71" s="559">
        <v>1</v>
      </c>
      <c r="M71" s="560">
        <v>31.43</v>
      </c>
    </row>
    <row r="72" spans="1:13" ht="14.4" customHeight="1" x14ac:dyDescent="0.3">
      <c r="A72" s="541" t="s">
        <v>520</v>
      </c>
      <c r="B72" s="542" t="s">
        <v>1119</v>
      </c>
      <c r="C72" s="542" t="s">
        <v>1017</v>
      </c>
      <c r="D72" s="542" t="s">
        <v>1018</v>
      </c>
      <c r="E72" s="542" t="s">
        <v>536</v>
      </c>
      <c r="F72" s="559"/>
      <c r="G72" s="559"/>
      <c r="H72" s="547">
        <v>0</v>
      </c>
      <c r="I72" s="559">
        <v>3</v>
      </c>
      <c r="J72" s="559">
        <v>134.67000000000002</v>
      </c>
      <c r="K72" s="547">
        <v>1</v>
      </c>
      <c r="L72" s="559">
        <v>3</v>
      </c>
      <c r="M72" s="560">
        <v>134.67000000000002</v>
      </c>
    </row>
    <row r="73" spans="1:13" ht="14.4" customHeight="1" x14ac:dyDescent="0.3">
      <c r="A73" s="541" t="s">
        <v>520</v>
      </c>
      <c r="B73" s="542" t="s">
        <v>1119</v>
      </c>
      <c r="C73" s="542" t="s">
        <v>534</v>
      </c>
      <c r="D73" s="542" t="s">
        <v>535</v>
      </c>
      <c r="E73" s="542" t="s">
        <v>536</v>
      </c>
      <c r="F73" s="559">
        <v>2</v>
      </c>
      <c r="G73" s="559">
        <v>89.78</v>
      </c>
      <c r="H73" s="547">
        <v>1</v>
      </c>
      <c r="I73" s="559"/>
      <c r="J73" s="559"/>
      <c r="K73" s="547">
        <v>0</v>
      </c>
      <c r="L73" s="559">
        <v>2</v>
      </c>
      <c r="M73" s="560">
        <v>89.78</v>
      </c>
    </row>
    <row r="74" spans="1:13" ht="14.4" customHeight="1" x14ac:dyDescent="0.3">
      <c r="A74" s="541" t="s">
        <v>520</v>
      </c>
      <c r="B74" s="542" t="s">
        <v>1143</v>
      </c>
      <c r="C74" s="542" t="s">
        <v>1072</v>
      </c>
      <c r="D74" s="542" t="s">
        <v>1073</v>
      </c>
      <c r="E74" s="542" t="s">
        <v>1074</v>
      </c>
      <c r="F74" s="559">
        <v>1</v>
      </c>
      <c r="G74" s="559">
        <v>0</v>
      </c>
      <c r="H74" s="547"/>
      <c r="I74" s="559"/>
      <c r="J74" s="559"/>
      <c r="K74" s="547"/>
      <c r="L74" s="559">
        <v>1</v>
      </c>
      <c r="M74" s="560">
        <v>0</v>
      </c>
    </row>
    <row r="75" spans="1:13" ht="14.4" customHeight="1" x14ac:dyDescent="0.3">
      <c r="A75" s="541" t="s">
        <v>520</v>
      </c>
      <c r="B75" s="542" t="s">
        <v>1143</v>
      </c>
      <c r="C75" s="542" t="s">
        <v>1069</v>
      </c>
      <c r="D75" s="542" t="s">
        <v>1070</v>
      </c>
      <c r="E75" s="542" t="s">
        <v>1071</v>
      </c>
      <c r="F75" s="559">
        <v>2</v>
      </c>
      <c r="G75" s="559">
        <v>201.26</v>
      </c>
      <c r="H75" s="547">
        <v>1</v>
      </c>
      <c r="I75" s="559"/>
      <c r="J75" s="559"/>
      <c r="K75" s="547">
        <v>0</v>
      </c>
      <c r="L75" s="559">
        <v>2</v>
      </c>
      <c r="M75" s="560">
        <v>201.26</v>
      </c>
    </row>
    <row r="76" spans="1:13" ht="14.4" customHeight="1" x14ac:dyDescent="0.3">
      <c r="A76" s="541" t="s">
        <v>520</v>
      </c>
      <c r="B76" s="542" t="s">
        <v>1143</v>
      </c>
      <c r="C76" s="542" t="s">
        <v>1033</v>
      </c>
      <c r="D76" s="542" t="s">
        <v>1144</v>
      </c>
      <c r="E76" s="542" t="s">
        <v>1145</v>
      </c>
      <c r="F76" s="559">
        <v>2</v>
      </c>
      <c r="G76" s="559">
        <v>0</v>
      </c>
      <c r="H76" s="547"/>
      <c r="I76" s="559"/>
      <c r="J76" s="559"/>
      <c r="K76" s="547"/>
      <c r="L76" s="559">
        <v>2</v>
      </c>
      <c r="M76" s="560">
        <v>0</v>
      </c>
    </row>
    <row r="77" spans="1:13" ht="14.4" customHeight="1" x14ac:dyDescent="0.3">
      <c r="A77" s="541" t="s">
        <v>520</v>
      </c>
      <c r="B77" s="542" t="s">
        <v>1121</v>
      </c>
      <c r="C77" s="542" t="s">
        <v>1007</v>
      </c>
      <c r="D77" s="542" t="s">
        <v>1008</v>
      </c>
      <c r="E77" s="542" t="s">
        <v>1009</v>
      </c>
      <c r="F77" s="559"/>
      <c r="G77" s="559"/>
      <c r="H77" s="547">
        <v>0</v>
      </c>
      <c r="I77" s="559">
        <v>5</v>
      </c>
      <c r="J77" s="559">
        <v>1088.25</v>
      </c>
      <c r="K77" s="547">
        <v>1</v>
      </c>
      <c r="L77" s="559">
        <v>5</v>
      </c>
      <c r="M77" s="560">
        <v>1088.25</v>
      </c>
    </row>
    <row r="78" spans="1:13" ht="14.4" customHeight="1" thickBot="1" x14ac:dyDescent="0.35">
      <c r="A78" s="549" t="s">
        <v>520</v>
      </c>
      <c r="B78" s="550" t="s">
        <v>1146</v>
      </c>
      <c r="C78" s="550" t="s">
        <v>1001</v>
      </c>
      <c r="D78" s="550" t="s">
        <v>1002</v>
      </c>
      <c r="E78" s="550" t="s">
        <v>1003</v>
      </c>
      <c r="F78" s="561"/>
      <c r="G78" s="561"/>
      <c r="H78" s="555">
        <v>0</v>
      </c>
      <c r="I78" s="561">
        <v>1</v>
      </c>
      <c r="J78" s="561">
        <v>95.25</v>
      </c>
      <c r="K78" s="555">
        <v>1</v>
      </c>
      <c r="L78" s="561">
        <v>1</v>
      </c>
      <c r="M78" s="562">
        <v>95.25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9" customWidth="1"/>
    <col min="2" max="2" width="61.109375" style="209" customWidth="1"/>
    <col min="3" max="3" width="9.5546875" style="130" customWidth="1"/>
    <col min="4" max="4" width="9.5546875" style="210" customWidth="1"/>
    <col min="5" max="5" width="2.21875" style="210" customWidth="1"/>
    <col min="6" max="6" width="9.5546875" style="211" customWidth="1"/>
    <col min="7" max="7" width="9.5546875" style="208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141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5" t="s">
        <v>281</v>
      </c>
      <c r="B2" s="207"/>
      <c r="C2" s="207"/>
      <c r="D2" s="207"/>
      <c r="E2" s="207"/>
      <c r="F2" s="207"/>
    </row>
    <row r="3" spans="1:10" ht="14.4" customHeight="1" thickBot="1" x14ac:dyDescent="0.35">
      <c r="A3" s="235"/>
      <c r="B3" s="207"/>
      <c r="C3" s="293">
        <v>2012</v>
      </c>
      <c r="D3" s="294">
        <v>2013</v>
      </c>
      <c r="E3" s="7"/>
      <c r="F3" s="349">
        <v>2014</v>
      </c>
      <c r="G3" s="350"/>
      <c r="H3" s="350"/>
      <c r="I3" s="351"/>
    </row>
    <row r="4" spans="1:10" ht="14.4" customHeight="1" thickBot="1" x14ac:dyDescent="0.35">
      <c r="A4" s="298" t="s">
        <v>0</v>
      </c>
      <c r="B4" s="299" t="s">
        <v>266</v>
      </c>
      <c r="C4" s="352" t="s">
        <v>73</v>
      </c>
      <c r="D4" s="353"/>
      <c r="E4" s="300"/>
      <c r="F4" s="295" t="s">
        <v>73</v>
      </c>
      <c r="G4" s="296" t="s">
        <v>74</v>
      </c>
      <c r="H4" s="296" t="s">
        <v>68</v>
      </c>
      <c r="I4" s="297" t="s">
        <v>75</v>
      </c>
    </row>
    <row r="5" spans="1:10" ht="14.4" customHeight="1" x14ac:dyDescent="0.3">
      <c r="A5" s="446" t="s">
        <v>453</v>
      </c>
      <c r="B5" s="447" t="s">
        <v>454</v>
      </c>
      <c r="C5" s="448" t="s">
        <v>455</v>
      </c>
      <c r="D5" s="448" t="s">
        <v>455</v>
      </c>
      <c r="E5" s="448"/>
      <c r="F5" s="448" t="s">
        <v>455</v>
      </c>
      <c r="G5" s="448" t="s">
        <v>455</v>
      </c>
      <c r="H5" s="448" t="s">
        <v>455</v>
      </c>
      <c r="I5" s="449" t="s">
        <v>455</v>
      </c>
      <c r="J5" s="450" t="s">
        <v>69</v>
      </c>
    </row>
    <row r="6" spans="1:10" ht="14.4" customHeight="1" x14ac:dyDescent="0.3">
      <c r="A6" s="446" t="s">
        <v>453</v>
      </c>
      <c r="B6" s="447" t="s">
        <v>294</v>
      </c>
      <c r="C6" s="448">
        <v>2.9395199999999999</v>
      </c>
      <c r="D6" s="448">
        <v>1.576009999999</v>
      </c>
      <c r="E6" s="448"/>
      <c r="F6" s="448">
        <v>4.3874599999999999</v>
      </c>
      <c r="G6" s="448">
        <v>1.576008330766</v>
      </c>
      <c r="H6" s="448">
        <v>2.8114516692339997</v>
      </c>
      <c r="I6" s="449">
        <v>2.7839066040136524</v>
      </c>
      <c r="J6" s="450" t="s">
        <v>1</v>
      </c>
    </row>
    <row r="7" spans="1:10" ht="14.4" customHeight="1" x14ac:dyDescent="0.3">
      <c r="A7" s="446" t="s">
        <v>453</v>
      </c>
      <c r="B7" s="447" t="s">
        <v>295</v>
      </c>
      <c r="C7" s="448">
        <v>0.39984999999999998</v>
      </c>
      <c r="D7" s="448">
        <v>9.7289999999999988E-2</v>
      </c>
      <c r="E7" s="448"/>
      <c r="F7" s="448">
        <v>0.18228</v>
      </c>
      <c r="G7" s="448">
        <v>9.7511242466000014E-2</v>
      </c>
      <c r="H7" s="448">
        <v>8.4768757533999983E-2</v>
      </c>
      <c r="I7" s="449">
        <v>1.8693229148788351</v>
      </c>
      <c r="J7" s="450" t="s">
        <v>1</v>
      </c>
    </row>
    <row r="8" spans="1:10" ht="14.4" customHeight="1" x14ac:dyDescent="0.3">
      <c r="A8" s="446" t="s">
        <v>453</v>
      </c>
      <c r="B8" s="447" t="s">
        <v>296</v>
      </c>
      <c r="C8" s="448">
        <v>15.918700000000001</v>
      </c>
      <c r="D8" s="448">
        <v>24.476989999999997</v>
      </c>
      <c r="E8" s="448"/>
      <c r="F8" s="448">
        <v>18.408799999999999</v>
      </c>
      <c r="G8" s="448">
        <v>24.476805606505998</v>
      </c>
      <c r="H8" s="448">
        <v>-6.0680056065059986</v>
      </c>
      <c r="I8" s="449">
        <v>0.75209160443333722</v>
      </c>
      <c r="J8" s="450" t="s">
        <v>1</v>
      </c>
    </row>
    <row r="9" spans="1:10" ht="14.4" customHeight="1" x14ac:dyDescent="0.3">
      <c r="A9" s="446" t="s">
        <v>453</v>
      </c>
      <c r="B9" s="447" t="s">
        <v>1148</v>
      </c>
      <c r="C9" s="448">
        <v>1.538E-2</v>
      </c>
      <c r="D9" s="448" t="s">
        <v>455</v>
      </c>
      <c r="E9" s="448"/>
      <c r="F9" s="448" t="s">
        <v>455</v>
      </c>
      <c r="G9" s="448" t="s">
        <v>455</v>
      </c>
      <c r="H9" s="448" t="s">
        <v>455</v>
      </c>
      <c r="I9" s="449" t="s">
        <v>455</v>
      </c>
      <c r="J9" s="450" t="s">
        <v>1</v>
      </c>
    </row>
    <row r="10" spans="1:10" ht="14.4" customHeight="1" x14ac:dyDescent="0.3">
      <c r="A10" s="446" t="s">
        <v>453</v>
      </c>
      <c r="B10" s="447" t="s">
        <v>297</v>
      </c>
      <c r="C10" s="448" t="s">
        <v>455</v>
      </c>
      <c r="D10" s="448" t="s">
        <v>455</v>
      </c>
      <c r="E10" s="448"/>
      <c r="F10" s="448">
        <v>0.17499999999999999</v>
      </c>
      <c r="G10" s="448">
        <v>0</v>
      </c>
      <c r="H10" s="448">
        <v>0.17499999999999999</v>
      </c>
      <c r="I10" s="449" t="s">
        <v>455</v>
      </c>
      <c r="J10" s="450" t="s">
        <v>1</v>
      </c>
    </row>
    <row r="11" spans="1:10" ht="14.4" customHeight="1" x14ac:dyDescent="0.3">
      <c r="A11" s="446" t="s">
        <v>453</v>
      </c>
      <c r="B11" s="447" t="s">
        <v>298</v>
      </c>
      <c r="C11" s="448">
        <v>6.4000000000000001E-2</v>
      </c>
      <c r="D11" s="448">
        <v>0.8137999999990001</v>
      </c>
      <c r="E11" s="448"/>
      <c r="F11" s="448">
        <v>0</v>
      </c>
      <c r="G11" s="448">
        <v>0.82531566175500015</v>
      </c>
      <c r="H11" s="448">
        <v>-0.82531566175500015</v>
      </c>
      <c r="I11" s="449">
        <v>0</v>
      </c>
      <c r="J11" s="450" t="s">
        <v>1</v>
      </c>
    </row>
    <row r="12" spans="1:10" ht="14.4" customHeight="1" x14ac:dyDescent="0.3">
      <c r="A12" s="446" t="s">
        <v>453</v>
      </c>
      <c r="B12" s="447" t="s">
        <v>456</v>
      </c>
      <c r="C12" s="448">
        <v>19.33745</v>
      </c>
      <c r="D12" s="448">
        <v>26.964089999997995</v>
      </c>
      <c r="E12" s="448"/>
      <c r="F12" s="448">
        <v>23.15354</v>
      </c>
      <c r="G12" s="448">
        <v>26.975640841492996</v>
      </c>
      <c r="H12" s="448">
        <v>-3.8221008414929969</v>
      </c>
      <c r="I12" s="449">
        <v>0.85831288072259715</v>
      </c>
      <c r="J12" s="450" t="s">
        <v>457</v>
      </c>
    </row>
    <row r="14" spans="1:10" ht="14.4" customHeight="1" x14ac:dyDescent="0.3">
      <c r="A14" s="446" t="s">
        <v>453</v>
      </c>
      <c r="B14" s="447" t="s">
        <v>454</v>
      </c>
      <c r="C14" s="448" t="s">
        <v>455</v>
      </c>
      <c r="D14" s="448" t="s">
        <v>455</v>
      </c>
      <c r="E14" s="448"/>
      <c r="F14" s="448" t="s">
        <v>455</v>
      </c>
      <c r="G14" s="448" t="s">
        <v>455</v>
      </c>
      <c r="H14" s="448" t="s">
        <v>455</v>
      </c>
      <c r="I14" s="449" t="s">
        <v>455</v>
      </c>
      <c r="J14" s="450" t="s">
        <v>69</v>
      </c>
    </row>
    <row r="15" spans="1:10" ht="14.4" customHeight="1" x14ac:dyDescent="0.3">
      <c r="A15" s="446" t="s">
        <v>458</v>
      </c>
      <c r="B15" s="447" t="s">
        <v>459</v>
      </c>
      <c r="C15" s="448" t="s">
        <v>455</v>
      </c>
      <c r="D15" s="448" t="s">
        <v>455</v>
      </c>
      <c r="E15" s="448"/>
      <c r="F15" s="448" t="s">
        <v>455</v>
      </c>
      <c r="G15" s="448" t="s">
        <v>455</v>
      </c>
      <c r="H15" s="448" t="s">
        <v>455</v>
      </c>
      <c r="I15" s="449" t="s">
        <v>455</v>
      </c>
      <c r="J15" s="450" t="s">
        <v>0</v>
      </c>
    </row>
    <row r="16" spans="1:10" ht="14.4" customHeight="1" x14ac:dyDescent="0.3">
      <c r="A16" s="446" t="s">
        <v>458</v>
      </c>
      <c r="B16" s="447" t="s">
        <v>294</v>
      </c>
      <c r="C16" s="448">
        <v>2.9395199999999999</v>
      </c>
      <c r="D16" s="448">
        <v>1.576009999999</v>
      </c>
      <c r="E16" s="448"/>
      <c r="F16" s="448">
        <v>4.3874599999999999</v>
      </c>
      <c r="G16" s="448">
        <v>1.576008330766</v>
      </c>
      <c r="H16" s="448">
        <v>2.8114516692339997</v>
      </c>
      <c r="I16" s="449">
        <v>2.7839066040136524</v>
      </c>
      <c r="J16" s="450" t="s">
        <v>1</v>
      </c>
    </row>
    <row r="17" spans="1:10" ht="14.4" customHeight="1" x14ac:dyDescent="0.3">
      <c r="A17" s="446" t="s">
        <v>458</v>
      </c>
      <c r="B17" s="447" t="s">
        <v>295</v>
      </c>
      <c r="C17" s="448">
        <v>0.39984999999999998</v>
      </c>
      <c r="D17" s="448">
        <v>9.7289999999999988E-2</v>
      </c>
      <c r="E17" s="448"/>
      <c r="F17" s="448">
        <v>0.18228</v>
      </c>
      <c r="G17" s="448">
        <v>9.7511242466000014E-2</v>
      </c>
      <c r="H17" s="448">
        <v>8.4768757533999983E-2</v>
      </c>
      <c r="I17" s="449">
        <v>1.8693229148788351</v>
      </c>
      <c r="J17" s="450" t="s">
        <v>1</v>
      </c>
    </row>
    <row r="18" spans="1:10" ht="14.4" customHeight="1" x14ac:dyDescent="0.3">
      <c r="A18" s="446" t="s">
        <v>458</v>
      </c>
      <c r="B18" s="447" t="s">
        <v>296</v>
      </c>
      <c r="C18" s="448">
        <v>9.4336900000000004</v>
      </c>
      <c r="D18" s="448">
        <v>19.315559999999998</v>
      </c>
      <c r="E18" s="448"/>
      <c r="F18" s="448">
        <v>18.408799999999999</v>
      </c>
      <c r="G18" s="448">
        <v>21.476824724442999</v>
      </c>
      <c r="H18" s="448">
        <v>-3.0680247244429992</v>
      </c>
      <c r="I18" s="449">
        <v>0.85714719173774101</v>
      </c>
      <c r="J18" s="450" t="s">
        <v>1</v>
      </c>
    </row>
    <row r="19" spans="1:10" ht="14.4" customHeight="1" x14ac:dyDescent="0.3">
      <c r="A19" s="446" t="s">
        <v>458</v>
      </c>
      <c r="B19" s="447" t="s">
        <v>1148</v>
      </c>
      <c r="C19" s="448">
        <v>1.538E-2</v>
      </c>
      <c r="D19" s="448" t="s">
        <v>455</v>
      </c>
      <c r="E19" s="448"/>
      <c r="F19" s="448" t="s">
        <v>455</v>
      </c>
      <c r="G19" s="448" t="s">
        <v>455</v>
      </c>
      <c r="H19" s="448" t="s">
        <v>455</v>
      </c>
      <c r="I19" s="449" t="s">
        <v>455</v>
      </c>
      <c r="J19" s="450" t="s">
        <v>1</v>
      </c>
    </row>
    <row r="20" spans="1:10" ht="14.4" customHeight="1" x14ac:dyDescent="0.3">
      <c r="A20" s="446" t="s">
        <v>458</v>
      </c>
      <c r="B20" s="447" t="s">
        <v>297</v>
      </c>
      <c r="C20" s="448" t="s">
        <v>455</v>
      </c>
      <c r="D20" s="448" t="s">
        <v>455</v>
      </c>
      <c r="E20" s="448"/>
      <c r="F20" s="448">
        <v>0.17499999999999999</v>
      </c>
      <c r="G20" s="448">
        <v>0</v>
      </c>
      <c r="H20" s="448">
        <v>0.17499999999999999</v>
      </c>
      <c r="I20" s="449" t="s">
        <v>455</v>
      </c>
      <c r="J20" s="450" t="s">
        <v>1</v>
      </c>
    </row>
    <row r="21" spans="1:10" ht="14.4" customHeight="1" x14ac:dyDescent="0.3">
      <c r="A21" s="446" t="s">
        <v>458</v>
      </c>
      <c r="B21" s="447" t="s">
        <v>298</v>
      </c>
      <c r="C21" s="448">
        <v>6.4000000000000001E-2</v>
      </c>
      <c r="D21" s="448">
        <v>0.8137999999990001</v>
      </c>
      <c r="E21" s="448"/>
      <c r="F21" s="448">
        <v>0</v>
      </c>
      <c r="G21" s="448">
        <v>0.82531566175500015</v>
      </c>
      <c r="H21" s="448">
        <v>-0.82531566175500015</v>
      </c>
      <c r="I21" s="449">
        <v>0</v>
      </c>
      <c r="J21" s="450" t="s">
        <v>1</v>
      </c>
    </row>
    <row r="22" spans="1:10" ht="14.4" customHeight="1" x14ac:dyDescent="0.3">
      <c r="A22" s="446" t="s">
        <v>458</v>
      </c>
      <c r="B22" s="447" t="s">
        <v>460</v>
      </c>
      <c r="C22" s="448">
        <v>12.852440000000001</v>
      </c>
      <c r="D22" s="448">
        <v>21.802659999997996</v>
      </c>
      <c r="E22" s="448"/>
      <c r="F22" s="448">
        <v>23.15354</v>
      </c>
      <c r="G22" s="448">
        <v>23.975659959429997</v>
      </c>
      <c r="H22" s="448">
        <v>-0.82211995942999749</v>
      </c>
      <c r="I22" s="449">
        <v>0.9657102260867424</v>
      </c>
      <c r="J22" s="450" t="s">
        <v>461</v>
      </c>
    </row>
    <row r="23" spans="1:10" ht="14.4" customHeight="1" x14ac:dyDescent="0.3">
      <c r="A23" s="446" t="s">
        <v>455</v>
      </c>
      <c r="B23" s="447" t="s">
        <v>455</v>
      </c>
      <c r="C23" s="448" t="s">
        <v>455</v>
      </c>
      <c r="D23" s="448" t="s">
        <v>455</v>
      </c>
      <c r="E23" s="448"/>
      <c r="F23" s="448" t="s">
        <v>455</v>
      </c>
      <c r="G23" s="448" t="s">
        <v>455</v>
      </c>
      <c r="H23" s="448" t="s">
        <v>455</v>
      </c>
      <c r="I23" s="449" t="s">
        <v>455</v>
      </c>
      <c r="J23" s="450" t="s">
        <v>462</v>
      </c>
    </row>
    <row r="24" spans="1:10" ht="14.4" customHeight="1" x14ac:dyDescent="0.3">
      <c r="A24" s="446" t="s">
        <v>1149</v>
      </c>
      <c r="B24" s="447" t="s">
        <v>1150</v>
      </c>
      <c r="C24" s="448" t="s">
        <v>455</v>
      </c>
      <c r="D24" s="448" t="s">
        <v>455</v>
      </c>
      <c r="E24" s="448"/>
      <c r="F24" s="448" t="s">
        <v>455</v>
      </c>
      <c r="G24" s="448" t="s">
        <v>455</v>
      </c>
      <c r="H24" s="448" t="s">
        <v>455</v>
      </c>
      <c r="I24" s="449" t="s">
        <v>455</v>
      </c>
      <c r="J24" s="450" t="s">
        <v>0</v>
      </c>
    </row>
    <row r="25" spans="1:10" ht="14.4" customHeight="1" x14ac:dyDescent="0.3">
      <c r="A25" s="446" t="s">
        <v>1149</v>
      </c>
      <c r="B25" s="447" t="s">
        <v>296</v>
      </c>
      <c r="C25" s="448">
        <v>6.4850099999999999</v>
      </c>
      <c r="D25" s="448">
        <v>5.1614300000000002</v>
      </c>
      <c r="E25" s="448"/>
      <c r="F25" s="448">
        <v>0</v>
      </c>
      <c r="G25" s="448">
        <v>2.9999808820629998</v>
      </c>
      <c r="H25" s="448">
        <v>-2.9999808820629998</v>
      </c>
      <c r="I25" s="449">
        <v>0</v>
      </c>
      <c r="J25" s="450" t="s">
        <v>1</v>
      </c>
    </row>
    <row r="26" spans="1:10" ht="14.4" customHeight="1" x14ac:dyDescent="0.3">
      <c r="A26" s="446" t="s">
        <v>1149</v>
      </c>
      <c r="B26" s="447" t="s">
        <v>1151</v>
      </c>
      <c r="C26" s="448">
        <v>6.4850099999999999</v>
      </c>
      <c r="D26" s="448">
        <v>5.1614300000000002</v>
      </c>
      <c r="E26" s="448"/>
      <c r="F26" s="448">
        <v>0</v>
      </c>
      <c r="G26" s="448">
        <v>2.9999808820629998</v>
      </c>
      <c r="H26" s="448">
        <v>-2.9999808820629998</v>
      </c>
      <c r="I26" s="449">
        <v>0</v>
      </c>
      <c r="J26" s="450" t="s">
        <v>461</v>
      </c>
    </row>
    <row r="27" spans="1:10" ht="14.4" customHeight="1" x14ac:dyDescent="0.3">
      <c r="A27" s="446" t="s">
        <v>455</v>
      </c>
      <c r="B27" s="447" t="s">
        <v>455</v>
      </c>
      <c r="C27" s="448" t="s">
        <v>455</v>
      </c>
      <c r="D27" s="448" t="s">
        <v>455</v>
      </c>
      <c r="E27" s="448"/>
      <c r="F27" s="448" t="s">
        <v>455</v>
      </c>
      <c r="G27" s="448" t="s">
        <v>455</v>
      </c>
      <c r="H27" s="448" t="s">
        <v>455</v>
      </c>
      <c r="I27" s="449" t="s">
        <v>455</v>
      </c>
      <c r="J27" s="450" t="s">
        <v>462</v>
      </c>
    </row>
    <row r="28" spans="1:10" ht="14.4" customHeight="1" x14ac:dyDescent="0.3">
      <c r="A28" s="446" t="s">
        <v>453</v>
      </c>
      <c r="B28" s="447" t="s">
        <v>456</v>
      </c>
      <c r="C28" s="448">
        <v>19.33745</v>
      </c>
      <c r="D28" s="448">
        <v>26.964089999997995</v>
      </c>
      <c r="E28" s="448"/>
      <c r="F28" s="448">
        <v>23.15354</v>
      </c>
      <c r="G28" s="448">
        <v>26.975640841492996</v>
      </c>
      <c r="H28" s="448">
        <v>-3.8221008414929969</v>
      </c>
      <c r="I28" s="449">
        <v>0.85831288072259715</v>
      </c>
      <c r="J28" s="450" t="s">
        <v>457</v>
      </c>
    </row>
  </sheetData>
  <mergeCells count="3">
    <mergeCell ref="A1:I1"/>
    <mergeCell ref="F3:I3"/>
    <mergeCell ref="C4:D4"/>
  </mergeCells>
  <conditionalFormatting sqref="F13 F29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8">
    <cfRule type="expression" dxfId="11" priority="5">
      <formula>$H14&gt;0</formula>
    </cfRule>
  </conditionalFormatting>
  <conditionalFormatting sqref="A14:A28">
    <cfRule type="expression" dxfId="10" priority="2">
      <formula>AND($J14&lt;&gt;"mezeraKL",$J14&lt;&gt;"")</formula>
    </cfRule>
  </conditionalFormatting>
  <conditionalFormatting sqref="I14:I28">
    <cfRule type="expression" dxfId="9" priority="6">
      <formula>$I14&gt;1</formula>
    </cfRule>
  </conditionalFormatting>
  <conditionalFormatting sqref="B14:B28">
    <cfRule type="expression" dxfId="8" priority="1">
      <formula>OR($J14="NS",$J14="SumaNS",$J14="Účet")</formula>
    </cfRule>
  </conditionalFormatting>
  <conditionalFormatting sqref="A14:D28 F14:I28">
    <cfRule type="expression" dxfId="7" priority="8">
      <formula>AND($J14&lt;&gt;"",$J14&lt;&gt;"mezeraKL")</formula>
    </cfRule>
  </conditionalFormatting>
  <conditionalFormatting sqref="B14:D28 F14:I28">
    <cfRule type="expression" dxfId="6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8 F14:I28">
    <cfRule type="expression" dxfId="5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10" bestFit="1" customWidth="1" collapsed="1"/>
    <col min="4" max="4" width="18.77734375" style="214" customWidth="1"/>
    <col min="5" max="5" width="9" style="210" bestFit="1" customWidth="1"/>
    <col min="6" max="6" width="18.77734375" style="214" customWidth="1"/>
    <col min="7" max="7" width="12.44140625" style="210" hidden="1" customWidth="1" outlineLevel="1"/>
    <col min="8" max="8" width="25.77734375" style="210" customWidth="1" collapsed="1"/>
    <col min="9" max="9" width="7.77734375" style="208" customWidth="1"/>
    <col min="10" max="10" width="10" style="208" customWidth="1"/>
    <col min="11" max="11" width="11.109375" style="208" customWidth="1"/>
    <col min="12" max="16384" width="8.88671875" style="130"/>
  </cols>
  <sheetData>
    <row r="1" spans="1:11" ht="18.600000000000001" customHeight="1" thickBot="1" x14ac:dyDescent="0.4">
      <c r="A1" s="361" t="s">
        <v>1243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 ht="14.4" customHeight="1" thickBot="1" x14ac:dyDescent="0.35">
      <c r="A2" s="235" t="s">
        <v>281</v>
      </c>
      <c r="B2" s="62"/>
      <c r="C2" s="212"/>
      <c r="D2" s="212"/>
      <c r="E2" s="212"/>
      <c r="F2" s="212"/>
      <c r="G2" s="212"/>
      <c r="H2" s="212"/>
      <c r="I2" s="213"/>
      <c r="J2" s="213"/>
      <c r="K2" s="213"/>
    </row>
    <row r="3" spans="1:11" ht="14.4" customHeight="1" thickBot="1" x14ac:dyDescent="0.35">
      <c r="A3" s="62"/>
      <c r="B3" s="62"/>
      <c r="C3" s="357"/>
      <c r="D3" s="358"/>
      <c r="E3" s="358"/>
      <c r="F3" s="358"/>
      <c r="G3" s="358"/>
      <c r="H3" s="142" t="s">
        <v>129</v>
      </c>
      <c r="I3" s="98">
        <f>IF(J3&lt;&gt;0,K3/J3,0)</f>
        <v>6.3713648871766653</v>
      </c>
      <c r="J3" s="98">
        <f>SUBTOTAL(9,J5:J1048576)</f>
        <v>3634</v>
      </c>
      <c r="K3" s="99">
        <f>SUBTOTAL(9,K5:K1048576)</f>
        <v>23153.54</v>
      </c>
    </row>
    <row r="4" spans="1:11" s="209" customFormat="1" ht="14.4" customHeight="1" thickBot="1" x14ac:dyDescent="0.35">
      <c r="A4" s="570" t="s">
        <v>4</v>
      </c>
      <c r="B4" s="571" t="s">
        <v>5</v>
      </c>
      <c r="C4" s="571" t="s">
        <v>0</v>
      </c>
      <c r="D4" s="571" t="s">
        <v>6</v>
      </c>
      <c r="E4" s="571" t="s">
        <v>7</v>
      </c>
      <c r="F4" s="571" t="s">
        <v>1</v>
      </c>
      <c r="G4" s="571" t="s">
        <v>71</v>
      </c>
      <c r="H4" s="453" t="s">
        <v>11</v>
      </c>
      <c r="I4" s="454" t="s">
        <v>144</v>
      </c>
      <c r="J4" s="454" t="s">
        <v>13</v>
      </c>
      <c r="K4" s="455" t="s">
        <v>161</v>
      </c>
    </row>
    <row r="5" spans="1:11" ht="14.4" customHeight="1" x14ac:dyDescent="0.3">
      <c r="A5" s="534" t="s">
        <v>453</v>
      </c>
      <c r="B5" s="535" t="s">
        <v>500</v>
      </c>
      <c r="C5" s="538" t="s">
        <v>458</v>
      </c>
      <c r="D5" s="572" t="s">
        <v>501</v>
      </c>
      <c r="E5" s="538" t="s">
        <v>1235</v>
      </c>
      <c r="F5" s="572" t="s">
        <v>1236</v>
      </c>
      <c r="G5" s="538" t="s">
        <v>1152</v>
      </c>
      <c r="H5" s="538" t="s">
        <v>1153</v>
      </c>
      <c r="I5" s="116">
        <v>8.52</v>
      </c>
      <c r="J5" s="116">
        <v>1</v>
      </c>
      <c r="K5" s="558">
        <v>8.52</v>
      </c>
    </row>
    <row r="6" spans="1:11" ht="14.4" customHeight="1" x14ac:dyDescent="0.3">
      <c r="A6" s="541" t="s">
        <v>453</v>
      </c>
      <c r="B6" s="542" t="s">
        <v>500</v>
      </c>
      <c r="C6" s="545" t="s">
        <v>458</v>
      </c>
      <c r="D6" s="573" t="s">
        <v>501</v>
      </c>
      <c r="E6" s="545" t="s">
        <v>1235</v>
      </c>
      <c r="F6" s="573" t="s">
        <v>1236</v>
      </c>
      <c r="G6" s="545" t="s">
        <v>1154</v>
      </c>
      <c r="H6" s="545" t="s">
        <v>1155</v>
      </c>
      <c r="I6" s="559">
        <v>8.08</v>
      </c>
      <c r="J6" s="559">
        <v>1</v>
      </c>
      <c r="K6" s="560">
        <v>8.08</v>
      </c>
    </row>
    <row r="7" spans="1:11" ht="14.4" customHeight="1" x14ac:dyDescent="0.3">
      <c r="A7" s="541" t="s">
        <v>453</v>
      </c>
      <c r="B7" s="542" t="s">
        <v>500</v>
      </c>
      <c r="C7" s="545" t="s">
        <v>458</v>
      </c>
      <c r="D7" s="573" t="s">
        <v>501</v>
      </c>
      <c r="E7" s="545" t="s">
        <v>1235</v>
      </c>
      <c r="F7" s="573" t="s">
        <v>1236</v>
      </c>
      <c r="G7" s="545" t="s">
        <v>1156</v>
      </c>
      <c r="H7" s="545" t="s">
        <v>1157</v>
      </c>
      <c r="I7" s="559">
        <v>13.01</v>
      </c>
      <c r="J7" s="559">
        <v>4</v>
      </c>
      <c r="K7" s="560">
        <v>52.04</v>
      </c>
    </row>
    <row r="8" spans="1:11" ht="14.4" customHeight="1" x14ac:dyDescent="0.3">
      <c r="A8" s="541" t="s">
        <v>453</v>
      </c>
      <c r="B8" s="542" t="s">
        <v>500</v>
      </c>
      <c r="C8" s="545" t="s">
        <v>458</v>
      </c>
      <c r="D8" s="573" t="s">
        <v>501</v>
      </c>
      <c r="E8" s="545" t="s">
        <v>1235</v>
      </c>
      <c r="F8" s="573" t="s">
        <v>1236</v>
      </c>
      <c r="G8" s="545" t="s">
        <v>1158</v>
      </c>
      <c r="H8" s="545" t="s">
        <v>1159</v>
      </c>
      <c r="I8" s="559">
        <v>27.94</v>
      </c>
      <c r="J8" s="559">
        <v>1</v>
      </c>
      <c r="K8" s="560">
        <v>27.94</v>
      </c>
    </row>
    <row r="9" spans="1:11" ht="14.4" customHeight="1" x14ac:dyDescent="0.3">
      <c r="A9" s="541" t="s">
        <v>453</v>
      </c>
      <c r="B9" s="542" t="s">
        <v>500</v>
      </c>
      <c r="C9" s="545" t="s">
        <v>458</v>
      </c>
      <c r="D9" s="573" t="s">
        <v>501</v>
      </c>
      <c r="E9" s="545" t="s">
        <v>1235</v>
      </c>
      <c r="F9" s="573" t="s">
        <v>1236</v>
      </c>
      <c r="G9" s="545" t="s">
        <v>1160</v>
      </c>
      <c r="H9" s="545" t="s">
        <v>1161</v>
      </c>
      <c r="I9" s="559">
        <v>1.18</v>
      </c>
      <c r="J9" s="559">
        <v>10</v>
      </c>
      <c r="K9" s="560">
        <v>11.8</v>
      </c>
    </row>
    <row r="10" spans="1:11" ht="14.4" customHeight="1" x14ac:dyDescent="0.3">
      <c r="A10" s="541" t="s">
        <v>453</v>
      </c>
      <c r="B10" s="542" t="s">
        <v>500</v>
      </c>
      <c r="C10" s="545" t="s">
        <v>458</v>
      </c>
      <c r="D10" s="573" t="s">
        <v>501</v>
      </c>
      <c r="E10" s="545" t="s">
        <v>1235</v>
      </c>
      <c r="F10" s="573" t="s">
        <v>1236</v>
      </c>
      <c r="G10" s="545" t="s">
        <v>1162</v>
      </c>
      <c r="H10" s="545" t="s">
        <v>1163</v>
      </c>
      <c r="I10" s="559">
        <v>0.56000000000000005</v>
      </c>
      <c r="J10" s="559">
        <v>15</v>
      </c>
      <c r="K10" s="560">
        <v>8.3999999999999986</v>
      </c>
    </row>
    <row r="11" spans="1:11" ht="14.4" customHeight="1" x14ac:dyDescent="0.3">
      <c r="A11" s="541" t="s">
        <v>453</v>
      </c>
      <c r="B11" s="542" t="s">
        <v>500</v>
      </c>
      <c r="C11" s="545" t="s">
        <v>458</v>
      </c>
      <c r="D11" s="573" t="s">
        <v>501</v>
      </c>
      <c r="E11" s="545" t="s">
        <v>1235</v>
      </c>
      <c r="F11" s="573" t="s">
        <v>1236</v>
      </c>
      <c r="G11" s="545" t="s">
        <v>1164</v>
      </c>
      <c r="H11" s="545" t="s">
        <v>1165</v>
      </c>
      <c r="I11" s="559">
        <v>7.1</v>
      </c>
      <c r="J11" s="559">
        <v>2</v>
      </c>
      <c r="K11" s="560">
        <v>14.2</v>
      </c>
    </row>
    <row r="12" spans="1:11" ht="14.4" customHeight="1" x14ac:dyDescent="0.3">
      <c r="A12" s="541" t="s">
        <v>453</v>
      </c>
      <c r="B12" s="542" t="s">
        <v>500</v>
      </c>
      <c r="C12" s="545" t="s">
        <v>458</v>
      </c>
      <c r="D12" s="573" t="s">
        <v>501</v>
      </c>
      <c r="E12" s="545" t="s">
        <v>1235</v>
      </c>
      <c r="F12" s="573" t="s">
        <v>1236</v>
      </c>
      <c r="G12" s="545" t="s">
        <v>1166</v>
      </c>
      <c r="H12" s="545" t="s">
        <v>1167</v>
      </c>
      <c r="I12" s="559">
        <v>8.2799999999999994</v>
      </c>
      <c r="J12" s="559">
        <v>2</v>
      </c>
      <c r="K12" s="560">
        <v>16.559999999999999</v>
      </c>
    </row>
    <row r="13" spans="1:11" ht="14.4" customHeight="1" x14ac:dyDescent="0.3">
      <c r="A13" s="541" t="s">
        <v>453</v>
      </c>
      <c r="B13" s="542" t="s">
        <v>500</v>
      </c>
      <c r="C13" s="545" t="s">
        <v>458</v>
      </c>
      <c r="D13" s="573" t="s">
        <v>501</v>
      </c>
      <c r="E13" s="545" t="s">
        <v>1235</v>
      </c>
      <c r="F13" s="573" t="s">
        <v>1236</v>
      </c>
      <c r="G13" s="545" t="s">
        <v>1168</v>
      </c>
      <c r="H13" s="545" t="s">
        <v>1169</v>
      </c>
      <c r="I13" s="559">
        <v>5.92</v>
      </c>
      <c r="J13" s="559">
        <v>2</v>
      </c>
      <c r="K13" s="560">
        <v>11.84</v>
      </c>
    </row>
    <row r="14" spans="1:11" ht="14.4" customHeight="1" x14ac:dyDescent="0.3">
      <c r="A14" s="541" t="s">
        <v>453</v>
      </c>
      <c r="B14" s="542" t="s">
        <v>500</v>
      </c>
      <c r="C14" s="545" t="s">
        <v>458</v>
      </c>
      <c r="D14" s="573" t="s">
        <v>501</v>
      </c>
      <c r="E14" s="545" t="s">
        <v>1235</v>
      </c>
      <c r="F14" s="573" t="s">
        <v>1236</v>
      </c>
      <c r="G14" s="545" t="s">
        <v>1170</v>
      </c>
      <c r="H14" s="545" t="s">
        <v>1171</v>
      </c>
      <c r="I14" s="559">
        <v>2.54</v>
      </c>
      <c r="J14" s="559">
        <v>9</v>
      </c>
      <c r="K14" s="560">
        <v>22.9</v>
      </c>
    </row>
    <row r="15" spans="1:11" ht="14.4" customHeight="1" x14ac:dyDescent="0.3">
      <c r="A15" s="541" t="s">
        <v>453</v>
      </c>
      <c r="B15" s="542" t="s">
        <v>500</v>
      </c>
      <c r="C15" s="545" t="s">
        <v>458</v>
      </c>
      <c r="D15" s="573" t="s">
        <v>501</v>
      </c>
      <c r="E15" s="545" t="s">
        <v>1237</v>
      </c>
      <c r="F15" s="573" t="s">
        <v>1238</v>
      </c>
      <c r="G15" s="545" t="s">
        <v>1172</v>
      </c>
      <c r="H15" s="545" t="s">
        <v>1173</v>
      </c>
      <c r="I15" s="559">
        <v>0.22999999999999998</v>
      </c>
      <c r="J15" s="559">
        <v>1000</v>
      </c>
      <c r="K15" s="560">
        <v>230</v>
      </c>
    </row>
    <row r="16" spans="1:11" ht="14.4" customHeight="1" x14ac:dyDescent="0.3">
      <c r="A16" s="541" t="s">
        <v>453</v>
      </c>
      <c r="B16" s="542" t="s">
        <v>500</v>
      </c>
      <c r="C16" s="545" t="s">
        <v>458</v>
      </c>
      <c r="D16" s="573" t="s">
        <v>501</v>
      </c>
      <c r="E16" s="545" t="s">
        <v>1237</v>
      </c>
      <c r="F16" s="573" t="s">
        <v>1238</v>
      </c>
      <c r="G16" s="545" t="s">
        <v>1174</v>
      </c>
      <c r="H16" s="545" t="s">
        <v>1175</v>
      </c>
      <c r="I16" s="559">
        <v>1.0900000000000001</v>
      </c>
      <c r="J16" s="559">
        <v>10</v>
      </c>
      <c r="K16" s="560">
        <v>10.9</v>
      </c>
    </row>
    <row r="17" spans="1:11" ht="14.4" customHeight="1" x14ac:dyDescent="0.3">
      <c r="A17" s="541" t="s">
        <v>453</v>
      </c>
      <c r="B17" s="542" t="s">
        <v>500</v>
      </c>
      <c r="C17" s="545" t="s">
        <v>458</v>
      </c>
      <c r="D17" s="573" t="s">
        <v>501</v>
      </c>
      <c r="E17" s="545" t="s">
        <v>1237</v>
      </c>
      <c r="F17" s="573" t="s">
        <v>1238</v>
      </c>
      <c r="G17" s="545" t="s">
        <v>1176</v>
      </c>
      <c r="H17" s="545" t="s">
        <v>1177</v>
      </c>
      <c r="I17" s="559">
        <v>0.48</v>
      </c>
      <c r="J17" s="559">
        <v>10</v>
      </c>
      <c r="K17" s="560">
        <v>4.8</v>
      </c>
    </row>
    <row r="18" spans="1:11" ht="14.4" customHeight="1" x14ac:dyDescent="0.3">
      <c r="A18" s="541" t="s">
        <v>453</v>
      </c>
      <c r="B18" s="542" t="s">
        <v>500</v>
      </c>
      <c r="C18" s="545" t="s">
        <v>458</v>
      </c>
      <c r="D18" s="573" t="s">
        <v>501</v>
      </c>
      <c r="E18" s="545" t="s">
        <v>1237</v>
      </c>
      <c r="F18" s="573" t="s">
        <v>1238</v>
      </c>
      <c r="G18" s="545" t="s">
        <v>1178</v>
      </c>
      <c r="H18" s="545" t="s">
        <v>1179</v>
      </c>
      <c r="I18" s="559">
        <v>0.67</v>
      </c>
      <c r="J18" s="559">
        <v>10</v>
      </c>
      <c r="K18" s="560">
        <v>6.7</v>
      </c>
    </row>
    <row r="19" spans="1:11" ht="14.4" customHeight="1" x14ac:dyDescent="0.3">
      <c r="A19" s="541" t="s">
        <v>453</v>
      </c>
      <c r="B19" s="542" t="s">
        <v>500</v>
      </c>
      <c r="C19" s="545" t="s">
        <v>458</v>
      </c>
      <c r="D19" s="573" t="s">
        <v>501</v>
      </c>
      <c r="E19" s="545" t="s">
        <v>1237</v>
      </c>
      <c r="F19" s="573" t="s">
        <v>1238</v>
      </c>
      <c r="G19" s="545" t="s">
        <v>1180</v>
      </c>
      <c r="H19" s="545" t="s">
        <v>1181</v>
      </c>
      <c r="I19" s="559">
        <v>17.89</v>
      </c>
      <c r="J19" s="559">
        <v>1</v>
      </c>
      <c r="K19" s="560">
        <v>17.89</v>
      </c>
    </row>
    <row r="20" spans="1:11" ht="14.4" customHeight="1" x14ac:dyDescent="0.3">
      <c r="A20" s="541" t="s">
        <v>453</v>
      </c>
      <c r="B20" s="542" t="s">
        <v>500</v>
      </c>
      <c r="C20" s="545" t="s">
        <v>458</v>
      </c>
      <c r="D20" s="573" t="s">
        <v>501</v>
      </c>
      <c r="E20" s="545" t="s">
        <v>1237</v>
      </c>
      <c r="F20" s="573" t="s">
        <v>1238</v>
      </c>
      <c r="G20" s="545" t="s">
        <v>1182</v>
      </c>
      <c r="H20" s="545" t="s">
        <v>1183</v>
      </c>
      <c r="I20" s="559">
        <v>17.850000000000001</v>
      </c>
      <c r="J20" s="559">
        <v>1</v>
      </c>
      <c r="K20" s="560">
        <v>17.850000000000001</v>
      </c>
    </row>
    <row r="21" spans="1:11" ht="14.4" customHeight="1" x14ac:dyDescent="0.3">
      <c r="A21" s="541" t="s">
        <v>453</v>
      </c>
      <c r="B21" s="542" t="s">
        <v>500</v>
      </c>
      <c r="C21" s="545" t="s">
        <v>458</v>
      </c>
      <c r="D21" s="573" t="s">
        <v>501</v>
      </c>
      <c r="E21" s="545" t="s">
        <v>1237</v>
      </c>
      <c r="F21" s="573" t="s">
        <v>1238</v>
      </c>
      <c r="G21" s="545" t="s">
        <v>1184</v>
      </c>
      <c r="H21" s="545" t="s">
        <v>1185</v>
      </c>
      <c r="I21" s="559">
        <v>75</v>
      </c>
      <c r="J21" s="559">
        <v>1</v>
      </c>
      <c r="K21" s="560">
        <v>75</v>
      </c>
    </row>
    <row r="22" spans="1:11" ht="14.4" customHeight="1" x14ac:dyDescent="0.3">
      <c r="A22" s="541" t="s">
        <v>453</v>
      </c>
      <c r="B22" s="542" t="s">
        <v>500</v>
      </c>
      <c r="C22" s="545" t="s">
        <v>458</v>
      </c>
      <c r="D22" s="573" t="s">
        <v>501</v>
      </c>
      <c r="E22" s="545" t="s">
        <v>1237</v>
      </c>
      <c r="F22" s="573" t="s">
        <v>1238</v>
      </c>
      <c r="G22" s="545" t="s">
        <v>1186</v>
      </c>
      <c r="H22" s="545" t="s">
        <v>1187</v>
      </c>
      <c r="I22" s="559">
        <v>1.8</v>
      </c>
      <c r="J22" s="559">
        <v>5</v>
      </c>
      <c r="K22" s="560">
        <v>9</v>
      </c>
    </row>
    <row r="23" spans="1:11" ht="14.4" customHeight="1" x14ac:dyDescent="0.3">
      <c r="A23" s="541" t="s">
        <v>453</v>
      </c>
      <c r="B23" s="542" t="s">
        <v>500</v>
      </c>
      <c r="C23" s="545" t="s">
        <v>458</v>
      </c>
      <c r="D23" s="573" t="s">
        <v>501</v>
      </c>
      <c r="E23" s="545" t="s">
        <v>1237</v>
      </c>
      <c r="F23" s="573" t="s">
        <v>1238</v>
      </c>
      <c r="G23" s="545" t="s">
        <v>1188</v>
      </c>
      <c r="H23" s="545" t="s">
        <v>1189</v>
      </c>
      <c r="I23" s="559">
        <v>2.38</v>
      </c>
      <c r="J23" s="559">
        <v>30</v>
      </c>
      <c r="K23" s="560">
        <v>71.400000000000006</v>
      </c>
    </row>
    <row r="24" spans="1:11" ht="14.4" customHeight="1" x14ac:dyDescent="0.3">
      <c r="A24" s="541" t="s">
        <v>453</v>
      </c>
      <c r="B24" s="542" t="s">
        <v>500</v>
      </c>
      <c r="C24" s="545" t="s">
        <v>458</v>
      </c>
      <c r="D24" s="573" t="s">
        <v>501</v>
      </c>
      <c r="E24" s="545" t="s">
        <v>1237</v>
      </c>
      <c r="F24" s="573" t="s">
        <v>1238</v>
      </c>
      <c r="G24" s="545" t="s">
        <v>1188</v>
      </c>
      <c r="H24" s="545" t="s">
        <v>1190</v>
      </c>
      <c r="I24" s="559">
        <v>2.375</v>
      </c>
      <c r="J24" s="559">
        <v>100</v>
      </c>
      <c r="K24" s="560">
        <v>237.5</v>
      </c>
    </row>
    <row r="25" spans="1:11" ht="14.4" customHeight="1" x14ac:dyDescent="0.3">
      <c r="A25" s="541" t="s">
        <v>453</v>
      </c>
      <c r="B25" s="542" t="s">
        <v>500</v>
      </c>
      <c r="C25" s="545" t="s">
        <v>458</v>
      </c>
      <c r="D25" s="573" t="s">
        <v>501</v>
      </c>
      <c r="E25" s="545" t="s">
        <v>1237</v>
      </c>
      <c r="F25" s="573" t="s">
        <v>1238</v>
      </c>
      <c r="G25" s="545" t="s">
        <v>1191</v>
      </c>
      <c r="H25" s="545" t="s">
        <v>1192</v>
      </c>
      <c r="I25" s="559">
        <v>1.9</v>
      </c>
      <c r="J25" s="559">
        <v>100</v>
      </c>
      <c r="K25" s="560">
        <v>190</v>
      </c>
    </row>
    <row r="26" spans="1:11" ht="14.4" customHeight="1" x14ac:dyDescent="0.3">
      <c r="A26" s="541" t="s">
        <v>453</v>
      </c>
      <c r="B26" s="542" t="s">
        <v>500</v>
      </c>
      <c r="C26" s="545" t="s">
        <v>458</v>
      </c>
      <c r="D26" s="573" t="s">
        <v>501</v>
      </c>
      <c r="E26" s="545" t="s">
        <v>1237</v>
      </c>
      <c r="F26" s="573" t="s">
        <v>1238</v>
      </c>
      <c r="G26" s="545" t="s">
        <v>1193</v>
      </c>
      <c r="H26" s="545" t="s">
        <v>1194</v>
      </c>
      <c r="I26" s="559">
        <v>2.44</v>
      </c>
      <c r="J26" s="559">
        <v>4</v>
      </c>
      <c r="K26" s="560">
        <v>9.76</v>
      </c>
    </row>
    <row r="27" spans="1:11" ht="14.4" customHeight="1" x14ac:dyDescent="0.3">
      <c r="A27" s="541" t="s">
        <v>453</v>
      </c>
      <c r="B27" s="542" t="s">
        <v>500</v>
      </c>
      <c r="C27" s="545" t="s">
        <v>458</v>
      </c>
      <c r="D27" s="573" t="s">
        <v>501</v>
      </c>
      <c r="E27" s="545" t="s">
        <v>1237</v>
      </c>
      <c r="F27" s="573" t="s">
        <v>1238</v>
      </c>
      <c r="G27" s="545" t="s">
        <v>1195</v>
      </c>
      <c r="H27" s="545" t="s">
        <v>1196</v>
      </c>
      <c r="I27" s="559">
        <v>1.75</v>
      </c>
      <c r="J27" s="559">
        <v>100</v>
      </c>
      <c r="K27" s="560">
        <v>175</v>
      </c>
    </row>
    <row r="28" spans="1:11" ht="14.4" customHeight="1" x14ac:dyDescent="0.3">
      <c r="A28" s="541" t="s">
        <v>453</v>
      </c>
      <c r="B28" s="542" t="s">
        <v>500</v>
      </c>
      <c r="C28" s="545" t="s">
        <v>458</v>
      </c>
      <c r="D28" s="573" t="s">
        <v>501</v>
      </c>
      <c r="E28" s="545" t="s">
        <v>1237</v>
      </c>
      <c r="F28" s="573" t="s">
        <v>1238</v>
      </c>
      <c r="G28" s="545" t="s">
        <v>1197</v>
      </c>
      <c r="H28" s="545" t="s">
        <v>1198</v>
      </c>
      <c r="I28" s="559">
        <v>2.87</v>
      </c>
      <c r="J28" s="559">
        <v>50</v>
      </c>
      <c r="K28" s="560">
        <v>143.5</v>
      </c>
    </row>
    <row r="29" spans="1:11" ht="14.4" customHeight="1" x14ac:dyDescent="0.3">
      <c r="A29" s="541" t="s">
        <v>453</v>
      </c>
      <c r="B29" s="542" t="s">
        <v>500</v>
      </c>
      <c r="C29" s="545" t="s">
        <v>458</v>
      </c>
      <c r="D29" s="573" t="s">
        <v>501</v>
      </c>
      <c r="E29" s="545" t="s">
        <v>1237</v>
      </c>
      <c r="F29" s="573" t="s">
        <v>1238</v>
      </c>
      <c r="G29" s="545" t="s">
        <v>1199</v>
      </c>
      <c r="H29" s="545" t="s">
        <v>1200</v>
      </c>
      <c r="I29" s="559">
        <v>2.11</v>
      </c>
      <c r="J29" s="559">
        <v>20</v>
      </c>
      <c r="K29" s="560">
        <v>42.2</v>
      </c>
    </row>
    <row r="30" spans="1:11" ht="14.4" customHeight="1" x14ac:dyDescent="0.3">
      <c r="A30" s="541" t="s">
        <v>453</v>
      </c>
      <c r="B30" s="542" t="s">
        <v>500</v>
      </c>
      <c r="C30" s="545" t="s">
        <v>458</v>
      </c>
      <c r="D30" s="573" t="s">
        <v>501</v>
      </c>
      <c r="E30" s="545" t="s">
        <v>1237</v>
      </c>
      <c r="F30" s="573" t="s">
        <v>1238</v>
      </c>
      <c r="G30" s="545" t="s">
        <v>1201</v>
      </c>
      <c r="H30" s="545" t="s">
        <v>1202</v>
      </c>
      <c r="I30" s="559">
        <v>2.41</v>
      </c>
      <c r="J30" s="559">
        <v>50</v>
      </c>
      <c r="K30" s="560">
        <v>120.5</v>
      </c>
    </row>
    <row r="31" spans="1:11" ht="14.4" customHeight="1" x14ac:dyDescent="0.3">
      <c r="A31" s="541" t="s">
        <v>453</v>
      </c>
      <c r="B31" s="542" t="s">
        <v>500</v>
      </c>
      <c r="C31" s="545" t="s">
        <v>458</v>
      </c>
      <c r="D31" s="573" t="s">
        <v>501</v>
      </c>
      <c r="E31" s="545" t="s">
        <v>1237</v>
      </c>
      <c r="F31" s="573" t="s">
        <v>1238</v>
      </c>
      <c r="G31" s="545" t="s">
        <v>1203</v>
      </c>
      <c r="H31" s="545" t="s">
        <v>1204</v>
      </c>
      <c r="I31" s="559">
        <v>1.6199999999999999</v>
      </c>
      <c r="J31" s="559">
        <v>1300</v>
      </c>
      <c r="K31" s="560">
        <v>2107</v>
      </c>
    </row>
    <row r="32" spans="1:11" ht="14.4" customHeight="1" x14ac:dyDescent="0.3">
      <c r="A32" s="541" t="s">
        <v>453</v>
      </c>
      <c r="B32" s="542" t="s">
        <v>500</v>
      </c>
      <c r="C32" s="545" t="s">
        <v>458</v>
      </c>
      <c r="D32" s="573" t="s">
        <v>501</v>
      </c>
      <c r="E32" s="545" t="s">
        <v>1237</v>
      </c>
      <c r="F32" s="573" t="s">
        <v>1238</v>
      </c>
      <c r="G32" s="545" t="s">
        <v>1205</v>
      </c>
      <c r="H32" s="545" t="s">
        <v>1206</v>
      </c>
      <c r="I32" s="559">
        <v>140.4</v>
      </c>
      <c r="J32" s="559">
        <v>1</v>
      </c>
      <c r="K32" s="560">
        <v>140.4</v>
      </c>
    </row>
    <row r="33" spans="1:11" ht="14.4" customHeight="1" x14ac:dyDescent="0.3">
      <c r="A33" s="541" t="s">
        <v>453</v>
      </c>
      <c r="B33" s="542" t="s">
        <v>500</v>
      </c>
      <c r="C33" s="545" t="s">
        <v>458</v>
      </c>
      <c r="D33" s="573" t="s">
        <v>501</v>
      </c>
      <c r="E33" s="545" t="s">
        <v>1237</v>
      </c>
      <c r="F33" s="573" t="s">
        <v>1238</v>
      </c>
      <c r="G33" s="545" t="s">
        <v>1207</v>
      </c>
      <c r="H33" s="545" t="s">
        <v>1208</v>
      </c>
      <c r="I33" s="559">
        <v>2.52</v>
      </c>
      <c r="J33" s="559">
        <v>50</v>
      </c>
      <c r="K33" s="560">
        <v>126</v>
      </c>
    </row>
    <row r="34" spans="1:11" ht="14.4" customHeight="1" x14ac:dyDescent="0.3">
      <c r="A34" s="541" t="s">
        <v>453</v>
      </c>
      <c r="B34" s="542" t="s">
        <v>500</v>
      </c>
      <c r="C34" s="545" t="s">
        <v>458</v>
      </c>
      <c r="D34" s="573" t="s">
        <v>501</v>
      </c>
      <c r="E34" s="545" t="s">
        <v>1237</v>
      </c>
      <c r="F34" s="573" t="s">
        <v>1238</v>
      </c>
      <c r="G34" s="545" t="s">
        <v>1209</v>
      </c>
      <c r="H34" s="545" t="s">
        <v>1210</v>
      </c>
      <c r="I34" s="559">
        <v>21.234999999999999</v>
      </c>
      <c r="J34" s="559">
        <v>25</v>
      </c>
      <c r="K34" s="560">
        <v>530.80000000000007</v>
      </c>
    </row>
    <row r="35" spans="1:11" ht="14.4" customHeight="1" x14ac:dyDescent="0.3">
      <c r="A35" s="541" t="s">
        <v>453</v>
      </c>
      <c r="B35" s="542" t="s">
        <v>500</v>
      </c>
      <c r="C35" s="545" t="s">
        <v>458</v>
      </c>
      <c r="D35" s="573" t="s">
        <v>501</v>
      </c>
      <c r="E35" s="545" t="s">
        <v>1237</v>
      </c>
      <c r="F35" s="573" t="s">
        <v>1238</v>
      </c>
      <c r="G35" s="545" t="s">
        <v>1211</v>
      </c>
      <c r="H35" s="545" t="s">
        <v>1212</v>
      </c>
      <c r="I35" s="559">
        <v>21.23</v>
      </c>
      <c r="J35" s="559">
        <v>25</v>
      </c>
      <c r="K35" s="560">
        <v>530.75</v>
      </c>
    </row>
    <row r="36" spans="1:11" ht="14.4" customHeight="1" x14ac:dyDescent="0.3">
      <c r="A36" s="541" t="s">
        <v>453</v>
      </c>
      <c r="B36" s="542" t="s">
        <v>500</v>
      </c>
      <c r="C36" s="545" t="s">
        <v>458</v>
      </c>
      <c r="D36" s="573" t="s">
        <v>501</v>
      </c>
      <c r="E36" s="545" t="s">
        <v>1237</v>
      </c>
      <c r="F36" s="573" t="s">
        <v>1238</v>
      </c>
      <c r="G36" s="545" t="s">
        <v>1213</v>
      </c>
      <c r="H36" s="545" t="s">
        <v>1214</v>
      </c>
      <c r="I36" s="559">
        <v>4.62</v>
      </c>
      <c r="J36" s="559">
        <v>2</v>
      </c>
      <c r="K36" s="560">
        <v>9.24</v>
      </c>
    </row>
    <row r="37" spans="1:11" ht="14.4" customHeight="1" x14ac:dyDescent="0.3">
      <c r="A37" s="541" t="s">
        <v>453</v>
      </c>
      <c r="B37" s="542" t="s">
        <v>500</v>
      </c>
      <c r="C37" s="545" t="s">
        <v>458</v>
      </c>
      <c r="D37" s="573" t="s">
        <v>501</v>
      </c>
      <c r="E37" s="545" t="s">
        <v>1237</v>
      </c>
      <c r="F37" s="573" t="s">
        <v>1238</v>
      </c>
      <c r="G37" s="545" t="s">
        <v>1215</v>
      </c>
      <c r="H37" s="545" t="s">
        <v>1216</v>
      </c>
      <c r="I37" s="559">
        <v>17.14</v>
      </c>
      <c r="J37" s="559">
        <v>240</v>
      </c>
      <c r="K37" s="560">
        <v>4114</v>
      </c>
    </row>
    <row r="38" spans="1:11" ht="14.4" customHeight="1" x14ac:dyDescent="0.3">
      <c r="A38" s="541" t="s">
        <v>453</v>
      </c>
      <c r="B38" s="542" t="s">
        <v>500</v>
      </c>
      <c r="C38" s="545" t="s">
        <v>458</v>
      </c>
      <c r="D38" s="573" t="s">
        <v>501</v>
      </c>
      <c r="E38" s="545" t="s">
        <v>1237</v>
      </c>
      <c r="F38" s="573" t="s">
        <v>1238</v>
      </c>
      <c r="G38" s="545" t="s">
        <v>1217</v>
      </c>
      <c r="H38" s="545" t="s">
        <v>1218</v>
      </c>
      <c r="I38" s="559">
        <v>75.010000000000005</v>
      </c>
      <c r="J38" s="559">
        <v>1</v>
      </c>
      <c r="K38" s="560">
        <v>75.010000000000005</v>
      </c>
    </row>
    <row r="39" spans="1:11" ht="14.4" customHeight="1" x14ac:dyDescent="0.3">
      <c r="A39" s="541" t="s">
        <v>453</v>
      </c>
      <c r="B39" s="542" t="s">
        <v>500</v>
      </c>
      <c r="C39" s="545" t="s">
        <v>458</v>
      </c>
      <c r="D39" s="573" t="s">
        <v>501</v>
      </c>
      <c r="E39" s="545" t="s">
        <v>1237</v>
      </c>
      <c r="F39" s="573" t="s">
        <v>1238</v>
      </c>
      <c r="G39" s="545" t="s">
        <v>1219</v>
      </c>
      <c r="H39" s="545" t="s">
        <v>1220</v>
      </c>
      <c r="I39" s="559">
        <v>14.16</v>
      </c>
      <c r="J39" s="559">
        <v>5</v>
      </c>
      <c r="K39" s="560">
        <v>70.8</v>
      </c>
    </row>
    <row r="40" spans="1:11" ht="14.4" customHeight="1" x14ac:dyDescent="0.3">
      <c r="A40" s="541" t="s">
        <v>453</v>
      </c>
      <c r="B40" s="542" t="s">
        <v>500</v>
      </c>
      <c r="C40" s="545" t="s">
        <v>458</v>
      </c>
      <c r="D40" s="573" t="s">
        <v>501</v>
      </c>
      <c r="E40" s="545" t="s">
        <v>1237</v>
      </c>
      <c r="F40" s="573" t="s">
        <v>1238</v>
      </c>
      <c r="G40" s="545" t="s">
        <v>1221</v>
      </c>
      <c r="H40" s="545" t="s">
        <v>1222</v>
      </c>
      <c r="I40" s="559">
        <v>175.45</v>
      </c>
      <c r="J40" s="559">
        <v>4</v>
      </c>
      <c r="K40" s="560">
        <v>701.8</v>
      </c>
    </row>
    <row r="41" spans="1:11" ht="14.4" customHeight="1" x14ac:dyDescent="0.3">
      <c r="A41" s="541" t="s">
        <v>453</v>
      </c>
      <c r="B41" s="542" t="s">
        <v>500</v>
      </c>
      <c r="C41" s="545" t="s">
        <v>458</v>
      </c>
      <c r="D41" s="573" t="s">
        <v>501</v>
      </c>
      <c r="E41" s="545" t="s">
        <v>1237</v>
      </c>
      <c r="F41" s="573" t="s">
        <v>1238</v>
      </c>
      <c r="G41" s="545" t="s">
        <v>1223</v>
      </c>
      <c r="H41" s="545" t="s">
        <v>1224</v>
      </c>
      <c r="I41" s="559">
        <v>471.9</v>
      </c>
      <c r="J41" s="559">
        <v>1</v>
      </c>
      <c r="K41" s="560">
        <v>471.9</v>
      </c>
    </row>
    <row r="42" spans="1:11" ht="14.4" customHeight="1" x14ac:dyDescent="0.3">
      <c r="A42" s="541" t="s">
        <v>453</v>
      </c>
      <c r="B42" s="542" t="s">
        <v>500</v>
      </c>
      <c r="C42" s="545" t="s">
        <v>458</v>
      </c>
      <c r="D42" s="573" t="s">
        <v>501</v>
      </c>
      <c r="E42" s="545" t="s">
        <v>1237</v>
      </c>
      <c r="F42" s="573" t="s">
        <v>1238</v>
      </c>
      <c r="G42" s="545" t="s">
        <v>1225</v>
      </c>
      <c r="H42" s="545" t="s">
        <v>1226</v>
      </c>
      <c r="I42" s="559">
        <v>5808</v>
      </c>
      <c r="J42" s="559">
        <v>1</v>
      </c>
      <c r="K42" s="560">
        <v>5808</v>
      </c>
    </row>
    <row r="43" spans="1:11" ht="14.4" customHeight="1" x14ac:dyDescent="0.3">
      <c r="A43" s="541" t="s">
        <v>453</v>
      </c>
      <c r="B43" s="542" t="s">
        <v>500</v>
      </c>
      <c r="C43" s="545" t="s">
        <v>458</v>
      </c>
      <c r="D43" s="573" t="s">
        <v>501</v>
      </c>
      <c r="E43" s="545" t="s">
        <v>1237</v>
      </c>
      <c r="F43" s="573" t="s">
        <v>1238</v>
      </c>
      <c r="G43" s="545" t="s">
        <v>1227</v>
      </c>
      <c r="H43" s="545" t="s">
        <v>1228</v>
      </c>
      <c r="I43" s="559">
        <v>713.9</v>
      </c>
      <c r="J43" s="559">
        <v>2</v>
      </c>
      <c r="K43" s="560">
        <v>1427.8</v>
      </c>
    </row>
    <row r="44" spans="1:11" ht="14.4" customHeight="1" x14ac:dyDescent="0.3">
      <c r="A44" s="541" t="s">
        <v>453</v>
      </c>
      <c r="B44" s="542" t="s">
        <v>500</v>
      </c>
      <c r="C44" s="545" t="s">
        <v>458</v>
      </c>
      <c r="D44" s="573" t="s">
        <v>501</v>
      </c>
      <c r="E44" s="545" t="s">
        <v>1237</v>
      </c>
      <c r="F44" s="573" t="s">
        <v>1238</v>
      </c>
      <c r="G44" s="545" t="s">
        <v>1229</v>
      </c>
      <c r="H44" s="545" t="s">
        <v>1230</v>
      </c>
      <c r="I44" s="559">
        <v>405.3</v>
      </c>
      <c r="J44" s="559">
        <v>1</v>
      </c>
      <c r="K44" s="560">
        <v>405.3</v>
      </c>
    </row>
    <row r="45" spans="1:11" ht="14.4" customHeight="1" x14ac:dyDescent="0.3">
      <c r="A45" s="541" t="s">
        <v>453</v>
      </c>
      <c r="B45" s="542" t="s">
        <v>500</v>
      </c>
      <c r="C45" s="545" t="s">
        <v>458</v>
      </c>
      <c r="D45" s="573" t="s">
        <v>501</v>
      </c>
      <c r="E45" s="545" t="s">
        <v>1239</v>
      </c>
      <c r="F45" s="573" t="s">
        <v>1240</v>
      </c>
      <c r="G45" s="545" t="s">
        <v>1195</v>
      </c>
      <c r="H45" s="545" t="s">
        <v>1196</v>
      </c>
      <c r="I45" s="559">
        <v>1.76</v>
      </c>
      <c r="J45" s="559">
        <v>300</v>
      </c>
      <c r="K45" s="560">
        <v>528</v>
      </c>
    </row>
    <row r="46" spans="1:11" ht="14.4" customHeight="1" x14ac:dyDescent="0.3">
      <c r="A46" s="541" t="s">
        <v>453</v>
      </c>
      <c r="B46" s="542" t="s">
        <v>500</v>
      </c>
      <c r="C46" s="545" t="s">
        <v>458</v>
      </c>
      <c r="D46" s="573" t="s">
        <v>501</v>
      </c>
      <c r="E46" s="545" t="s">
        <v>1239</v>
      </c>
      <c r="F46" s="573" t="s">
        <v>1240</v>
      </c>
      <c r="G46" s="545" t="s">
        <v>1231</v>
      </c>
      <c r="H46" s="545" t="s">
        <v>1232</v>
      </c>
      <c r="I46" s="559">
        <v>1.75</v>
      </c>
      <c r="J46" s="559">
        <v>100</v>
      </c>
      <c r="K46" s="560">
        <v>175</v>
      </c>
    </row>
    <row r="47" spans="1:11" ht="14.4" customHeight="1" thickBot="1" x14ac:dyDescent="0.35">
      <c r="A47" s="549" t="s">
        <v>453</v>
      </c>
      <c r="B47" s="550" t="s">
        <v>500</v>
      </c>
      <c r="C47" s="553" t="s">
        <v>458</v>
      </c>
      <c r="D47" s="574" t="s">
        <v>501</v>
      </c>
      <c r="E47" s="553" t="s">
        <v>1241</v>
      </c>
      <c r="F47" s="574" t="s">
        <v>1242</v>
      </c>
      <c r="G47" s="553" t="s">
        <v>1233</v>
      </c>
      <c r="H47" s="553" t="s">
        <v>1234</v>
      </c>
      <c r="I47" s="561">
        <v>118.58</v>
      </c>
      <c r="J47" s="561">
        <v>37</v>
      </c>
      <c r="K47" s="562">
        <v>4387.4600000000009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18" width="13.109375" hidden="1" customWidth="1"/>
    <col min="19" max="19" width="13.109375" customWidth="1"/>
    <col min="20" max="32" width="13.109375" hidden="1" customWidth="1"/>
    <col min="33" max="33" width="13.109375" customWidth="1"/>
  </cols>
  <sheetData>
    <row r="1" spans="1:34" ht="18.600000000000001" thickBot="1" x14ac:dyDescent="0.4">
      <c r="A1" s="394" t="s">
        <v>107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</row>
    <row r="2" spans="1:34" ht="15" thickBot="1" x14ac:dyDescent="0.35">
      <c r="A2" s="235" t="s">
        <v>281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</row>
    <row r="3" spans="1:34" x14ac:dyDescent="0.3">
      <c r="A3" s="254" t="s">
        <v>227</v>
      </c>
      <c r="B3" s="395" t="s">
        <v>208</v>
      </c>
      <c r="C3" s="237">
        <v>0</v>
      </c>
      <c r="D3" s="238">
        <v>101</v>
      </c>
      <c r="E3" s="238">
        <v>102</v>
      </c>
      <c r="F3" s="257">
        <v>305</v>
      </c>
      <c r="G3" s="257">
        <v>306</v>
      </c>
      <c r="H3" s="257">
        <v>408</v>
      </c>
      <c r="I3" s="257">
        <v>409</v>
      </c>
      <c r="J3" s="257">
        <v>410</v>
      </c>
      <c r="K3" s="257">
        <v>415</v>
      </c>
      <c r="L3" s="257">
        <v>416</v>
      </c>
      <c r="M3" s="257">
        <v>418</v>
      </c>
      <c r="N3" s="257">
        <v>419</v>
      </c>
      <c r="O3" s="257">
        <v>420</v>
      </c>
      <c r="P3" s="257">
        <v>421</v>
      </c>
      <c r="Q3" s="257">
        <v>522</v>
      </c>
      <c r="R3" s="257">
        <v>523</v>
      </c>
      <c r="S3" s="257">
        <v>524</v>
      </c>
      <c r="T3" s="257">
        <v>525</v>
      </c>
      <c r="U3" s="257">
        <v>526</v>
      </c>
      <c r="V3" s="257">
        <v>527</v>
      </c>
      <c r="W3" s="257">
        <v>528</v>
      </c>
      <c r="X3" s="257">
        <v>629</v>
      </c>
      <c r="Y3" s="257">
        <v>630</v>
      </c>
      <c r="Z3" s="257">
        <v>636</v>
      </c>
      <c r="AA3" s="257">
        <v>637</v>
      </c>
      <c r="AB3" s="257">
        <v>640</v>
      </c>
      <c r="AC3" s="257">
        <v>642</v>
      </c>
      <c r="AD3" s="257">
        <v>743</v>
      </c>
      <c r="AE3" s="238">
        <v>745</v>
      </c>
      <c r="AF3" s="238">
        <v>746</v>
      </c>
      <c r="AG3" s="584">
        <v>930</v>
      </c>
      <c r="AH3" s="600"/>
    </row>
    <row r="4" spans="1:34" ht="36.6" outlineLevel="1" thickBot="1" x14ac:dyDescent="0.35">
      <c r="A4" s="255">
        <v>2014</v>
      </c>
      <c r="B4" s="396"/>
      <c r="C4" s="239" t="s">
        <v>209</v>
      </c>
      <c r="D4" s="240" t="s">
        <v>210</v>
      </c>
      <c r="E4" s="240" t="s">
        <v>211</v>
      </c>
      <c r="F4" s="258" t="s">
        <v>239</v>
      </c>
      <c r="G4" s="258" t="s">
        <v>240</v>
      </c>
      <c r="H4" s="258" t="s">
        <v>241</v>
      </c>
      <c r="I4" s="258" t="s">
        <v>242</v>
      </c>
      <c r="J4" s="258" t="s">
        <v>243</v>
      </c>
      <c r="K4" s="258" t="s">
        <v>244</v>
      </c>
      <c r="L4" s="258" t="s">
        <v>245</v>
      </c>
      <c r="M4" s="258" t="s">
        <v>246</v>
      </c>
      <c r="N4" s="258" t="s">
        <v>247</v>
      </c>
      <c r="O4" s="258" t="s">
        <v>248</v>
      </c>
      <c r="P4" s="258" t="s">
        <v>249</v>
      </c>
      <c r="Q4" s="258" t="s">
        <v>250</v>
      </c>
      <c r="R4" s="258" t="s">
        <v>251</v>
      </c>
      <c r="S4" s="258" t="s">
        <v>252</v>
      </c>
      <c r="T4" s="258" t="s">
        <v>253</v>
      </c>
      <c r="U4" s="258" t="s">
        <v>254</v>
      </c>
      <c r="V4" s="258" t="s">
        <v>255</v>
      </c>
      <c r="W4" s="258" t="s">
        <v>264</v>
      </c>
      <c r="X4" s="258" t="s">
        <v>256</v>
      </c>
      <c r="Y4" s="258" t="s">
        <v>265</v>
      </c>
      <c r="Z4" s="258" t="s">
        <v>257</v>
      </c>
      <c r="AA4" s="258" t="s">
        <v>258</v>
      </c>
      <c r="AB4" s="258" t="s">
        <v>259</v>
      </c>
      <c r="AC4" s="258" t="s">
        <v>260</v>
      </c>
      <c r="AD4" s="258" t="s">
        <v>261</v>
      </c>
      <c r="AE4" s="240" t="s">
        <v>262</v>
      </c>
      <c r="AF4" s="240" t="s">
        <v>263</v>
      </c>
      <c r="AG4" s="585" t="s">
        <v>229</v>
      </c>
      <c r="AH4" s="600"/>
    </row>
    <row r="5" spans="1:34" x14ac:dyDescent="0.3">
      <c r="A5" s="241" t="s">
        <v>212</v>
      </c>
      <c r="B5" s="277"/>
      <c r="C5" s="278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586"/>
      <c r="AH5" s="600"/>
    </row>
    <row r="6" spans="1:34" ht="15" collapsed="1" thickBot="1" x14ac:dyDescent="0.35">
      <c r="A6" s="242" t="s">
        <v>73</v>
      </c>
      <c r="B6" s="280">
        <f xml:space="preserve">
TRUNC(IF($A$4&lt;=12,SUMIFS('ON Data'!F:F,'ON Data'!$D:$D,$A$4,'ON Data'!$E:$E,1),SUMIFS('ON Data'!F:F,'ON Data'!$E:$E,1)/'ON Data'!$D$3),1)</f>
        <v>7.8</v>
      </c>
      <c r="C6" s="281">
        <f xml:space="preserve">
TRUNC(IF($A$4&lt;=12,SUMIFS('ON Data'!G:G,'ON Data'!$D:$D,$A$4,'ON Data'!$E:$E,1),SUMIFS('ON Data'!G:G,'ON Data'!$E:$E,1)/'ON Data'!$D$3),1)</f>
        <v>0</v>
      </c>
      <c r="D6" s="282">
        <f xml:space="preserve">
TRUNC(IF($A$4&lt;=12,SUMIFS('ON Data'!H:H,'ON Data'!$D:$D,$A$4,'ON Data'!$E:$E,1),SUMIFS('ON Data'!H:H,'ON Data'!$E:$E,1)/'ON Data'!$D$3),1)</f>
        <v>2.8</v>
      </c>
      <c r="E6" s="282">
        <f xml:space="preserve">
TRUNC(IF($A$4&lt;=12,SUMIFS('ON Data'!I:I,'ON Data'!$D:$D,$A$4,'ON Data'!$E:$E,1),SUMIFS('ON Data'!I:I,'ON Data'!$E:$E,1)/'ON Data'!$D$3),1)</f>
        <v>0</v>
      </c>
      <c r="F6" s="282">
        <f xml:space="preserve">
TRUNC(IF($A$4&lt;=12,SUMIFS('ON Data'!K:K,'ON Data'!$D:$D,$A$4,'ON Data'!$E:$E,1),SUMIFS('ON Data'!K:K,'ON Data'!$E:$E,1)/'ON Data'!$D$3),1)</f>
        <v>3.5</v>
      </c>
      <c r="G6" s="282">
        <f xml:space="preserve">
TRUNC(IF($A$4&lt;=12,SUMIFS('ON Data'!L:L,'ON Data'!$D:$D,$A$4,'ON Data'!$E:$E,1),SUMIFS('ON Data'!L:L,'ON Data'!$E:$E,1)/'ON Data'!$D$3),1)</f>
        <v>0</v>
      </c>
      <c r="H6" s="282">
        <f xml:space="preserve">
TRUNC(IF($A$4&lt;=12,SUMIFS('ON Data'!M:M,'ON Data'!$D:$D,$A$4,'ON Data'!$E:$E,1),SUMIFS('ON Data'!M:M,'ON Data'!$E:$E,1)/'ON Data'!$D$3),1)</f>
        <v>0</v>
      </c>
      <c r="I6" s="282">
        <f xml:space="preserve">
TRUNC(IF($A$4&lt;=12,SUMIFS('ON Data'!N:N,'ON Data'!$D:$D,$A$4,'ON Data'!$E:$E,1),SUMIFS('ON Data'!N:N,'ON Data'!$E:$E,1)/'ON Data'!$D$3),1)</f>
        <v>0</v>
      </c>
      <c r="J6" s="282">
        <f xml:space="preserve">
TRUNC(IF($A$4&lt;=12,SUMIFS('ON Data'!O:O,'ON Data'!$D:$D,$A$4,'ON Data'!$E:$E,1),SUMIFS('ON Data'!O:O,'ON Data'!$E:$E,1)/'ON Data'!$D$3),1)</f>
        <v>0</v>
      </c>
      <c r="K6" s="282">
        <f xml:space="preserve">
TRUNC(IF($A$4&lt;=12,SUMIFS('ON Data'!P:P,'ON Data'!$D:$D,$A$4,'ON Data'!$E:$E,1),SUMIFS('ON Data'!P:P,'ON Data'!$E:$E,1)/'ON Data'!$D$3),1)</f>
        <v>0</v>
      </c>
      <c r="L6" s="282">
        <f xml:space="preserve">
TRUNC(IF($A$4&lt;=12,SUMIFS('ON Data'!Q:Q,'ON Data'!$D:$D,$A$4,'ON Data'!$E:$E,1),SUMIFS('ON Data'!Q:Q,'ON Data'!$E:$E,1)/'ON Data'!$D$3),1)</f>
        <v>0</v>
      </c>
      <c r="M6" s="282">
        <f xml:space="preserve">
TRUNC(IF($A$4&lt;=12,SUMIFS('ON Data'!R:R,'ON Data'!$D:$D,$A$4,'ON Data'!$E:$E,1),SUMIFS('ON Data'!R:R,'ON Data'!$E:$E,1)/'ON Data'!$D$3),1)</f>
        <v>0</v>
      </c>
      <c r="N6" s="282">
        <f xml:space="preserve">
TRUNC(IF($A$4&lt;=12,SUMIFS('ON Data'!S:S,'ON Data'!$D:$D,$A$4,'ON Data'!$E:$E,1),SUMIFS('ON Data'!S:S,'ON Data'!$E:$E,1)/'ON Data'!$D$3),1)</f>
        <v>0</v>
      </c>
      <c r="O6" s="282">
        <f xml:space="preserve">
TRUNC(IF($A$4&lt;=12,SUMIFS('ON Data'!T:T,'ON Data'!$D:$D,$A$4,'ON Data'!$E:$E,1),SUMIFS('ON Data'!T:T,'ON Data'!$E:$E,1)/'ON Data'!$D$3),1)</f>
        <v>0</v>
      </c>
      <c r="P6" s="282">
        <f xml:space="preserve">
TRUNC(IF($A$4&lt;=12,SUMIFS('ON Data'!U:U,'ON Data'!$D:$D,$A$4,'ON Data'!$E:$E,1),SUMIFS('ON Data'!U:U,'ON Data'!$E:$E,1)/'ON Data'!$D$3),1)</f>
        <v>0</v>
      </c>
      <c r="Q6" s="282">
        <f xml:space="preserve">
TRUNC(IF($A$4&lt;=12,SUMIFS('ON Data'!V:V,'ON Data'!$D:$D,$A$4,'ON Data'!$E:$E,1),SUMIFS('ON Data'!V:V,'ON Data'!$E:$E,1)/'ON Data'!$D$3),1)</f>
        <v>0</v>
      </c>
      <c r="R6" s="282">
        <f xml:space="preserve">
TRUNC(IF($A$4&lt;=12,SUMIFS('ON Data'!W:W,'ON Data'!$D:$D,$A$4,'ON Data'!$E:$E,1),SUMIFS('ON Data'!W:W,'ON Data'!$E:$E,1)/'ON Data'!$D$3),1)</f>
        <v>0</v>
      </c>
      <c r="S6" s="282">
        <f xml:space="preserve">
TRUNC(IF($A$4&lt;=12,SUMIFS('ON Data'!X:X,'ON Data'!$D:$D,$A$4,'ON Data'!$E:$E,1),SUMIFS('ON Data'!X:X,'ON Data'!$E:$E,1)/'ON Data'!$D$3),1)</f>
        <v>1</v>
      </c>
      <c r="T6" s="282">
        <f xml:space="preserve">
TRUNC(IF($A$4&lt;=12,SUMIFS('ON Data'!Y:Y,'ON Data'!$D:$D,$A$4,'ON Data'!$E:$E,1),SUMIFS('ON Data'!Y:Y,'ON Data'!$E:$E,1)/'ON Data'!$D$3),1)</f>
        <v>0</v>
      </c>
      <c r="U6" s="282">
        <f xml:space="preserve">
TRUNC(IF($A$4&lt;=12,SUMIFS('ON Data'!Z:Z,'ON Data'!$D:$D,$A$4,'ON Data'!$E:$E,1),SUMIFS('ON Data'!Z:Z,'ON Data'!$E:$E,1)/'ON Data'!$D$3),1)</f>
        <v>0</v>
      </c>
      <c r="V6" s="282">
        <f xml:space="preserve">
TRUNC(IF($A$4&lt;=12,SUMIFS('ON Data'!AA:AA,'ON Data'!$D:$D,$A$4,'ON Data'!$E:$E,1),SUMIFS('ON Data'!AA:AA,'ON Data'!$E:$E,1)/'ON Data'!$D$3),1)</f>
        <v>0</v>
      </c>
      <c r="W6" s="282">
        <f xml:space="preserve">
TRUNC(IF($A$4&lt;=12,SUMIFS('ON Data'!AB:AB,'ON Data'!$D:$D,$A$4,'ON Data'!$E:$E,1),SUMIFS('ON Data'!AB:AB,'ON Data'!$E:$E,1)/'ON Data'!$D$3),1)</f>
        <v>0</v>
      </c>
      <c r="X6" s="282">
        <f xml:space="preserve">
TRUNC(IF($A$4&lt;=12,SUMIFS('ON Data'!AC:AC,'ON Data'!$D:$D,$A$4,'ON Data'!$E:$E,1),SUMIFS('ON Data'!AC:AC,'ON Data'!$E:$E,1)/'ON Data'!$D$3),1)</f>
        <v>0</v>
      </c>
      <c r="Y6" s="282">
        <f xml:space="preserve">
TRUNC(IF($A$4&lt;=12,SUMIFS('ON Data'!AD:AD,'ON Data'!$D:$D,$A$4,'ON Data'!$E:$E,1),SUMIFS('ON Data'!AD:AD,'ON Data'!$E:$E,1)/'ON Data'!$D$3),1)</f>
        <v>0</v>
      </c>
      <c r="Z6" s="282">
        <f xml:space="preserve">
TRUNC(IF($A$4&lt;=12,SUMIFS('ON Data'!AE:AE,'ON Data'!$D:$D,$A$4,'ON Data'!$E:$E,1),SUMIFS('ON Data'!AE:AE,'ON Data'!$E:$E,1)/'ON Data'!$D$3),1)</f>
        <v>0</v>
      </c>
      <c r="AA6" s="282">
        <f xml:space="preserve">
TRUNC(IF($A$4&lt;=12,SUMIFS('ON Data'!AF:AF,'ON Data'!$D:$D,$A$4,'ON Data'!$E:$E,1),SUMIFS('ON Data'!AF:AF,'ON Data'!$E:$E,1)/'ON Data'!$D$3),1)</f>
        <v>0</v>
      </c>
      <c r="AB6" s="282">
        <f xml:space="preserve">
TRUNC(IF($A$4&lt;=12,SUMIFS('ON Data'!AG:AG,'ON Data'!$D:$D,$A$4,'ON Data'!$E:$E,1),SUMIFS('ON Data'!AG:AG,'ON Data'!$E:$E,1)/'ON Data'!$D$3),1)</f>
        <v>0</v>
      </c>
      <c r="AC6" s="282">
        <f xml:space="preserve">
TRUNC(IF($A$4&lt;=12,SUMIFS('ON Data'!AH:AH,'ON Data'!$D:$D,$A$4,'ON Data'!$E:$E,1),SUMIFS('ON Data'!AH:AH,'ON Data'!$E:$E,1)/'ON Data'!$D$3),1)</f>
        <v>0</v>
      </c>
      <c r="AD6" s="282">
        <f xml:space="preserve">
TRUNC(IF($A$4&lt;=12,SUMIFS('ON Data'!AI:AI,'ON Data'!$D:$D,$A$4,'ON Data'!$E:$E,1),SUMIFS('ON Data'!AI:AI,'ON Data'!$E:$E,1)/'ON Data'!$D$3),1)</f>
        <v>0</v>
      </c>
      <c r="AE6" s="282">
        <f xml:space="preserve">
TRUNC(IF($A$4&lt;=12,SUMIFS('ON Data'!AJ:AJ,'ON Data'!$D:$D,$A$4,'ON Data'!$E:$E,1),SUMIFS('ON Data'!AJ:AJ,'ON Data'!$E:$E,1)/'ON Data'!$D$3),1)</f>
        <v>0</v>
      </c>
      <c r="AF6" s="282">
        <f xml:space="preserve">
TRUNC(IF($A$4&lt;=12,SUMIFS('ON Data'!AK:AK,'ON Data'!$D:$D,$A$4,'ON Data'!$E:$E,1),SUMIFS('ON Data'!AK:AK,'ON Data'!$E:$E,1)/'ON Data'!$D$3),1)</f>
        <v>0</v>
      </c>
      <c r="AG6" s="587">
        <f xml:space="preserve">
TRUNC(IF($A$4&lt;=12,SUMIFS('ON Data'!AM:AM,'ON Data'!$D:$D,$A$4,'ON Data'!$E:$E,1),SUMIFS('ON Data'!AM:AM,'ON Data'!$E:$E,1)/'ON Data'!$D$3),1)</f>
        <v>0.5</v>
      </c>
      <c r="AH6" s="600"/>
    </row>
    <row r="7" spans="1:34" ht="15" hidden="1" outlineLevel="1" thickBot="1" x14ac:dyDescent="0.35">
      <c r="A7" s="242" t="s">
        <v>108</v>
      </c>
      <c r="B7" s="280"/>
      <c r="C7" s="283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2"/>
      <c r="AF7" s="282"/>
      <c r="AG7" s="587"/>
      <c r="AH7" s="600"/>
    </row>
    <row r="8" spans="1:34" ht="15" hidden="1" outlineLevel="1" thickBot="1" x14ac:dyDescent="0.35">
      <c r="A8" s="242" t="s">
        <v>75</v>
      </c>
      <c r="B8" s="280"/>
      <c r="C8" s="283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2"/>
      <c r="AD8" s="282"/>
      <c r="AE8" s="282"/>
      <c r="AF8" s="282"/>
      <c r="AG8" s="587"/>
      <c r="AH8" s="600"/>
    </row>
    <row r="9" spans="1:34" ht="15" hidden="1" outlineLevel="1" thickBot="1" x14ac:dyDescent="0.35">
      <c r="A9" s="243" t="s">
        <v>68</v>
      </c>
      <c r="B9" s="284"/>
      <c r="C9" s="285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286"/>
      <c r="AD9" s="286"/>
      <c r="AE9" s="286"/>
      <c r="AF9" s="286"/>
      <c r="AG9" s="588"/>
      <c r="AH9" s="600"/>
    </row>
    <row r="10" spans="1:34" x14ac:dyDescent="0.3">
      <c r="A10" s="244" t="s">
        <v>213</v>
      </c>
      <c r="B10" s="259"/>
      <c r="C10" s="260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61"/>
      <c r="AC10" s="261"/>
      <c r="AD10" s="261"/>
      <c r="AE10" s="261"/>
      <c r="AF10" s="261"/>
      <c r="AG10" s="589"/>
      <c r="AH10" s="600"/>
    </row>
    <row r="11" spans="1:34" x14ac:dyDescent="0.3">
      <c r="A11" s="245" t="s">
        <v>214</v>
      </c>
      <c r="B11" s="262">
        <f xml:space="preserve">
IF($A$4&lt;=12,SUMIFS('ON Data'!F:F,'ON Data'!$D:$D,$A$4,'ON Data'!$E:$E,2),SUMIFS('ON Data'!F:F,'ON Data'!$E:$E,2))</f>
        <v>14456.800000000001</v>
      </c>
      <c r="C11" s="263">
        <f xml:space="preserve">
IF($A$4&lt;=12,SUMIFS('ON Data'!G:G,'ON Data'!$D:$D,$A$4,'ON Data'!$E:$E,2),SUMIFS('ON Data'!G:G,'ON Data'!$E:$E,2))</f>
        <v>0</v>
      </c>
      <c r="D11" s="264">
        <f xml:space="preserve">
IF($A$4&lt;=12,SUMIFS('ON Data'!H:H,'ON Data'!$D:$D,$A$4,'ON Data'!$E:$E,2),SUMIFS('ON Data'!H:H,'ON Data'!$E:$E,2))</f>
        <v>5408.7999999999993</v>
      </c>
      <c r="E11" s="264">
        <f xml:space="preserve">
IF($A$4&lt;=12,SUMIFS('ON Data'!I:I,'ON Data'!$D:$D,$A$4,'ON Data'!$E:$E,2),SUMIFS('ON Data'!I:I,'ON Data'!$E:$E,2))</f>
        <v>0</v>
      </c>
      <c r="F11" s="264">
        <f xml:space="preserve">
IF($A$4&lt;=12,SUMIFS('ON Data'!K:K,'ON Data'!$D:$D,$A$4,'ON Data'!$E:$E,2),SUMIFS('ON Data'!K:K,'ON Data'!$E:$E,2))</f>
        <v>6616</v>
      </c>
      <c r="G11" s="264">
        <f xml:space="preserve">
IF($A$4&lt;=12,SUMIFS('ON Data'!L:L,'ON Data'!$D:$D,$A$4,'ON Data'!$E:$E,2),SUMIFS('ON Data'!L:L,'ON Data'!$E:$E,2))</f>
        <v>0</v>
      </c>
      <c r="H11" s="264">
        <f xml:space="preserve">
IF($A$4&lt;=12,SUMIFS('ON Data'!M:M,'ON Data'!$D:$D,$A$4,'ON Data'!$E:$E,2),SUMIFS('ON Data'!M:M,'ON Data'!$E:$E,2))</f>
        <v>0</v>
      </c>
      <c r="I11" s="264">
        <f xml:space="preserve">
IF($A$4&lt;=12,SUMIFS('ON Data'!N:N,'ON Data'!$D:$D,$A$4,'ON Data'!$E:$E,2),SUMIFS('ON Data'!N:N,'ON Data'!$E:$E,2))</f>
        <v>0</v>
      </c>
      <c r="J11" s="264">
        <f xml:space="preserve">
IF($A$4&lt;=12,SUMIFS('ON Data'!O:O,'ON Data'!$D:$D,$A$4,'ON Data'!$E:$E,2),SUMIFS('ON Data'!O:O,'ON Data'!$E:$E,2))</f>
        <v>0</v>
      </c>
      <c r="K11" s="264">
        <f xml:space="preserve">
IF($A$4&lt;=12,SUMIFS('ON Data'!P:P,'ON Data'!$D:$D,$A$4,'ON Data'!$E:$E,2),SUMIFS('ON Data'!P:P,'ON Data'!$E:$E,2))</f>
        <v>0</v>
      </c>
      <c r="L11" s="264">
        <f xml:space="preserve">
IF($A$4&lt;=12,SUMIFS('ON Data'!Q:Q,'ON Data'!$D:$D,$A$4,'ON Data'!$E:$E,2),SUMIFS('ON Data'!Q:Q,'ON Data'!$E:$E,2))</f>
        <v>0</v>
      </c>
      <c r="M11" s="264">
        <f xml:space="preserve">
IF($A$4&lt;=12,SUMIFS('ON Data'!R:R,'ON Data'!$D:$D,$A$4,'ON Data'!$E:$E,2),SUMIFS('ON Data'!R:R,'ON Data'!$E:$E,2))</f>
        <v>0</v>
      </c>
      <c r="N11" s="264">
        <f xml:space="preserve">
IF($A$4&lt;=12,SUMIFS('ON Data'!S:S,'ON Data'!$D:$D,$A$4,'ON Data'!$E:$E,2),SUMIFS('ON Data'!S:S,'ON Data'!$E:$E,2))</f>
        <v>0</v>
      </c>
      <c r="O11" s="264">
        <f xml:space="preserve">
IF($A$4&lt;=12,SUMIFS('ON Data'!T:T,'ON Data'!$D:$D,$A$4,'ON Data'!$E:$E,2),SUMIFS('ON Data'!T:T,'ON Data'!$E:$E,2))</f>
        <v>0</v>
      </c>
      <c r="P11" s="264">
        <f xml:space="preserve">
IF($A$4&lt;=12,SUMIFS('ON Data'!U:U,'ON Data'!$D:$D,$A$4,'ON Data'!$E:$E,2),SUMIFS('ON Data'!U:U,'ON Data'!$E:$E,2))</f>
        <v>0</v>
      </c>
      <c r="Q11" s="264">
        <f xml:space="preserve">
IF($A$4&lt;=12,SUMIFS('ON Data'!V:V,'ON Data'!$D:$D,$A$4,'ON Data'!$E:$E,2),SUMIFS('ON Data'!V:V,'ON Data'!$E:$E,2))</f>
        <v>0</v>
      </c>
      <c r="R11" s="264">
        <f xml:space="preserve">
IF($A$4&lt;=12,SUMIFS('ON Data'!W:W,'ON Data'!$D:$D,$A$4,'ON Data'!$E:$E,2),SUMIFS('ON Data'!W:W,'ON Data'!$E:$E,2))</f>
        <v>0</v>
      </c>
      <c r="S11" s="264">
        <f xml:space="preserve">
IF($A$4&lt;=12,SUMIFS('ON Data'!X:X,'ON Data'!$D:$D,$A$4,'ON Data'!$E:$E,2),SUMIFS('ON Data'!X:X,'ON Data'!$E:$E,2))</f>
        <v>1512</v>
      </c>
      <c r="T11" s="264">
        <f xml:space="preserve">
IF($A$4&lt;=12,SUMIFS('ON Data'!Y:Y,'ON Data'!$D:$D,$A$4,'ON Data'!$E:$E,2),SUMIFS('ON Data'!Y:Y,'ON Data'!$E:$E,2))</f>
        <v>0</v>
      </c>
      <c r="U11" s="264">
        <f xml:space="preserve">
IF($A$4&lt;=12,SUMIFS('ON Data'!Z:Z,'ON Data'!$D:$D,$A$4,'ON Data'!$E:$E,2),SUMIFS('ON Data'!Z:Z,'ON Data'!$E:$E,2))</f>
        <v>0</v>
      </c>
      <c r="V11" s="264">
        <f xml:space="preserve">
IF($A$4&lt;=12,SUMIFS('ON Data'!AA:AA,'ON Data'!$D:$D,$A$4,'ON Data'!$E:$E,2),SUMIFS('ON Data'!AA:AA,'ON Data'!$E:$E,2))</f>
        <v>0</v>
      </c>
      <c r="W11" s="264">
        <f xml:space="preserve">
IF($A$4&lt;=12,SUMIFS('ON Data'!AB:AB,'ON Data'!$D:$D,$A$4,'ON Data'!$E:$E,2),SUMIFS('ON Data'!AB:AB,'ON Data'!$E:$E,2))</f>
        <v>0</v>
      </c>
      <c r="X11" s="264">
        <f xml:space="preserve">
IF($A$4&lt;=12,SUMIFS('ON Data'!AC:AC,'ON Data'!$D:$D,$A$4,'ON Data'!$E:$E,2),SUMIFS('ON Data'!AC:AC,'ON Data'!$E:$E,2))</f>
        <v>0</v>
      </c>
      <c r="Y11" s="264">
        <f xml:space="preserve">
IF($A$4&lt;=12,SUMIFS('ON Data'!AD:AD,'ON Data'!$D:$D,$A$4,'ON Data'!$E:$E,2),SUMIFS('ON Data'!AD:AD,'ON Data'!$E:$E,2))</f>
        <v>0</v>
      </c>
      <c r="Z11" s="264">
        <f xml:space="preserve">
IF($A$4&lt;=12,SUMIFS('ON Data'!AE:AE,'ON Data'!$D:$D,$A$4,'ON Data'!$E:$E,2),SUMIFS('ON Data'!AE:AE,'ON Data'!$E:$E,2))</f>
        <v>0</v>
      </c>
      <c r="AA11" s="264">
        <f xml:space="preserve">
IF($A$4&lt;=12,SUMIFS('ON Data'!AF:AF,'ON Data'!$D:$D,$A$4,'ON Data'!$E:$E,2),SUMIFS('ON Data'!AF:AF,'ON Data'!$E:$E,2))</f>
        <v>0</v>
      </c>
      <c r="AB11" s="264">
        <f xml:space="preserve">
IF($A$4&lt;=12,SUMIFS('ON Data'!AG:AG,'ON Data'!$D:$D,$A$4,'ON Data'!$E:$E,2),SUMIFS('ON Data'!AG:AG,'ON Data'!$E:$E,2))</f>
        <v>0</v>
      </c>
      <c r="AC11" s="264">
        <f xml:space="preserve">
IF($A$4&lt;=12,SUMIFS('ON Data'!AH:AH,'ON Data'!$D:$D,$A$4,'ON Data'!$E:$E,2),SUMIFS('ON Data'!AH:AH,'ON Data'!$E:$E,2))</f>
        <v>0</v>
      </c>
      <c r="AD11" s="264">
        <f xml:space="preserve">
IF($A$4&lt;=12,SUMIFS('ON Data'!AI:AI,'ON Data'!$D:$D,$A$4,'ON Data'!$E:$E,2),SUMIFS('ON Data'!AI:AI,'ON Data'!$E:$E,2))</f>
        <v>0</v>
      </c>
      <c r="AE11" s="264">
        <f xml:space="preserve">
IF($A$4&lt;=12,SUMIFS('ON Data'!AJ:AJ,'ON Data'!$D:$D,$A$4,'ON Data'!$E:$E,2),SUMIFS('ON Data'!AJ:AJ,'ON Data'!$E:$E,2))</f>
        <v>0</v>
      </c>
      <c r="AF11" s="264">
        <f xml:space="preserve">
IF($A$4&lt;=12,SUMIFS('ON Data'!AK:AK,'ON Data'!$D:$D,$A$4,'ON Data'!$E:$E,2),SUMIFS('ON Data'!AK:AK,'ON Data'!$E:$E,2))</f>
        <v>0</v>
      </c>
      <c r="AG11" s="590">
        <f xml:space="preserve">
IF($A$4&lt;=12,SUMIFS('ON Data'!AM:AM,'ON Data'!$D:$D,$A$4,'ON Data'!$E:$E,2),SUMIFS('ON Data'!AM:AM,'ON Data'!$E:$E,2))</f>
        <v>920</v>
      </c>
      <c r="AH11" s="600"/>
    </row>
    <row r="12" spans="1:34" x14ac:dyDescent="0.3">
      <c r="A12" s="245" t="s">
        <v>215</v>
      </c>
      <c r="B12" s="262">
        <f xml:space="preserve">
IF($A$4&lt;=12,SUMIFS('ON Data'!F:F,'ON Data'!$D:$D,$A$4,'ON Data'!$E:$E,3),SUMIFS('ON Data'!F:F,'ON Data'!$E:$E,3))</f>
        <v>0</v>
      </c>
      <c r="C12" s="263">
        <f xml:space="preserve">
IF($A$4&lt;=12,SUMIFS('ON Data'!G:G,'ON Data'!$D:$D,$A$4,'ON Data'!$E:$E,3),SUMIFS('ON Data'!G:G,'ON Data'!$E:$E,3))</f>
        <v>0</v>
      </c>
      <c r="D12" s="264">
        <f xml:space="preserve">
IF($A$4&lt;=12,SUMIFS('ON Data'!H:H,'ON Data'!$D:$D,$A$4,'ON Data'!$E:$E,3),SUMIFS('ON Data'!H:H,'ON Data'!$E:$E,3))</f>
        <v>0</v>
      </c>
      <c r="E12" s="264">
        <f xml:space="preserve">
IF($A$4&lt;=12,SUMIFS('ON Data'!I:I,'ON Data'!$D:$D,$A$4,'ON Data'!$E:$E,3),SUMIFS('ON Data'!I:I,'ON Data'!$E:$E,3))</f>
        <v>0</v>
      </c>
      <c r="F12" s="264">
        <f xml:space="preserve">
IF($A$4&lt;=12,SUMIFS('ON Data'!K:K,'ON Data'!$D:$D,$A$4,'ON Data'!$E:$E,3),SUMIFS('ON Data'!K:K,'ON Data'!$E:$E,3))</f>
        <v>0</v>
      </c>
      <c r="G12" s="264">
        <f xml:space="preserve">
IF($A$4&lt;=12,SUMIFS('ON Data'!L:L,'ON Data'!$D:$D,$A$4,'ON Data'!$E:$E,3),SUMIFS('ON Data'!L:L,'ON Data'!$E:$E,3))</f>
        <v>0</v>
      </c>
      <c r="H12" s="264">
        <f xml:space="preserve">
IF($A$4&lt;=12,SUMIFS('ON Data'!M:M,'ON Data'!$D:$D,$A$4,'ON Data'!$E:$E,3),SUMIFS('ON Data'!M:M,'ON Data'!$E:$E,3))</f>
        <v>0</v>
      </c>
      <c r="I12" s="264">
        <f xml:space="preserve">
IF($A$4&lt;=12,SUMIFS('ON Data'!N:N,'ON Data'!$D:$D,$A$4,'ON Data'!$E:$E,3),SUMIFS('ON Data'!N:N,'ON Data'!$E:$E,3))</f>
        <v>0</v>
      </c>
      <c r="J12" s="264">
        <f xml:space="preserve">
IF($A$4&lt;=12,SUMIFS('ON Data'!O:O,'ON Data'!$D:$D,$A$4,'ON Data'!$E:$E,3),SUMIFS('ON Data'!O:O,'ON Data'!$E:$E,3))</f>
        <v>0</v>
      </c>
      <c r="K12" s="264">
        <f xml:space="preserve">
IF($A$4&lt;=12,SUMIFS('ON Data'!P:P,'ON Data'!$D:$D,$A$4,'ON Data'!$E:$E,3),SUMIFS('ON Data'!P:P,'ON Data'!$E:$E,3))</f>
        <v>0</v>
      </c>
      <c r="L12" s="264">
        <f xml:space="preserve">
IF($A$4&lt;=12,SUMIFS('ON Data'!Q:Q,'ON Data'!$D:$D,$A$4,'ON Data'!$E:$E,3),SUMIFS('ON Data'!Q:Q,'ON Data'!$E:$E,3))</f>
        <v>0</v>
      </c>
      <c r="M12" s="264">
        <f xml:space="preserve">
IF($A$4&lt;=12,SUMIFS('ON Data'!R:R,'ON Data'!$D:$D,$A$4,'ON Data'!$E:$E,3),SUMIFS('ON Data'!R:R,'ON Data'!$E:$E,3))</f>
        <v>0</v>
      </c>
      <c r="N12" s="264">
        <f xml:space="preserve">
IF($A$4&lt;=12,SUMIFS('ON Data'!S:S,'ON Data'!$D:$D,$A$4,'ON Data'!$E:$E,3),SUMIFS('ON Data'!S:S,'ON Data'!$E:$E,3))</f>
        <v>0</v>
      </c>
      <c r="O12" s="264">
        <f xml:space="preserve">
IF($A$4&lt;=12,SUMIFS('ON Data'!T:T,'ON Data'!$D:$D,$A$4,'ON Data'!$E:$E,3),SUMIFS('ON Data'!T:T,'ON Data'!$E:$E,3))</f>
        <v>0</v>
      </c>
      <c r="P12" s="264">
        <f xml:space="preserve">
IF($A$4&lt;=12,SUMIFS('ON Data'!U:U,'ON Data'!$D:$D,$A$4,'ON Data'!$E:$E,3),SUMIFS('ON Data'!U:U,'ON Data'!$E:$E,3))</f>
        <v>0</v>
      </c>
      <c r="Q12" s="264">
        <f xml:space="preserve">
IF($A$4&lt;=12,SUMIFS('ON Data'!V:V,'ON Data'!$D:$D,$A$4,'ON Data'!$E:$E,3),SUMIFS('ON Data'!V:V,'ON Data'!$E:$E,3))</f>
        <v>0</v>
      </c>
      <c r="R12" s="264">
        <f xml:space="preserve">
IF($A$4&lt;=12,SUMIFS('ON Data'!W:W,'ON Data'!$D:$D,$A$4,'ON Data'!$E:$E,3),SUMIFS('ON Data'!W:W,'ON Data'!$E:$E,3))</f>
        <v>0</v>
      </c>
      <c r="S12" s="264">
        <f xml:space="preserve">
IF($A$4&lt;=12,SUMIFS('ON Data'!X:X,'ON Data'!$D:$D,$A$4,'ON Data'!$E:$E,3),SUMIFS('ON Data'!X:X,'ON Data'!$E:$E,3))</f>
        <v>0</v>
      </c>
      <c r="T12" s="264">
        <f xml:space="preserve">
IF($A$4&lt;=12,SUMIFS('ON Data'!Y:Y,'ON Data'!$D:$D,$A$4,'ON Data'!$E:$E,3),SUMIFS('ON Data'!Y:Y,'ON Data'!$E:$E,3))</f>
        <v>0</v>
      </c>
      <c r="U12" s="264">
        <f xml:space="preserve">
IF($A$4&lt;=12,SUMIFS('ON Data'!Z:Z,'ON Data'!$D:$D,$A$4,'ON Data'!$E:$E,3),SUMIFS('ON Data'!Z:Z,'ON Data'!$E:$E,3))</f>
        <v>0</v>
      </c>
      <c r="V12" s="264">
        <f xml:space="preserve">
IF($A$4&lt;=12,SUMIFS('ON Data'!AA:AA,'ON Data'!$D:$D,$A$4,'ON Data'!$E:$E,3),SUMIFS('ON Data'!AA:AA,'ON Data'!$E:$E,3))</f>
        <v>0</v>
      </c>
      <c r="W12" s="264">
        <f xml:space="preserve">
IF($A$4&lt;=12,SUMIFS('ON Data'!AB:AB,'ON Data'!$D:$D,$A$4,'ON Data'!$E:$E,3),SUMIFS('ON Data'!AB:AB,'ON Data'!$E:$E,3))</f>
        <v>0</v>
      </c>
      <c r="X12" s="264">
        <f xml:space="preserve">
IF($A$4&lt;=12,SUMIFS('ON Data'!AC:AC,'ON Data'!$D:$D,$A$4,'ON Data'!$E:$E,3),SUMIFS('ON Data'!AC:AC,'ON Data'!$E:$E,3))</f>
        <v>0</v>
      </c>
      <c r="Y12" s="264">
        <f xml:space="preserve">
IF($A$4&lt;=12,SUMIFS('ON Data'!AD:AD,'ON Data'!$D:$D,$A$4,'ON Data'!$E:$E,3),SUMIFS('ON Data'!AD:AD,'ON Data'!$E:$E,3))</f>
        <v>0</v>
      </c>
      <c r="Z12" s="264">
        <f xml:space="preserve">
IF($A$4&lt;=12,SUMIFS('ON Data'!AE:AE,'ON Data'!$D:$D,$A$4,'ON Data'!$E:$E,3),SUMIFS('ON Data'!AE:AE,'ON Data'!$E:$E,3))</f>
        <v>0</v>
      </c>
      <c r="AA12" s="264">
        <f xml:space="preserve">
IF($A$4&lt;=12,SUMIFS('ON Data'!AF:AF,'ON Data'!$D:$D,$A$4,'ON Data'!$E:$E,3),SUMIFS('ON Data'!AF:AF,'ON Data'!$E:$E,3))</f>
        <v>0</v>
      </c>
      <c r="AB12" s="264">
        <f xml:space="preserve">
IF($A$4&lt;=12,SUMIFS('ON Data'!AG:AG,'ON Data'!$D:$D,$A$4,'ON Data'!$E:$E,3),SUMIFS('ON Data'!AG:AG,'ON Data'!$E:$E,3))</f>
        <v>0</v>
      </c>
      <c r="AC12" s="264">
        <f xml:space="preserve">
IF($A$4&lt;=12,SUMIFS('ON Data'!AH:AH,'ON Data'!$D:$D,$A$4,'ON Data'!$E:$E,3),SUMIFS('ON Data'!AH:AH,'ON Data'!$E:$E,3))</f>
        <v>0</v>
      </c>
      <c r="AD12" s="264">
        <f xml:space="preserve">
IF($A$4&lt;=12,SUMIFS('ON Data'!AI:AI,'ON Data'!$D:$D,$A$4,'ON Data'!$E:$E,3),SUMIFS('ON Data'!AI:AI,'ON Data'!$E:$E,3))</f>
        <v>0</v>
      </c>
      <c r="AE12" s="264">
        <f xml:space="preserve">
IF($A$4&lt;=12,SUMIFS('ON Data'!AJ:AJ,'ON Data'!$D:$D,$A$4,'ON Data'!$E:$E,3),SUMIFS('ON Data'!AJ:AJ,'ON Data'!$E:$E,3))</f>
        <v>0</v>
      </c>
      <c r="AF12" s="264">
        <f xml:space="preserve">
IF($A$4&lt;=12,SUMIFS('ON Data'!AK:AK,'ON Data'!$D:$D,$A$4,'ON Data'!$E:$E,3),SUMIFS('ON Data'!AK:AK,'ON Data'!$E:$E,3))</f>
        <v>0</v>
      </c>
      <c r="AG12" s="590">
        <f xml:space="preserve">
IF($A$4&lt;=12,SUMIFS('ON Data'!AM:AM,'ON Data'!$D:$D,$A$4,'ON Data'!$E:$E,3),SUMIFS('ON Data'!AM:AM,'ON Data'!$E:$E,3))</f>
        <v>0</v>
      </c>
      <c r="AH12" s="600"/>
    </row>
    <row r="13" spans="1:34" x14ac:dyDescent="0.3">
      <c r="A13" s="245" t="s">
        <v>222</v>
      </c>
      <c r="B13" s="262">
        <f xml:space="preserve">
IF($A$4&lt;=12,SUMIFS('ON Data'!F:F,'ON Data'!$D:$D,$A$4,'ON Data'!$E:$E,4),SUMIFS('ON Data'!F:F,'ON Data'!$E:$E,4))</f>
        <v>0</v>
      </c>
      <c r="C13" s="263">
        <f xml:space="preserve">
IF($A$4&lt;=12,SUMIFS('ON Data'!G:G,'ON Data'!$D:$D,$A$4,'ON Data'!$E:$E,4),SUMIFS('ON Data'!G:G,'ON Data'!$E:$E,4))</f>
        <v>0</v>
      </c>
      <c r="D13" s="264">
        <f xml:space="preserve">
IF($A$4&lt;=12,SUMIFS('ON Data'!H:H,'ON Data'!$D:$D,$A$4,'ON Data'!$E:$E,4),SUMIFS('ON Data'!H:H,'ON Data'!$E:$E,4))</f>
        <v>0</v>
      </c>
      <c r="E13" s="264">
        <f xml:space="preserve">
IF($A$4&lt;=12,SUMIFS('ON Data'!I:I,'ON Data'!$D:$D,$A$4,'ON Data'!$E:$E,4),SUMIFS('ON Data'!I:I,'ON Data'!$E:$E,4))</f>
        <v>0</v>
      </c>
      <c r="F13" s="264">
        <f xml:space="preserve">
IF($A$4&lt;=12,SUMIFS('ON Data'!K:K,'ON Data'!$D:$D,$A$4,'ON Data'!$E:$E,4),SUMIFS('ON Data'!K:K,'ON Data'!$E:$E,4))</f>
        <v>0</v>
      </c>
      <c r="G13" s="264">
        <f xml:space="preserve">
IF($A$4&lt;=12,SUMIFS('ON Data'!L:L,'ON Data'!$D:$D,$A$4,'ON Data'!$E:$E,4),SUMIFS('ON Data'!L:L,'ON Data'!$E:$E,4))</f>
        <v>0</v>
      </c>
      <c r="H13" s="264">
        <f xml:space="preserve">
IF($A$4&lt;=12,SUMIFS('ON Data'!M:M,'ON Data'!$D:$D,$A$4,'ON Data'!$E:$E,4),SUMIFS('ON Data'!M:M,'ON Data'!$E:$E,4))</f>
        <v>0</v>
      </c>
      <c r="I13" s="264">
        <f xml:space="preserve">
IF($A$4&lt;=12,SUMIFS('ON Data'!N:N,'ON Data'!$D:$D,$A$4,'ON Data'!$E:$E,4),SUMIFS('ON Data'!N:N,'ON Data'!$E:$E,4))</f>
        <v>0</v>
      </c>
      <c r="J13" s="264">
        <f xml:space="preserve">
IF($A$4&lt;=12,SUMIFS('ON Data'!O:O,'ON Data'!$D:$D,$A$4,'ON Data'!$E:$E,4),SUMIFS('ON Data'!O:O,'ON Data'!$E:$E,4))</f>
        <v>0</v>
      </c>
      <c r="K13" s="264">
        <f xml:space="preserve">
IF($A$4&lt;=12,SUMIFS('ON Data'!P:P,'ON Data'!$D:$D,$A$4,'ON Data'!$E:$E,4),SUMIFS('ON Data'!P:P,'ON Data'!$E:$E,4))</f>
        <v>0</v>
      </c>
      <c r="L13" s="264">
        <f xml:space="preserve">
IF($A$4&lt;=12,SUMIFS('ON Data'!Q:Q,'ON Data'!$D:$D,$A$4,'ON Data'!$E:$E,4),SUMIFS('ON Data'!Q:Q,'ON Data'!$E:$E,4))</f>
        <v>0</v>
      </c>
      <c r="M13" s="264">
        <f xml:space="preserve">
IF($A$4&lt;=12,SUMIFS('ON Data'!R:R,'ON Data'!$D:$D,$A$4,'ON Data'!$E:$E,4),SUMIFS('ON Data'!R:R,'ON Data'!$E:$E,4))</f>
        <v>0</v>
      </c>
      <c r="N13" s="264">
        <f xml:space="preserve">
IF($A$4&lt;=12,SUMIFS('ON Data'!S:S,'ON Data'!$D:$D,$A$4,'ON Data'!$E:$E,4),SUMIFS('ON Data'!S:S,'ON Data'!$E:$E,4))</f>
        <v>0</v>
      </c>
      <c r="O13" s="264">
        <f xml:space="preserve">
IF($A$4&lt;=12,SUMIFS('ON Data'!T:T,'ON Data'!$D:$D,$A$4,'ON Data'!$E:$E,4),SUMIFS('ON Data'!T:T,'ON Data'!$E:$E,4))</f>
        <v>0</v>
      </c>
      <c r="P13" s="264">
        <f xml:space="preserve">
IF($A$4&lt;=12,SUMIFS('ON Data'!U:U,'ON Data'!$D:$D,$A$4,'ON Data'!$E:$E,4),SUMIFS('ON Data'!U:U,'ON Data'!$E:$E,4))</f>
        <v>0</v>
      </c>
      <c r="Q13" s="264">
        <f xml:space="preserve">
IF($A$4&lt;=12,SUMIFS('ON Data'!V:V,'ON Data'!$D:$D,$A$4,'ON Data'!$E:$E,4),SUMIFS('ON Data'!V:V,'ON Data'!$E:$E,4))</f>
        <v>0</v>
      </c>
      <c r="R13" s="264">
        <f xml:space="preserve">
IF($A$4&lt;=12,SUMIFS('ON Data'!W:W,'ON Data'!$D:$D,$A$4,'ON Data'!$E:$E,4),SUMIFS('ON Data'!W:W,'ON Data'!$E:$E,4))</f>
        <v>0</v>
      </c>
      <c r="S13" s="264">
        <f xml:space="preserve">
IF($A$4&lt;=12,SUMIFS('ON Data'!X:X,'ON Data'!$D:$D,$A$4,'ON Data'!$E:$E,4),SUMIFS('ON Data'!X:X,'ON Data'!$E:$E,4))</f>
        <v>0</v>
      </c>
      <c r="T13" s="264">
        <f xml:space="preserve">
IF($A$4&lt;=12,SUMIFS('ON Data'!Y:Y,'ON Data'!$D:$D,$A$4,'ON Data'!$E:$E,4),SUMIFS('ON Data'!Y:Y,'ON Data'!$E:$E,4))</f>
        <v>0</v>
      </c>
      <c r="U13" s="264">
        <f xml:space="preserve">
IF($A$4&lt;=12,SUMIFS('ON Data'!Z:Z,'ON Data'!$D:$D,$A$4,'ON Data'!$E:$E,4),SUMIFS('ON Data'!Z:Z,'ON Data'!$E:$E,4))</f>
        <v>0</v>
      </c>
      <c r="V13" s="264">
        <f xml:space="preserve">
IF($A$4&lt;=12,SUMIFS('ON Data'!AA:AA,'ON Data'!$D:$D,$A$4,'ON Data'!$E:$E,4),SUMIFS('ON Data'!AA:AA,'ON Data'!$E:$E,4))</f>
        <v>0</v>
      </c>
      <c r="W13" s="264">
        <f xml:space="preserve">
IF($A$4&lt;=12,SUMIFS('ON Data'!AB:AB,'ON Data'!$D:$D,$A$4,'ON Data'!$E:$E,4),SUMIFS('ON Data'!AB:AB,'ON Data'!$E:$E,4))</f>
        <v>0</v>
      </c>
      <c r="X13" s="264">
        <f xml:space="preserve">
IF($A$4&lt;=12,SUMIFS('ON Data'!AC:AC,'ON Data'!$D:$D,$A$4,'ON Data'!$E:$E,4),SUMIFS('ON Data'!AC:AC,'ON Data'!$E:$E,4))</f>
        <v>0</v>
      </c>
      <c r="Y13" s="264">
        <f xml:space="preserve">
IF($A$4&lt;=12,SUMIFS('ON Data'!AD:AD,'ON Data'!$D:$D,$A$4,'ON Data'!$E:$E,4),SUMIFS('ON Data'!AD:AD,'ON Data'!$E:$E,4))</f>
        <v>0</v>
      </c>
      <c r="Z13" s="264">
        <f xml:space="preserve">
IF($A$4&lt;=12,SUMIFS('ON Data'!AE:AE,'ON Data'!$D:$D,$A$4,'ON Data'!$E:$E,4),SUMIFS('ON Data'!AE:AE,'ON Data'!$E:$E,4))</f>
        <v>0</v>
      </c>
      <c r="AA13" s="264">
        <f xml:space="preserve">
IF($A$4&lt;=12,SUMIFS('ON Data'!AF:AF,'ON Data'!$D:$D,$A$4,'ON Data'!$E:$E,4),SUMIFS('ON Data'!AF:AF,'ON Data'!$E:$E,4))</f>
        <v>0</v>
      </c>
      <c r="AB13" s="264">
        <f xml:space="preserve">
IF($A$4&lt;=12,SUMIFS('ON Data'!AG:AG,'ON Data'!$D:$D,$A$4,'ON Data'!$E:$E,4),SUMIFS('ON Data'!AG:AG,'ON Data'!$E:$E,4))</f>
        <v>0</v>
      </c>
      <c r="AC13" s="264">
        <f xml:space="preserve">
IF($A$4&lt;=12,SUMIFS('ON Data'!AH:AH,'ON Data'!$D:$D,$A$4,'ON Data'!$E:$E,4),SUMIFS('ON Data'!AH:AH,'ON Data'!$E:$E,4))</f>
        <v>0</v>
      </c>
      <c r="AD13" s="264">
        <f xml:space="preserve">
IF($A$4&lt;=12,SUMIFS('ON Data'!AI:AI,'ON Data'!$D:$D,$A$4,'ON Data'!$E:$E,4),SUMIFS('ON Data'!AI:AI,'ON Data'!$E:$E,4))</f>
        <v>0</v>
      </c>
      <c r="AE13" s="264">
        <f xml:space="preserve">
IF($A$4&lt;=12,SUMIFS('ON Data'!AJ:AJ,'ON Data'!$D:$D,$A$4,'ON Data'!$E:$E,4),SUMIFS('ON Data'!AJ:AJ,'ON Data'!$E:$E,4))</f>
        <v>0</v>
      </c>
      <c r="AF13" s="264">
        <f xml:space="preserve">
IF($A$4&lt;=12,SUMIFS('ON Data'!AK:AK,'ON Data'!$D:$D,$A$4,'ON Data'!$E:$E,4),SUMIFS('ON Data'!AK:AK,'ON Data'!$E:$E,4))</f>
        <v>0</v>
      </c>
      <c r="AG13" s="590">
        <f xml:space="preserve">
IF($A$4&lt;=12,SUMIFS('ON Data'!AM:AM,'ON Data'!$D:$D,$A$4,'ON Data'!$E:$E,4),SUMIFS('ON Data'!AM:AM,'ON Data'!$E:$E,4))</f>
        <v>0</v>
      </c>
      <c r="AH13" s="600"/>
    </row>
    <row r="14" spans="1:34" ht="15" thickBot="1" x14ac:dyDescent="0.35">
      <c r="A14" s="246" t="s">
        <v>216</v>
      </c>
      <c r="B14" s="265">
        <f xml:space="preserve">
IF($A$4&lt;=12,SUMIFS('ON Data'!F:F,'ON Data'!$D:$D,$A$4,'ON Data'!$E:$E,5),SUMIFS('ON Data'!F:F,'ON Data'!$E:$E,5))</f>
        <v>0</v>
      </c>
      <c r="C14" s="266">
        <f xml:space="preserve">
IF($A$4&lt;=12,SUMIFS('ON Data'!G:G,'ON Data'!$D:$D,$A$4,'ON Data'!$E:$E,5),SUMIFS('ON Data'!G:G,'ON Data'!$E:$E,5))</f>
        <v>0</v>
      </c>
      <c r="D14" s="267">
        <f xml:space="preserve">
IF($A$4&lt;=12,SUMIFS('ON Data'!H:H,'ON Data'!$D:$D,$A$4,'ON Data'!$E:$E,5),SUMIFS('ON Data'!H:H,'ON Data'!$E:$E,5))</f>
        <v>0</v>
      </c>
      <c r="E14" s="267">
        <f xml:space="preserve">
IF($A$4&lt;=12,SUMIFS('ON Data'!I:I,'ON Data'!$D:$D,$A$4,'ON Data'!$E:$E,5),SUMIFS('ON Data'!I:I,'ON Data'!$E:$E,5))</f>
        <v>0</v>
      </c>
      <c r="F14" s="267">
        <f xml:space="preserve">
IF($A$4&lt;=12,SUMIFS('ON Data'!K:K,'ON Data'!$D:$D,$A$4,'ON Data'!$E:$E,5),SUMIFS('ON Data'!K:K,'ON Data'!$E:$E,5))</f>
        <v>0</v>
      </c>
      <c r="G14" s="267">
        <f xml:space="preserve">
IF($A$4&lt;=12,SUMIFS('ON Data'!L:L,'ON Data'!$D:$D,$A$4,'ON Data'!$E:$E,5),SUMIFS('ON Data'!L:L,'ON Data'!$E:$E,5))</f>
        <v>0</v>
      </c>
      <c r="H14" s="267">
        <f xml:space="preserve">
IF($A$4&lt;=12,SUMIFS('ON Data'!M:M,'ON Data'!$D:$D,$A$4,'ON Data'!$E:$E,5),SUMIFS('ON Data'!M:M,'ON Data'!$E:$E,5))</f>
        <v>0</v>
      </c>
      <c r="I14" s="267">
        <f xml:space="preserve">
IF($A$4&lt;=12,SUMIFS('ON Data'!N:N,'ON Data'!$D:$D,$A$4,'ON Data'!$E:$E,5),SUMIFS('ON Data'!N:N,'ON Data'!$E:$E,5))</f>
        <v>0</v>
      </c>
      <c r="J14" s="267">
        <f xml:space="preserve">
IF($A$4&lt;=12,SUMIFS('ON Data'!O:O,'ON Data'!$D:$D,$A$4,'ON Data'!$E:$E,5),SUMIFS('ON Data'!O:O,'ON Data'!$E:$E,5))</f>
        <v>0</v>
      </c>
      <c r="K14" s="267">
        <f xml:space="preserve">
IF($A$4&lt;=12,SUMIFS('ON Data'!P:P,'ON Data'!$D:$D,$A$4,'ON Data'!$E:$E,5),SUMIFS('ON Data'!P:P,'ON Data'!$E:$E,5))</f>
        <v>0</v>
      </c>
      <c r="L14" s="267">
        <f xml:space="preserve">
IF($A$4&lt;=12,SUMIFS('ON Data'!Q:Q,'ON Data'!$D:$D,$A$4,'ON Data'!$E:$E,5),SUMIFS('ON Data'!Q:Q,'ON Data'!$E:$E,5))</f>
        <v>0</v>
      </c>
      <c r="M14" s="267">
        <f xml:space="preserve">
IF($A$4&lt;=12,SUMIFS('ON Data'!R:R,'ON Data'!$D:$D,$A$4,'ON Data'!$E:$E,5),SUMIFS('ON Data'!R:R,'ON Data'!$E:$E,5))</f>
        <v>0</v>
      </c>
      <c r="N14" s="267">
        <f xml:space="preserve">
IF($A$4&lt;=12,SUMIFS('ON Data'!S:S,'ON Data'!$D:$D,$A$4,'ON Data'!$E:$E,5),SUMIFS('ON Data'!S:S,'ON Data'!$E:$E,5))</f>
        <v>0</v>
      </c>
      <c r="O14" s="267">
        <f xml:space="preserve">
IF($A$4&lt;=12,SUMIFS('ON Data'!T:T,'ON Data'!$D:$D,$A$4,'ON Data'!$E:$E,5),SUMIFS('ON Data'!T:T,'ON Data'!$E:$E,5))</f>
        <v>0</v>
      </c>
      <c r="P14" s="267">
        <f xml:space="preserve">
IF($A$4&lt;=12,SUMIFS('ON Data'!U:U,'ON Data'!$D:$D,$A$4,'ON Data'!$E:$E,5),SUMIFS('ON Data'!U:U,'ON Data'!$E:$E,5))</f>
        <v>0</v>
      </c>
      <c r="Q14" s="267">
        <f xml:space="preserve">
IF($A$4&lt;=12,SUMIFS('ON Data'!V:V,'ON Data'!$D:$D,$A$4,'ON Data'!$E:$E,5),SUMIFS('ON Data'!V:V,'ON Data'!$E:$E,5))</f>
        <v>0</v>
      </c>
      <c r="R14" s="267">
        <f xml:space="preserve">
IF($A$4&lt;=12,SUMIFS('ON Data'!W:W,'ON Data'!$D:$D,$A$4,'ON Data'!$E:$E,5),SUMIFS('ON Data'!W:W,'ON Data'!$E:$E,5))</f>
        <v>0</v>
      </c>
      <c r="S14" s="267">
        <f xml:space="preserve">
IF($A$4&lt;=12,SUMIFS('ON Data'!X:X,'ON Data'!$D:$D,$A$4,'ON Data'!$E:$E,5),SUMIFS('ON Data'!X:X,'ON Data'!$E:$E,5))</f>
        <v>0</v>
      </c>
      <c r="T14" s="267">
        <f xml:space="preserve">
IF($A$4&lt;=12,SUMIFS('ON Data'!Y:Y,'ON Data'!$D:$D,$A$4,'ON Data'!$E:$E,5),SUMIFS('ON Data'!Y:Y,'ON Data'!$E:$E,5))</f>
        <v>0</v>
      </c>
      <c r="U14" s="267">
        <f xml:space="preserve">
IF($A$4&lt;=12,SUMIFS('ON Data'!Z:Z,'ON Data'!$D:$D,$A$4,'ON Data'!$E:$E,5),SUMIFS('ON Data'!Z:Z,'ON Data'!$E:$E,5))</f>
        <v>0</v>
      </c>
      <c r="V14" s="267">
        <f xml:space="preserve">
IF($A$4&lt;=12,SUMIFS('ON Data'!AA:AA,'ON Data'!$D:$D,$A$4,'ON Data'!$E:$E,5),SUMIFS('ON Data'!AA:AA,'ON Data'!$E:$E,5))</f>
        <v>0</v>
      </c>
      <c r="W14" s="267">
        <f xml:space="preserve">
IF($A$4&lt;=12,SUMIFS('ON Data'!AB:AB,'ON Data'!$D:$D,$A$4,'ON Data'!$E:$E,5),SUMIFS('ON Data'!AB:AB,'ON Data'!$E:$E,5))</f>
        <v>0</v>
      </c>
      <c r="X14" s="267">
        <f xml:space="preserve">
IF($A$4&lt;=12,SUMIFS('ON Data'!AC:AC,'ON Data'!$D:$D,$A$4,'ON Data'!$E:$E,5),SUMIFS('ON Data'!AC:AC,'ON Data'!$E:$E,5))</f>
        <v>0</v>
      </c>
      <c r="Y14" s="267">
        <f xml:space="preserve">
IF($A$4&lt;=12,SUMIFS('ON Data'!AD:AD,'ON Data'!$D:$D,$A$4,'ON Data'!$E:$E,5),SUMIFS('ON Data'!AD:AD,'ON Data'!$E:$E,5))</f>
        <v>0</v>
      </c>
      <c r="Z14" s="267">
        <f xml:space="preserve">
IF($A$4&lt;=12,SUMIFS('ON Data'!AE:AE,'ON Data'!$D:$D,$A$4,'ON Data'!$E:$E,5),SUMIFS('ON Data'!AE:AE,'ON Data'!$E:$E,5))</f>
        <v>0</v>
      </c>
      <c r="AA14" s="267">
        <f xml:space="preserve">
IF($A$4&lt;=12,SUMIFS('ON Data'!AF:AF,'ON Data'!$D:$D,$A$4,'ON Data'!$E:$E,5),SUMIFS('ON Data'!AF:AF,'ON Data'!$E:$E,5))</f>
        <v>0</v>
      </c>
      <c r="AB14" s="267">
        <f xml:space="preserve">
IF($A$4&lt;=12,SUMIFS('ON Data'!AG:AG,'ON Data'!$D:$D,$A$4,'ON Data'!$E:$E,5),SUMIFS('ON Data'!AG:AG,'ON Data'!$E:$E,5))</f>
        <v>0</v>
      </c>
      <c r="AC14" s="267">
        <f xml:space="preserve">
IF($A$4&lt;=12,SUMIFS('ON Data'!AH:AH,'ON Data'!$D:$D,$A$4,'ON Data'!$E:$E,5),SUMIFS('ON Data'!AH:AH,'ON Data'!$E:$E,5))</f>
        <v>0</v>
      </c>
      <c r="AD14" s="267">
        <f xml:space="preserve">
IF($A$4&lt;=12,SUMIFS('ON Data'!AI:AI,'ON Data'!$D:$D,$A$4,'ON Data'!$E:$E,5),SUMIFS('ON Data'!AI:AI,'ON Data'!$E:$E,5))</f>
        <v>0</v>
      </c>
      <c r="AE14" s="267">
        <f xml:space="preserve">
IF($A$4&lt;=12,SUMIFS('ON Data'!AJ:AJ,'ON Data'!$D:$D,$A$4,'ON Data'!$E:$E,5),SUMIFS('ON Data'!AJ:AJ,'ON Data'!$E:$E,5))</f>
        <v>0</v>
      </c>
      <c r="AF14" s="267">
        <f xml:space="preserve">
IF($A$4&lt;=12,SUMIFS('ON Data'!AK:AK,'ON Data'!$D:$D,$A$4,'ON Data'!$E:$E,5),SUMIFS('ON Data'!AK:AK,'ON Data'!$E:$E,5))</f>
        <v>0</v>
      </c>
      <c r="AG14" s="591">
        <f xml:space="preserve">
IF($A$4&lt;=12,SUMIFS('ON Data'!AM:AM,'ON Data'!$D:$D,$A$4,'ON Data'!$E:$E,5),SUMIFS('ON Data'!AM:AM,'ON Data'!$E:$E,5))</f>
        <v>0</v>
      </c>
      <c r="AH14" s="600"/>
    </row>
    <row r="15" spans="1:34" x14ac:dyDescent="0.3">
      <c r="A15" s="163" t="s">
        <v>226</v>
      </c>
      <c r="B15" s="268"/>
      <c r="C15" s="269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  <c r="AG15" s="592"/>
      <c r="AH15" s="600"/>
    </row>
    <row r="16" spans="1:34" x14ac:dyDescent="0.3">
      <c r="A16" s="247" t="s">
        <v>217</v>
      </c>
      <c r="B16" s="262">
        <f xml:space="preserve">
IF($A$4&lt;=12,SUMIFS('ON Data'!F:F,'ON Data'!$D:$D,$A$4,'ON Data'!$E:$E,7),SUMIFS('ON Data'!F:F,'ON Data'!$E:$E,7))</f>
        <v>0</v>
      </c>
      <c r="C16" s="263">
        <f xml:space="preserve">
IF($A$4&lt;=12,SUMIFS('ON Data'!G:G,'ON Data'!$D:$D,$A$4,'ON Data'!$E:$E,7),SUMIFS('ON Data'!G:G,'ON Data'!$E:$E,7))</f>
        <v>0</v>
      </c>
      <c r="D16" s="264">
        <f xml:space="preserve">
IF($A$4&lt;=12,SUMIFS('ON Data'!H:H,'ON Data'!$D:$D,$A$4,'ON Data'!$E:$E,7),SUMIFS('ON Data'!H:H,'ON Data'!$E:$E,7))</f>
        <v>0</v>
      </c>
      <c r="E16" s="264">
        <f xml:space="preserve">
IF($A$4&lt;=12,SUMIFS('ON Data'!I:I,'ON Data'!$D:$D,$A$4,'ON Data'!$E:$E,7),SUMIFS('ON Data'!I:I,'ON Data'!$E:$E,7))</f>
        <v>0</v>
      </c>
      <c r="F16" s="264">
        <f xml:space="preserve">
IF($A$4&lt;=12,SUMIFS('ON Data'!K:K,'ON Data'!$D:$D,$A$4,'ON Data'!$E:$E,7),SUMIFS('ON Data'!K:K,'ON Data'!$E:$E,7))</f>
        <v>0</v>
      </c>
      <c r="G16" s="264">
        <f xml:space="preserve">
IF($A$4&lt;=12,SUMIFS('ON Data'!L:L,'ON Data'!$D:$D,$A$4,'ON Data'!$E:$E,7),SUMIFS('ON Data'!L:L,'ON Data'!$E:$E,7))</f>
        <v>0</v>
      </c>
      <c r="H16" s="264">
        <f xml:space="preserve">
IF($A$4&lt;=12,SUMIFS('ON Data'!M:M,'ON Data'!$D:$D,$A$4,'ON Data'!$E:$E,7),SUMIFS('ON Data'!M:M,'ON Data'!$E:$E,7))</f>
        <v>0</v>
      </c>
      <c r="I16" s="264">
        <f xml:space="preserve">
IF($A$4&lt;=12,SUMIFS('ON Data'!N:N,'ON Data'!$D:$D,$A$4,'ON Data'!$E:$E,7),SUMIFS('ON Data'!N:N,'ON Data'!$E:$E,7))</f>
        <v>0</v>
      </c>
      <c r="J16" s="264">
        <f xml:space="preserve">
IF($A$4&lt;=12,SUMIFS('ON Data'!O:O,'ON Data'!$D:$D,$A$4,'ON Data'!$E:$E,7),SUMIFS('ON Data'!O:O,'ON Data'!$E:$E,7))</f>
        <v>0</v>
      </c>
      <c r="K16" s="264">
        <f xml:space="preserve">
IF($A$4&lt;=12,SUMIFS('ON Data'!P:P,'ON Data'!$D:$D,$A$4,'ON Data'!$E:$E,7),SUMIFS('ON Data'!P:P,'ON Data'!$E:$E,7))</f>
        <v>0</v>
      </c>
      <c r="L16" s="264">
        <f xml:space="preserve">
IF($A$4&lt;=12,SUMIFS('ON Data'!Q:Q,'ON Data'!$D:$D,$A$4,'ON Data'!$E:$E,7),SUMIFS('ON Data'!Q:Q,'ON Data'!$E:$E,7))</f>
        <v>0</v>
      </c>
      <c r="M16" s="264">
        <f xml:space="preserve">
IF($A$4&lt;=12,SUMIFS('ON Data'!R:R,'ON Data'!$D:$D,$A$4,'ON Data'!$E:$E,7),SUMIFS('ON Data'!R:R,'ON Data'!$E:$E,7))</f>
        <v>0</v>
      </c>
      <c r="N16" s="264">
        <f xml:space="preserve">
IF($A$4&lt;=12,SUMIFS('ON Data'!S:S,'ON Data'!$D:$D,$A$4,'ON Data'!$E:$E,7),SUMIFS('ON Data'!S:S,'ON Data'!$E:$E,7))</f>
        <v>0</v>
      </c>
      <c r="O16" s="264">
        <f xml:space="preserve">
IF($A$4&lt;=12,SUMIFS('ON Data'!T:T,'ON Data'!$D:$D,$A$4,'ON Data'!$E:$E,7),SUMIFS('ON Data'!T:T,'ON Data'!$E:$E,7))</f>
        <v>0</v>
      </c>
      <c r="P16" s="264">
        <f xml:space="preserve">
IF($A$4&lt;=12,SUMIFS('ON Data'!U:U,'ON Data'!$D:$D,$A$4,'ON Data'!$E:$E,7),SUMIFS('ON Data'!U:U,'ON Data'!$E:$E,7))</f>
        <v>0</v>
      </c>
      <c r="Q16" s="264">
        <f xml:space="preserve">
IF($A$4&lt;=12,SUMIFS('ON Data'!V:V,'ON Data'!$D:$D,$A$4,'ON Data'!$E:$E,7),SUMIFS('ON Data'!V:V,'ON Data'!$E:$E,7))</f>
        <v>0</v>
      </c>
      <c r="R16" s="264">
        <f xml:space="preserve">
IF($A$4&lt;=12,SUMIFS('ON Data'!W:W,'ON Data'!$D:$D,$A$4,'ON Data'!$E:$E,7),SUMIFS('ON Data'!W:W,'ON Data'!$E:$E,7))</f>
        <v>0</v>
      </c>
      <c r="S16" s="264">
        <f xml:space="preserve">
IF($A$4&lt;=12,SUMIFS('ON Data'!X:X,'ON Data'!$D:$D,$A$4,'ON Data'!$E:$E,7),SUMIFS('ON Data'!X:X,'ON Data'!$E:$E,7))</f>
        <v>0</v>
      </c>
      <c r="T16" s="264">
        <f xml:space="preserve">
IF($A$4&lt;=12,SUMIFS('ON Data'!Y:Y,'ON Data'!$D:$D,$A$4,'ON Data'!$E:$E,7),SUMIFS('ON Data'!Y:Y,'ON Data'!$E:$E,7))</f>
        <v>0</v>
      </c>
      <c r="U16" s="264">
        <f xml:space="preserve">
IF($A$4&lt;=12,SUMIFS('ON Data'!Z:Z,'ON Data'!$D:$D,$A$4,'ON Data'!$E:$E,7),SUMIFS('ON Data'!Z:Z,'ON Data'!$E:$E,7))</f>
        <v>0</v>
      </c>
      <c r="V16" s="264">
        <f xml:space="preserve">
IF($A$4&lt;=12,SUMIFS('ON Data'!AA:AA,'ON Data'!$D:$D,$A$4,'ON Data'!$E:$E,7),SUMIFS('ON Data'!AA:AA,'ON Data'!$E:$E,7))</f>
        <v>0</v>
      </c>
      <c r="W16" s="264">
        <f xml:space="preserve">
IF($A$4&lt;=12,SUMIFS('ON Data'!AB:AB,'ON Data'!$D:$D,$A$4,'ON Data'!$E:$E,7),SUMIFS('ON Data'!AB:AB,'ON Data'!$E:$E,7))</f>
        <v>0</v>
      </c>
      <c r="X16" s="264">
        <f xml:space="preserve">
IF($A$4&lt;=12,SUMIFS('ON Data'!AC:AC,'ON Data'!$D:$D,$A$4,'ON Data'!$E:$E,7),SUMIFS('ON Data'!AC:AC,'ON Data'!$E:$E,7))</f>
        <v>0</v>
      </c>
      <c r="Y16" s="264">
        <f xml:space="preserve">
IF($A$4&lt;=12,SUMIFS('ON Data'!AD:AD,'ON Data'!$D:$D,$A$4,'ON Data'!$E:$E,7),SUMIFS('ON Data'!AD:AD,'ON Data'!$E:$E,7))</f>
        <v>0</v>
      </c>
      <c r="Z16" s="264">
        <f xml:space="preserve">
IF($A$4&lt;=12,SUMIFS('ON Data'!AE:AE,'ON Data'!$D:$D,$A$4,'ON Data'!$E:$E,7),SUMIFS('ON Data'!AE:AE,'ON Data'!$E:$E,7))</f>
        <v>0</v>
      </c>
      <c r="AA16" s="264">
        <f xml:space="preserve">
IF($A$4&lt;=12,SUMIFS('ON Data'!AF:AF,'ON Data'!$D:$D,$A$4,'ON Data'!$E:$E,7),SUMIFS('ON Data'!AF:AF,'ON Data'!$E:$E,7))</f>
        <v>0</v>
      </c>
      <c r="AB16" s="264">
        <f xml:space="preserve">
IF($A$4&lt;=12,SUMIFS('ON Data'!AG:AG,'ON Data'!$D:$D,$A$4,'ON Data'!$E:$E,7),SUMIFS('ON Data'!AG:AG,'ON Data'!$E:$E,7))</f>
        <v>0</v>
      </c>
      <c r="AC16" s="264">
        <f xml:space="preserve">
IF($A$4&lt;=12,SUMIFS('ON Data'!AH:AH,'ON Data'!$D:$D,$A$4,'ON Data'!$E:$E,7),SUMIFS('ON Data'!AH:AH,'ON Data'!$E:$E,7))</f>
        <v>0</v>
      </c>
      <c r="AD16" s="264">
        <f xml:space="preserve">
IF($A$4&lt;=12,SUMIFS('ON Data'!AI:AI,'ON Data'!$D:$D,$A$4,'ON Data'!$E:$E,7),SUMIFS('ON Data'!AI:AI,'ON Data'!$E:$E,7))</f>
        <v>0</v>
      </c>
      <c r="AE16" s="264">
        <f xml:space="preserve">
IF($A$4&lt;=12,SUMIFS('ON Data'!AJ:AJ,'ON Data'!$D:$D,$A$4,'ON Data'!$E:$E,7),SUMIFS('ON Data'!AJ:AJ,'ON Data'!$E:$E,7))</f>
        <v>0</v>
      </c>
      <c r="AF16" s="264">
        <f xml:space="preserve">
IF($A$4&lt;=12,SUMIFS('ON Data'!AK:AK,'ON Data'!$D:$D,$A$4,'ON Data'!$E:$E,7),SUMIFS('ON Data'!AK:AK,'ON Data'!$E:$E,7))</f>
        <v>0</v>
      </c>
      <c r="AG16" s="590">
        <f xml:space="preserve">
IF($A$4&lt;=12,SUMIFS('ON Data'!AM:AM,'ON Data'!$D:$D,$A$4,'ON Data'!$E:$E,7),SUMIFS('ON Data'!AM:AM,'ON Data'!$E:$E,7))</f>
        <v>0</v>
      </c>
      <c r="AH16" s="600"/>
    </row>
    <row r="17" spans="1:34" x14ac:dyDescent="0.3">
      <c r="A17" s="247" t="s">
        <v>218</v>
      </c>
      <c r="B17" s="262">
        <f xml:space="preserve">
IF($A$4&lt;=12,SUMIFS('ON Data'!F:F,'ON Data'!$D:$D,$A$4,'ON Data'!$E:$E,8),SUMIFS('ON Data'!F:F,'ON Data'!$E:$E,8))</f>
        <v>0</v>
      </c>
      <c r="C17" s="263">
        <f xml:space="preserve">
IF($A$4&lt;=12,SUMIFS('ON Data'!G:G,'ON Data'!$D:$D,$A$4,'ON Data'!$E:$E,8),SUMIFS('ON Data'!G:G,'ON Data'!$E:$E,8))</f>
        <v>0</v>
      </c>
      <c r="D17" s="264">
        <f xml:space="preserve">
IF($A$4&lt;=12,SUMIFS('ON Data'!H:H,'ON Data'!$D:$D,$A$4,'ON Data'!$E:$E,8),SUMIFS('ON Data'!H:H,'ON Data'!$E:$E,8))</f>
        <v>0</v>
      </c>
      <c r="E17" s="264">
        <f xml:space="preserve">
IF($A$4&lt;=12,SUMIFS('ON Data'!I:I,'ON Data'!$D:$D,$A$4,'ON Data'!$E:$E,8),SUMIFS('ON Data'!I:I,'ON Data'!$E:$E,8))</f>
        <v>0</v>
      </c>
      <c r="F17" s="264">
        <f xml:space="preserve">
IF($A$4&lt;=12,SUMIFS('ON Data'!K:K,'ON Data'!$D:$D,$A$4,'ON Data'!$E:$E,8),SUMIFS('ON Data'!K:K,'ON Data'!$E:$E,8))</f>
        <v>0</v>
      </c>
      <c r="G17" s="264">
        <f xml:space="preserve">
IF($A$4&lt;=12,SUMIFS('ON Data'!L:L,'ON Data'!$D:$D,$A$4,'ON Data'!$E:$E,8),SUMIFS('ON Data'!L:L,'ON Data'!$E:$E,8))</f>
        <v>0</v>
      </c>
      <c r="H17" s="264">
        <f xml:space="preserve">
IF($A$4&lt;=12,SUMIFS('ON Data'!M:M,'ON Data'!$D:$D,$A$4,'ON Data'!$E:$E,8),SUMIFS('ON Data'!M:M,'ON Data'!$E:$E,8))</f>
        <v>0</v>
      </c>
      <c r="I17" s="264">
        <f xml:space="preserve">
IF($A$4&lt;=12,SUMIFS('ON Data'!N:N,'ON Data'!$D:$D,$A$4,'ON Data'!$E:$E,8),SUMIFS('ON Data'!N:N,'ON Data'!$E:$E,8))</f>
        <v>0</v>
      </c>
      <c r="J17" s="264">
        <f xml:space="preserve">
IF($A$4&lt;=12,SUMIFS('ON Data'!O:O,'ON Data'!$D:$D,$A$4,'ON Data'!$E:$E,8),SUMIFS('ON Data'!O:O,'ON Data'!$E:$E,8))</f>
        <v>0</v>
      </c>
      <c r="K17" s="264">
        <f xml:space="preserve">
IF($A$4&lt;=12,SUMIFS('ON Data'!P:P,'ON Data'!$D:$D,$A$4,'ON Data'!$E:$E,8),SUMIFS('ON Data'!P:P,'ON Data'!$E:$E,8))</f>
        <v>0</v>
      </c>
      <c r="L17" s="264">
        <f xml:space="preserve">
IF($A$4&lt;=12,SUMIFS('ON Data'!Q:Q,'ON Data'!$D:$D,$A$4,'ON Data'!$E:$E,8),SUMIFS('ON Data'!Q:Q,'ON Data'!$E:$E,8))</f>
        <v>0</v>
      </c>
      <c r="M17" s="264">
        <f xml:space="preserve">
IF($A$4&lt;=12,SUMIFS('ON Data'!R:R,'ON Data'!$D:$D,$A$4,'ON Data'!$E:$E,8),SUMIFS('ON Data'!R:R,'ON Data'!$E:$E,8))</f>
        <v>0</v>
      </c>
      <c r="N17" s="264">
        <f xml:space="preserve">
IF($A$4&lt;=12,SUMIFS('ON Data'!S:S,'ON Data'!$D:$D,$A$4,'ON Data'!$E:$E,8),SUMIFS('ON Data'!S:S,'ON Data'!$E:$E,8))</f>
        <v>0</v>
      </c>
      <c r="O17" s="264">
        <f xml:space="preserve">
IF($A$4&lt;=12,SUMIFS('ON Data'!T:T,'ON Data'!$D:$D,$A$4,'ON Data'!$E:$E,8),SUMIFS('ON Data'!T:T,'ON Data'!$E:$E,8))</f>
        <v>0</v>
      </c>
      <c r="P17" s="264">
        <f xml:space="preserve">
IF($A$4&lt;=12,SUMIFS('ON Data'!U:U,'ON Data'!$D:$D,$A$4,'ON Data'!$E:$E,8),SUMIFS('ON Data'!U:U,'ON Data'!$E:$E,8))</f>
        <v>0</v>
      </c>
      <c r="Q17" s="264">
        <f xml:space="preserve">
IF($A$4&lt;=12,SUMIFS('ON Data'!V:V,'ON Data'!$D:$D,$A$4,'ON Data'!$E:$E,8),SUMIFS('ON Data'!V:V,'ON Data'!$E:$E,8))</f>
        <v>0</v>
      </c>
      <c r="R17" s="264">
        <f xml:space="preserve">
IF($A$4&lt;=12,SUMIFS('ON Data'!W:W,'ON Data'!$D:$D,$A$4,'ON Data'!$E:$E,8),SUMIFS('ON Data'!W:W,'ON Data'!$E:$E,8))</f>
        <v>0</v>
      </c>
      <c r="S17" s="264">
        <f xml:space="preserve">
IF($A$4&lt;=12,SUMIFS('ON Data'!X:X,'ON Data'!$D:$D,$A$4,'ON Data'!$E:$E,8),SUMIFS('ON Data'!X:X,'ON Data'!$E:$E,8))</f>
        <v>0</v>
      </c>
      <c r="T17" s="264">
        <f xml:space="preserve">
IF($A$4&lt;=12,SUMIFS('ON Data'!Y:Y,'ON Data'!$D:$D,$A$4,'ON Data'!$E:$E,8),SUMIFS('ON Data'!Y:Y,'ON Data'!$E:$E,8))</f>
        <v>0</v>
      </c>
      <c r="U17" s="264">
        <f xml:space="preserve">
IF($A$4&lt;=12,SUMIFS('ON Data'!Z:Z,'ON Data'!$D:$D,$A$4,'ON Data'!$E:$E,8),SUMIFS('ON Data'!Z:Z,'ON Data'!$E:$E,8))</f>
        <v>0</v>
      </c>
      <c r="V17" s="264">
        <f xml:space="preserve">
IF($A$4&lt;=12,SUMIFS('ON Data'!AA:AA,'ON Data'!$D:$D,$A$4,'ON Data'!$E:$E,8),SUMIFS('ON Data'!AA:AA,'ON Data'!$E:$E,8))</f>
        <v>0</v>
      </c>
      <c r="W17" s="264">
        <f xml:space="preserve">
IF($A$4&lt;=12,SUMIFS('ON Data'!AB:AB,'ON Data'!$D:$D,$A$4,'ON Data'!$E:$E,8),SUMIFS('ON Data'!AB:AB,'ON Data'!$E:$E,8))</f>
        <v>0</v>
      </c>
      <c r="X17" s="264">
        <f xml:space="preserve">
IF($A$4&lt;=12,SUMIFS('ON Data'!AC:AC,'ON Data'!$D:$D,$A$4,'ON Data'!$E:$E,8),SUMIFS('ON Data'!AC:AC,'ON Data'!$E:$E,8))</f>
        <v>0</v>
      </c>
      <c r="Y17" s="264">
        <f xml:space="preserve">
IF($A$4&lt;=12,SUMIFS('ON Data'!AD:AD,'ON Data'!$D:$D,$A$4,'ON Data'!$E:$E,8),SUMIFS('ON Data'!AD:AD,'ON Data'!$E:$E,8))</f>
        <v>0</v>
      </c>
      <c r="Z17" s="264">
        <f xml:space="preserve">
IF($A$4&lt;=12,SUMIFS('ON Data'!AE:AE,'ON Data'!$D:$D,$A$4,'ON Data'!$E:$E,8),SUMIFS('ON Data'!AE:AE,'ON Data'!$E:$E,8))</f>
        <v>0</v>
      </c>
      <c r="AA17" s="264">
        <f xml:space="preserve">
IF($A$4&lt;=12,SUMIFS('ON Data'!AF:AF,'ON Data'!$D:$D,$A$4,'ON Data'!$E:$E,8),SUMIFS('ON Data'!AF:AF,'ON Data'!$E:$E,8))</f>
        <v>0</v>
      </c>
      <c r="AB17" s="264">
        <f xml:space="preserve">
IF($A$4&lt;=12,SUMIFS('ON Data'!AG:AG,'ON Data'!$D:$D,$A$4,'ON Data'!$E:$E,8),SUMIFS('ON Data'!AG:AG,'ON Data'!$E:$E,8))</f>
        <v>0</v>
      </c>
      <c r="AC17" s="264">
        <f xml:space="preserve">
IF($A$4&lt;=12,SUMIFS('ON Data'!AH:AH,'ON Data'!$D:$D,$A$4,'ON Data'!$E:$E,8),SUMIFS('ON Data'!AH:AH,'ON Data'!$E:$E,8))</f>
        <v>0</v>
      </c>
      <c r="AD17" s="264">
        <f xml:space="preserve">
IF($A$4&lt;=12,SUMIFS('ON Data'!AI:AI,'ON Data'!$D:$D,$A$4,'ON Data'!$E:$E,8),SUMIFS('ON Data'!AI:AI,'ON Data'!$E:$E,8))</f>
        <v>0</v>
      </c>
      <c r="AE17" s="264">
        <f xml:space="preserve">
IF($A$4&lt;=12,SUMIFS('ON Data'!AJ:AJ,'ON Data'!$D:$D,$A$4,'ON Data'!$E:$E,8),SUMIFS('ON Data'!AJ:AJ,'ON Data'!$E:$E,8))</f>
        <v>0</v>
      </c>
      <c r="AF17" s="264">
        <f xml:space="preserve">
IF($A$4&lt;=12,SUMIFS('ON Data'!AK:AK,'ON Data'!$D:$D,$A$4,'ON Data'!$E:$E,8),SUMIFS('ON Data'!AK:AK,'ON Data'!$E:$E,8))</f>
        <v>0</v>
      </c>
      <c r="AG17" s="590">
        <f xml:space="preserve">
IF($A$4&lt;=12,SUMIFS('ON Data'!AM:AM,'ON Data'!$D:$D,$A$4,'ON Data'!$E:$E,8),SUMIFS('ON Data'!AM:AM,'ON Data'!$E:$E,8))</f>
        <v>0</v>
      </c>
      <c r="AH17" s="600"/>
    </row>
    <row r="18" spans="1:34" x14ac:dyDescent="0.3">
      <c r="A18" s="247" t="s">
        <v>219</v>
      </c>
      <c r="B18" s="262">
        <f xml:space="preserve">
B19-B16-B17</f>
        <v>500583</v>
      </c>
      <c r="C18" s="263">
        <f t="shared" ref="C18" si="0" xml:space="preserve">
C19-C16-C17</f>
        <v>0</v>
      </c>
      <c r="D18" s="264">
        <f t="shared" ref="D18:AG18" si="1" xml:space="preserve">
D19-D16-D17</f>
        <v>285657</v>
      </c>
      <c r="E18" s="264">
        <f t="shared" si="1"/>
        <v>0</v>
      </c>
      <c r="F18" s="264">
        <f t="shared" si="1"/>
        <v>168050</v>
      </c>
      <c r="G18" s="264">
        <f t="shared" si="1"/>
        <v>0</v>
      </c>
      <c r="H18" s="264">
        <f t="shared" si="1"/>
        <v>0</v>
      </c>
      <c r="I18" s="264">
        <f t="shared" si="1"/>
        <v>0</v>
      </c>
      <c r="J18" s="264">
        <f t="shared" si="1"/>
        <v>0</v>
      </c>
      <c r="K18" s="264">
        <f t="shared" si="1"/>
        <v>0</v>
      </c>
      <c r="L18" s="264">
        <f t="shared" si="1"/>
        <v>0</v>
      </c>
      <c r="M18" s="264">
        <f t="shared" si="1"/>
        <v>0</v>
      </c>
      <c r="N18" s="264">
        <f t="shared" si="1"/>
        <v>0</v>
      </c>
      <c r="O18" s="264">
        <f t="shared" si="1"/>
        <v>0</v>
      </c>
      <c r="P18" s="264">
        <f t="shared" si="1"/>
        <v>0</v>
      </c>
      <c r="Q18" s="264">
        <f t="shared" si="1"/>
        <v>0</v>
      </c>
      <c r="R18" s="264">
        <f t="shared" si="1"/>
        <v>0</v>
      </c>
      <c r="S18" s="264">
        <f t="shared" si="1"/>
        <v>34864</v>
      </c>
      <c r="T18" s="264">
        <f t="shared" si="1"/>
        <v>0</v>
      </c>
      <c r="U18" s="264">
        <f t="shared" si="1"/>
        <v>0</v>
      </c>
      <c r="V18" s="264">
        <f t="shared" si="1"/>
        <v>0</v>
      </c>
      <c r="W18" s="264">
        <f t="shared" si="1"/>
        <v>0</v>
      </c>
      <c r="X18" s="264">
        <f t="shared" si="1"/>
        <v>0</v>
      </c>
      <c r="Y18" s="264">
        <f t="shared" si="1"/>
        <v>0</v>
      </c>
      <c r="Z18" s="264">
        <f t="shared" si="1"/>
        <v>0</v>
      </c>
      <c r="AA18" s="264">
        <f t="shared" si="1"/>
        <v>0</v>
      </c>
      <c r="AB18" s="264">
        <f t="shared" si="1"/>
        <v>0</v>
      </c>
      <c r="AC18" s="264">
        <f t="shared" si="1"/>
        <v>0</v>
      </c>
      <c r="AD18" s="264">
        <f t="shared" si="1"/>
        <v>0</v>
      </c>
      <c r="AE18" s="264">
        <f t="shared" si="1"/>
        <v>0</v>
      </c>
      <c r="AF18" s="264">
        <f t="shared" si="1"/>
        <v>0</v>
      </c>
      <c r="AG18" s="590">
        <f t="shared" si="1"/>
        <v>12012</v>
      </c>
      <c r="AH18" s="600"/>
    </row>
    <row r="19" spans="1:34" ht="15" thickBot="1" x14ac:dyDescent="0.35">
      <c r="A19" s="248" t="s">
        <v>220</v>
      </c>
      <c r="B19" s="271">
        <f xml:space="preserve">
IF($A$4&lt;=12,SUMIFS('ON Data'!F:F,'ON Data'!$D:$D,$A$4,'ON Data'!$E:$E,9),SUMIFS('ON Data'!F:F,'ON Data'!$E:$E,9))</f>
        <v>500583</v>
      </c>
      <c r="C19" s="272">
        <f xml:space="preserve">
IF($A$4&lt;=12,SUMIFS('ON Data'!G:G,'ON Data'!$D:$D,$A$4,'ON Data'!$E:$E,9),SUMIFS('ON Data'!G:G,'ON Data'!$E:$E,9))</f>
        <v>0</v>
      </c>
      <c r="D19" s="273">
        <f xml:space="preserve">
IF($A$4&lt;=12,SUMIFS('ON Data'!H:H,'ON Data'!$D:$D,$A$4,'ON Data'!$E:$E,9),SUMIFS('ON Data'!H:H,'ON Data'!$E:$E,9))</f>
        <v>285657</v>
      </c>
      <c r="E19" s="273">
        <f xml:space="preserve">
IF($A$4&lt;=12,SUMIFS('ON Data'!I:I,'ON Data'!$D:$D,$A$4,'ON Data'!$E:$E,9),SUMIFS('ON Data'!I:I,'ON Data'!$E:$E,9))</f>
        <v>0</v>
      </c>
      <c r="F19" s="273">
        <f xml:space="preserve">
IF($A$4&lt;=12,SUMIFS('ON Data'!K:K,'ON Data'!$D:$D,$A$4,'ON Data'!$E:$E,9),SUMIFS('ON Data'!K:K,'ON Data'!$E:$E,9))</f>
        <v>168050</v>
      </c>
      <c r="G19" s="273">
        <f xml:space="preserve">
IF($A$4&lt;=12,SUMIFS('ON Data'!L:L,'ON Data'!$D:$D,$A$4,'ON Data'!$E:$E,9),SUMIFS('ON Data'!L:L,'ON Data'!$E:$E,9))</f>
        <v>0</v>
      </c>
      <c r="H19" s="273">
        <f xml:space="preserve">
IF($A$4&lt;=12,SUMIFS('ON Data'!M:M,'ON Data'!$D:$D,$A$4,'ON Data'!$E:$E,9),SUMIFS('ON Data'!M:M,'ON Data'!$E:$E,9))</f>
        <v>0</v>
      </c>
      <c r="I19" s="273">
        <f xml:space="preserve">
IF($A$4&lt;=12,SUMIFS('ON Data'!N:N,'ON Data'!$D:$D,$A$4,'ON Data'!$E:$E,9),SUMIFS('ON Data'!N:N,'ON Data'!$E:$E,9))</f>
        <v>0</v>
      </c>
      <c r="J19" s="273">
        <f xml:space="preserve">
IF($A$4&lt;=12,SUMIFS('ON Data'!O:O,'ON Data'!$D:$D,$A$4,'ON Data'!$E:$E,9),SUMIFS('ON Data'!O:O,'ON Data'!$E:$E,9))</f>
        <v>0</v>
      </c>
      <c r="K19" s="273">
        <f xml:space="preserve">
IF($A$4&lt;=12,SUMIFS('ON Data'!P:P,'ON Data'!$D:$D,$A$4,'ON Data'!$E:$E,9),SUMIFS('ON Data'!P:P,'ON Data'!$E:$E,9))</f>
        <v>0</v>
      </c>
      <c r="L19" s="273">
        <f xml:space="preserve">
IF($A$4&lt;=12,SUMIFS('ON Data'!Q:Q,'ON Data'!$D:$D,$A$4,'ON Data'!$E:$E,9),SUMIFS('ON Data'!Q:Q,'ON Data'!$E:$E,9))</f>
        <v>0</v>
      </c>
      <c r="M19" s="273">
        <f xml:space="preserve">
IF($A$4&lt;=12,SUMIFS('ON Data'!R:R,'ON Data'!$D:$D,$A$4,'ON Data'!$E:$E,9),SUMIFS('ON Data'!R:R,'ON Data'!$E:$E,9))</f>
        <v>0</v>
      </c>
      <c r="N19" s="273">
        <f xml:space="preserve">
IF($A$4&lt;=12,SUMIFS('ON Data'!S:S,'ON Data'!$D:$D,$A$4,'ON Data'!$E:$E,9),SUMIFS('ON Data'!S:S,'ON Data'!$E:$E,9))</f>
        <v>0</v>
      </c>
      <c r="O19" s="273">
        <f xml:space="preserve">
IF($A$4&lt;=12,SUMIFS('ON Data'!T:T,'ON Data'!$D:$D,$A$4,'ON Data'!$E:$E,9),SUMIFS('ON Data'!T:T,'ON Data'!$E:$E,9))</f>
        <v>0</v>
      </c>
      <c r="P19" s="273">
        <f xml:space="preserve">
IF($A$4&lt;=12,SUMIFS('ON Data'!U:U,'ON Data'!$D:$D,$A$4,'ON Data'!$E:$E,9),SUMIFS('ON Data'!U:U,'ON Data'!$E:$E,9))</f>
        <v>0</v>
      </c>
      <c r="Q19" s="273">
        <f xml:space="preserve">
IF($A$4&lt;=12,SUMIFS('ON Data'!V:V,'ON Data'!$D:$D,$A$4,'ON Data'!$E:$E,9),SUMIFS('ON Data'!V:V,'ON Data'!$E:$E,9))</f>
        <v>0</v>
      </c>
      <c r="R19" s="273">
        <f xml:space="preserve">
IF($A$4&lt;=12,SUMIFS('ON Data'!W:W,'ON Data'!$D:$D,$A$4,'ON Data'!$E:$E,9),SUMIFS('ON Data'!W:W,'ON Data'!$E:$E,9))</f>
        <v>0</v>
      </c>
      <c r="S19" s="273">
        <f xml:space="preserve">
IF($A$4&lt;=12,SUMIFS('ON Data'!X:X,'ON Data'!$D:$D,$A$4,'ON Data'!$E:$E,9),SUMIFS('ON Data'!X:X,'ON Data'!$E:$E,9))</f>
        <v>34864</v>
      </c>
      <c r="T19" s="273">
        <f xml:space="preserve">
IF($A$4&lt;=12,SUMIFS('ON Data'!Y:Y,'ON Data'!$D:$D,$A$4,'ON Data'!$E:$E,9),SUMIFS('ON Data'!Y:Y,'ON Data'!$E:$E,9))</f>
        <v>0</v>
      </c>
      <c r="U19" s="273">
        <f xml:space="preserve">
IF($A$4&lt;=12,SUMIFS('ON Data'!Z:Z,'ON Data'!$D:$D,$A$4,'ON Data'!$E:$E,9),SUMIFS('ON Data'!Z:Z,'ON Data'!$E:$E,9))</f>
        <v>0</v>
      </c>
      <c r="V19" s="273">
        <f xml:space="preserve">
IF($A$4&lt;=12,SUMIFS('ON Data'!AA:AA,'ON Data'!$D:$D,$A$4,'ON Data'!$E:$E,9),SUMIFS('ON Data'!AA:AA,'ON Data'!$E:$E,9))</f>
        <v>0</v>
      </c>
      <c r="W19" s="273">
        <f xml:space="preserve">
IF($A$4&lt;=12,SUMIFS('ON Data'!AB:AB,'ON Data'!$D:$D,$A$4,'ON Data'!$E:$E,9),SUMIFS('ON Data'!AB:AB,'ON Data'!$E:$E,9))</f>
        <v>0</v>
      </c>
      <c r="X19" s="273">
        <f xml:space="preserve">
IF($A$4&lt;=12,SUMIFS('ON Data'!AC:AC,'ON Data'!$D:$D,$A$4,'ON Data'!$E:$E,9),SUMIFS('ON Data'!AC:AC,'ON Data'!$E:$E,9))</f>
        <v>0</v>
      </c>
      <c r="Y19" s="273">
        <f xml:space="preserve">
IF($A$4&lt;=12,SUMIFS('ON Data'!AD:AD,'ON Data'!$D:$D,$A$4,'ON Data'!$E:$E,9),SUMIFS('ON Data'!AD:AD,'ON Data'!$E:$E,9))</f>
        <v>0</v>
      </c>
      <c r="Z19" s="273">
        <f xml:space="preserve">
IF($A$4&lt;=12,SUMIFS('ON Data'!AE:AE,'ON Data'!$D:$D,$A$4,'ON Data'!$E:$E,9),SUMIFS('ON Data'!AE:AE,'ON Data'!$E:$E,9))</f>
        <v>0</v>
      </c>
      <c r="AA19" s="273">
        <f xml:space="preserve">
IF($A$4&lt;=12,SUMIFS('ON Data'!AF:AF,'ON Data'!$D:$D,$A$4,'ON Data'!$E:$E,9),SUMIFS('ON Data'!AF:AF,'ON Data'!$E:$E,9))</f>
        <v>0</v>
      </c>
      <c r="AB19" s="273">
        <f xml:space="preserve">
IF($A$4&lt;=12,SUMIFS('ON Data'!AG:AG,'ON Data'!$D:$D,$A$4,'ON Data'!$E:$E,9),SUMIFS('ON Data'!AG:AG,'ON Data'!$E:$E,9))</f>
        <v>0</v>
      </c>
      <c r="AC19" s="273">
        <f xml:space="preserve">
IF($A$4&lt;=12,SUMIFS('ON Data'!AH:AH,'ON Data'!$D:$D,$A$4,'ON Data'!$E:$E,9),SUMIFS('ON Data'!AH:AH,'ON Data'!$E:$E,9))</f>
        <v>0</v>
      </c>
      <c r="AD19" s="273">
        <f xml:space="preserve">
IF($A$4&lt;=12,SUMIFS('ON Data'!AI:AI,'ON Data'!$D:$D,$A$4,'ON Data'!$E:$E,9),SUMIFS('ON Data'!AI:AI,'ON Data'!$E:$E,9))</f>
        <v>0</v>
      </c>
      <c r="AE19" s="273">
        <f xml:space="preserve">
IF($A$4&lt;=12,SUMIFS('ON Data'!AJ:AJ,'ON Data'!$D:$D,$A$4,'ON Data'!$E:$E,9),SUMIFS('ON Data'!AJ:AJ,'ON Data'!$E:$E,9))</f>
        <v>0</v>
      </c>
      <c r="AF19" s="273">
        <f xml:space="preserve">
IF($A$4&lt;=12,SUMIFS('ON Data'!AK:AK,'ON Data'!$D:$D,$A$4,'ON Data'!$E:$E,9),SUMIFS('ON Data'!AK:AK,'ON Data'!$E:$E,9))</f>
        <v>0</v>
      </c>
      <c r="AG19" s="593">
        <f xml:space="preserve">
IF($A$4&lt;=12,SUMIFS('ON Data'!AM:AM,'ON Data'!$D:$D,$A$4,'ON Data'!$E:$E,9),SUMIFS('ON Data'!AM:AM,'ON Data'!$E:$E,9))</f>
        <v>12012</v>
      </c>
      <c r="AH19" s="600"/>
    </row>
    <row r="20" spans="1:34" ht="15" collapsed="1" thickBot="1" x14ac:dyDescent="0.35">
      <c r="A20" s="249" t="s">
        <v>73</v>
      </c>
      <c r="B20" s="274">
        <f xml:space="preserve">
IF($A$4&lt;=12,SUMIFS('ON Data'!F:F,'ON Data'!$D:$D,$A$4,'ON Data'!$E:$E,6),SUMIFS('ON Data'!F:F,'ON Data'!$E:$E,6))</f>
        <v>3702535</v>
      </c>
      <c r="C20" s="275">
        <f xml:space="preserve">
IF($A$4&lt;=12,SUMIFS('ON Data'!G:G,'ON Data'!$D:$D,$A$4,'ON Data'!$E:$E,6),SUMIFS('ON Data'!G:G,'ON Data'!$E:$E,6))</f>
        <v>0</v>
      </c>
      <c r="D20" s="276">
        <f xml:space="preserve">
IF($A$4&lt;=12,SUMIFS('ON Data'!H:H,'ON Data'!$D:$D,$A$4,'ON Data'!$E:$E,6),SUMIFS('ON Data'!H:H,'ON Data'!$E:$E,6))</f>
        <v>1975935</v>
      </c>
      <c r="E20" s="276">
        <f xml:space="preserve">
IF($A$4&lt;=12,SUMIFS('ON Data'!I:I,'ON Data'!$D:$D,$A$4,'ON Data'!$E:$E,6),SUMIFS('ON Data'!I:I,'ON Data'!$E:$E,6))</f>
        <v>0</v>
      </c>
      <c r="F20" s="276">
        <f xml:space="preserve">
IF($A$4&lt;=12,SUMIFS('ON Data'!K:K,'ON Data'!$D:$D,$A$4,'ON Data'!$E:$E,6),SUMIFS('ON Data'!K:K,'ON Data'!$E:$E,6))</f>
        <v>1316811</v>
      </c>
      <c r="G20" s="276">
        <f xml:space="preserve">
IF($A$4&lt;=12,SUMIFS('ON Data'!L:L,'ON Data'!$D:$D,$A$4,'ON Data'!$E:$E,6),SUMIFS('ON Data'!L:L,'ON Data'!$E:$E,6))</f>
        <v>0</v>
      </c>
      <c r="H20" s="276">
        <f xml:space="preserve">
IF($A$4&lt;=12,SUMIFS('ON Data'!M:M,'ON Data'!$D:$D,$A$4,'ON Data'!$E:$E,6),SUMIFS('ON Data'!M:M,'ON Data'!$E:$E,6))</f>
        <v>0</v>
      </c>
      <c r="I20" s="276">
        <f xml:space="preserve">
IF($A$4&lt;=12,SUMIFS('ON Data'!N:N,'ON Data'!$D:$D,$A$4,'ON Data'!$E:$E,6),SUMIFS('ON Data'!N:N,'ON Data'!$E:$E,6))</f>
        <v>0</v>
      </c>
      <c r="J20" s="276">
        <f xml:space="preserve">
IF($A$4&lt;=12,SUMIFS('ON Data'!O:O,'ON Data'!$D:$D,$A$4,'ON Data'!$E:$E,6),SUMIFS('ON Data'!O:O,'ON Data'!$E:$E,6))</f>
        <v>0</v>
      </c>
      <c r="K20" s="276">
        <f xml:space="preserve">
IF($A$4&lt;=12,SUMIFS('ON Data'!P:P,'ON Data'!$D:$D,$A$4,'ON Data'!$E:$E,6),SUMIFS('ON Data'!P:P,'ON Data'!$E:$E,6))</f>
        <v>0</v>
      </c>
      <c r="L20" s="276">
        <f xml:space="preserve">
IF($A$4&lt;=12,SUMIFS('ON Data'!Q:Q,'ON Data'!$D:$D,$A$4,'ON Data'!$E:$E,6),SUMIFS('ON Data'!Q:Q,'ON Data'!$E:$E,6))</f>
        <v>0</v>
      </c>
      <c r="M20" s="276">
        <f xml:space="preserve">
IF($A$4&lt;=12,SUMIFS('ON Data'!R:R,'ON Data'!$D:$D,$A$4,'ON Data'!$E:$E,6),SUMIFS('ON Data'!R:R,'ON Data'!$E:$E,6))</f>
        <v>0</v>
      </c>
      <c r="N20" s="276">
        <f xml:space="preserve">
IF($A$4&lt;=12,SUMIFS('ON Data'!S:S,'ON Data'!$D:$D,$A$4,'ON Data'!$E:$E,6),SUMIFS('ON Data'!S:S,'ON Data'!$E:$E,6))</f>
        <v>0</v>
      </c>
      <c r="O20" s="276">
        <f xml:space="preserve">
IF($A$4&lt;=12,SUMIFS('ON Data'!T:T,'ON Data'!$D:$D,$A$4,'ON Data'!$E:$E,6),SUMIFS('ON Data'!T:T,'ON Data'!$E:$E,6))</f>
        <v>0</v>
      </c>
      <c r="P20" s="276">
        <f xml:space="preserve">
IF($A$4&lt;=12,SUMIFS('ON Data'!U:U,'ON Data'!$D:$D,$A$4,'ON Data'!$E:$E,6),SUMIFS('ON Data'!U:U,'ON Data'!$E:$E,6))</f>
        <v>0</v>
      </c>
      <c r="Q20" s="276">
        <f xml:space="preserve">
IF($A$4&lt;=12,SUMIFS('ON Data'!V:V,'ON Data'!$D:$D,$A$4,'ON Data'!$E:$E,6),SUMIFS('ON Data'!V:V,'ON Data'!$E:$E,6))</f>
        <v>0</v>
      </c>
      <c r="R20" s="276">
        <f xml:space="preserve">
IF($A$4&lt;=12,SUMIFS('ON Data'!W:W,'ON Data'!$D:$D,$A$4,'ON Data'!$E:$E,6),SUMIFS('ON Data'!W:W,'ON Data'!$E:$E,6))</f>
        <v>0</v>
      </c>
      <c r="S20" s="276">
        <f xml:space="preserve">
IF($A$4&lt;=12,SUMIFS('ON Data'!X:X,'ON Data'!$D:$D,$A$4,'ON Data'!$E:$E,6),SUMIFS('ON Data'!X:X,'ON Data'!$E:$E,6))</f>
        <v>303889</v>
      </c>
      <c r="T20" s="276">
        <f xml:space="preserve">
IF($A$4&lt;=12,SUMIFS('ON Data'!Y:Y,'ON Data'!$D:$D,$A$4,'ON Data'!$E:$E,6),SUMIFS('ON Data'!Y:Y,'ON Data'!$E:$E,6))</f>
        <v>0</v>
      </c>
      <c r="U20" s="276">
        <f xml:space="preserve">
IF($A$4&lt;=12,SUMIFS('ON Data'!Z:Z,'ON Data'!$D:$D,$A$4,'ON Data'!$E:$E,6),SUMIFS('ON Data'!Z:Z,'ON Data'!$E:$E,6))</f>
        <v>0</v>
      </c>
      <c r="V20" s="276">
        <f xml:space="preserve">
IF($A$4&lt;=12,SUMIFS('ON Data'!AA:AA,'ON Data'!$D:$D,$A$4,'ON Data'!$E:$E,6),SUMIFS('ON Data'!AA:AA,'ON Data'!$E:$E,6))</f>
        <v>0</v>
      </c>
      <c r="W20" s="276">
        <f xml:space="preserve">
IF($A$4&lt;=12,SUMIFS('ON Data'!AB:AB,'ON Data'!$D:$D,$A$4,'ON Data'!$E:$E,6),SUMIFS('ON Data'!AB:AB,'ON Data'!$E:$E,6))</f>
        <v>0</v>
      </c>
      <c r="X20" s="276">
        <f xml:space="preserve">
IF($A$4&lt;=12,SUMIFS('ON Data'!AC:AC,'ON Data'!$D:$D,$A$4,'ON Data'!$E:$E,6),SUMIFS('ON Data'!AC:AC,'ON Data'!$E:$E,6))</f>
        <v>0</v>
      </c>
      <c r="Y20" s="276">
        <f xml:space="preserve">
IF($A$4&lt;=12,SUMIFS('ON Data'!AD:AD,'ON Data'!$D:$D,$A$4,'ON Data'!$E:$E,6),SUMIFS('ON Data'!AD:AD,'ON Data'!$E:$E,6))</f>
        <v>0</v>
      </c>
      <c r="Z20" s="276">
        <f xml:space="preserve">
IF($A$4&lt;=12,SUMIFS('ON Data'!AE:AE,'ON Data'!$D:$D,$A$4,'ON Data'!$E:$E,6),SUMIFS('ON Data'!AE:AE,'ON Data'!$E:$E,6))</f>
        <v>0</v>
      </c>
      <c r="AA20" s="276">
        <f xml:space="preserve">
IF($A$4&lt;=12,SUMIFS('ON Data'!AF:AF,'ON Data'!$D:$D,$A$4,'ON Data'!$E:$E,6),SUMIFS('ON Data'!AF:AF,'ON Data'!$E:$E,6))</f>
        <v>0</v>
      </c>
      <c r="AB20" s="276">
        <f xml:space="preserve">
IF($A$4&lt;=12,SUMIFS('ON Data'!AG:AG,'ON Data'!$D:$D,$A$4,'ON Data'!$E:$E,6),SUMIFS('ON Data'!AG:AG,'ON Data'!$E:$E,6))</f>
        <v>0</v>
      </c>
      <c r="AC20" s="276">
        <f xml:space="preserve">
IF($A$4&lt;=12,SUMIFS('ON Data'!AH:AH,'ON Data'!$D:$D,$A$4,'ON Data'!$E:$E,6),SUMIFS('ON Data'!AH:AH,'ON Data'!$E:$E,6))</f>
        <v>0</v>
      </c>
      <c r="AD20" s="276">
        <f xml:space="preserve">
IF($A$4&lt;=12,SUMIFS('ON Data'!AI:AI,'ON Data'!$D:$D,$A$4,'ON Data'!$E:$E,6),SUMIFS('ON Data'!AI:AI,'ON Data'!$E:$E,6))</f>
        <v>0</v>
      </c>
      <c r="AE20" s="276">
        <f xml:space="preserve">
IF($A$4&lt;=12,SUMIFS('ON Data'!AJ:AJ,'ON Data'!$D:$D,$A$4,'ON Data'!$E:$E,6),SUMIFS('ON Data'!AJ:AJ,'ON Data'!$E:$E,6))</f>
        <v>0</v>
      </c>
      <c r="AF20" s="276">
        <f xml:space="preserve">
IF($A$4&lt;=12,SUMIFS('ON Data'!AK:AK,'ON Data'!$D:$D,$A$4,'ON Data'!$E:$E,6),SUMIFS('ON Data'!AK:AK,'ON Data'!$E:$E,6))</f>
        <v>0</v>
      </c>
      <c r="AG20" s="594">
        <f xml:space="preserve">
IF($A$4&lt;=12,SUMIFS('ON Data'!AM:AM,'ON Data'!$D:$D,$A$4,'ON Data'!$E:$E,6),SUMIFS('ON Data'!AM:AM,'ON Data'!$E:$E,6))</f>
        <v>105900</v>
      </c>
      <c r="AH20" s="600"/>
    </row>
    <row r="21" spans="1:34" ht="15" hidden="1" outlineLevel="1" thickBot="1" x14ac:dyDescent="0.35">
      <c r="A21" s="242" t="s">
        <v>108</v>
      </c>
      <c r="B21" s="262">
        <f xml:space="preserve">
IF($A$4&lt;=12,SUMIFS('ON Data'!F:F,'ON Data'!$D:$D,$A$4,'ON Data'!$E:$E,12),SUMIFS('ON Data'!F:F,'ON Data'!$E:$E,12))</f>
        <v>0</v>
      </c>
      <c r="C21" s="263">
        <f xml:space="preserve">
IF($A$4&lt;=12,SUMIFS('ON Data'!G:G,'ON Data'!$D:$D,$A$4,'ON Data'!$E:$E,12),SUMIFS('ON Data'!G:G,'ON Data'!$E:$E,12))</f>
        <v>0</v>
      </c>
      <c r="D21" s="264">
        <f xml:space="preserve">
IF($A$4&lt;=12,SUMIFS('ON Data'!H:H,'ON Data'!$D:$D,$A$4,'ON Data'!$E:$E,12),SUMIFS('ON Data'!H:H,'ON Data'!$E:$E,12))</f>
        <v>0</v>
      </c>
      <c r="E21" s="264">
        <f xml:space="preserve">
IF($A$4&lt;=12,SUMIFS('ON Data'!I:I,'ON Data'!$D:$D,$A$4,'ON Data'!$E:$E,12),SUMIFS('ON Data'!I:I,'ON Data'!$E:$E,12))</f>
        <v>0</v>
      </c>
      <c r="F21" s="264">
        <f xml:space="preserve">
IF($A$4&lt;=12,SUMIFS('ON Data'!K:K,'ON Data'!$D:$D,$A$4,'ON Data'!$E:$E,12),SUMIFS('ON Data'!K:K,'ON Data'!$E:$E,12))</f>
        <v>0</v>
      </c>
      <c r="G21" s="264">
        <f xml:space="preserve">
IF($A$4&lt;=12,SUMIFS('ON Data'!L:L,'ON Data'!$D:$D,$A$4,'ON Data'!$E:$E,12),SUMIFS('ON Data'!L:L,'ON Data'!$E:$E,12))</f>
        <v>0</v>
      </c>
      <c r="H21" s="264">
        <f xml:space="preserve">
IF($A$4&lt;=12,SUMIFS('ON Data'!M:M,'ON Data'!$D:$D,$A$4,'ON Data'!$E:$E,12),SUMIFS('ON Data'!M:M,'ON Data'!$E:$E,12))</f>
        <v>0</v>
      </c>
      <c r="I21" s="264">
        <f xml:space="preserve">
IF($A$4&lt;=12,SUMIFS('ON Data'!N:N,'ON Data'!$D:$D,$A$4,'ON Data'!$E:$E,12),SUMIFS('ON Data'!N:N,'ON Data'!$E:$E,12))</f>
        <v>0</v>
      </c>
      <c r="J21" s="264">
        <f xml:space="preserve">
IF($A$4&lt;=12,SUMIFS('ON Data'!O:O,'ON Data'!$D:$D,$A$4,'ON Data'!$E:$E,12),SUMIFS('ON Data'!O:O,'ON Data'!$E:$E,12))</f>
        <v>0</v>
      </c>
      <c r="K21" s="264">
        <f xml:space="preserve">
IF($A$4&lt;=12,SUMIFS('ON Data'!P:P,'ON Data'!$D:$D,$A$4,'ON Data'!$E:$E,12),SUMIFS('ON Data'!P:P,'ON Data'!$E:$E,12))</f>
        <v>0</v>
      </c>
      <c r="L21" s="264">
        <f xml:space="preserve">
IF($A$4&lt;=12,SUMIFS('ON Data'!Q:Q,'ON Data'!$D:$D,$A$4,'ON Data'!$E:$E,12),SUMIFS('ON Data'!Q:Q,'ON Data'!$E:$E,12))</f>
        <v>0</v>
      </c>
      <c r="M21" s="264">
        <f xml:space="preserve">
IF($A$4&lt;=12,SUMIFS('ON Data'!R:R,'ON Data'!$D:$D,$A$4,'ON Data'!$E:$E,12),SUMIFS('ON Data'!R:R,'ON Data'!$E:$E,12))</f>
        <v>0</v>
      </c>
      <c r="N21" s="264">
        <f xml:space="preserve">
IF($A$4&lt;=12,SUMIFS('ON Data'!S:S,'ON Data'!$D:$D,$A$4,'ON Data'!$E:$E,12),SUMIFS('ON Data'!S:S,'ON Data'!$E:$E,12))</f>
        <v>0</v>
      </c>
      <c r="O21" s="264">
        <f xml:space="preserve">
IF($A$4&lt;=12,SUMIFS('ON Data'!T:T,'ON Data'!$D:$D,$A$4,'ON Data'!$E:$E,12),SUMIFS('ON Data'!T:T,'ON Data'!$E:$E,12))</f>
        <v>0</v>
      </c>
      <c r="P21" s="264">
        <f xml:space="preserve">
IF($A$4&lt;=12,SUMIFS('ON Data'!U:U,'ON Data'!$D:$D,$A$4,'ON Data'!$E:$E,12),SUMIFS('ON Data'!U:U,'ON Data'!$E:$E,12))</f>
        <v>0</v>
      </c>
      <c r="Q21" s="264">
        <f xml:space="preserve">
IF($A$4&lt;=12,SUMIFS('ON Data'!V:V,'ON Data'!$D:$D,$A$4,'ON Data'!$E:$E,12),SUMIFS('ON Data'!V:V,'ON Data'!$E:$E,12))</f>
        <v>0</v>
      </c>
      <c r="R21" s="264">
        <f xml:space="preserve">
IF($A$4&lt;=12,SUMIFS('ON Data'!W:W,'ON Data'!$D:$D,$A$4,'ON Data'!$E:$E,12),SUMIFS('ON Data'!W:W,'ON Data'!$E:$E,12))</f>
        <v>0</v>
      </c>
      <c r="S21" s="264">
        <f xml:space="preserve">
IF($A$4&lt;=12,SUMIFS('ON Data'!X:X,'ON Data'!$D:$D,$A$4,'ON Data'!$E:$E,12),SUMIFS('ON Data'!X:X,'ON Data'!$E:$E,12))</f>
        <v>0</v>
      </c>
      <c r="T21" s="264">
        <f xml:space="preserve">
IF($A$4&lt;=12,SUMIFS('ON Data'!Y:Y,'ON Data'!$D:$D,$A$4,'ON Data'!$E:$E,12),SUMIFS('ON Data'!Y:Y,'ON Data'!$E:$E,12))</f>
        <v>0</v>
      </c>
      <c r="U21" s="264">
        <f xml:space="preserve">
IF($A$4&lt;=12,SUMIFS('ON Data'!Z:Z,'ON Data'!$D:$D,$A$4,'ON Data'!$E:$E,12),SUMIFS('ON Data'!Z:Z,'ON Data'!$E:$E,12))</f>
        <v>0</v>
      </c>
      <c r="V21" s="264">
        <f xml:space="preserve">
IF($A$4&lt;=12,SUMIFS('ON Data'!AA:AA,'ON Data'!$D:$D,$A$4,'ON Data'!$E:$E,12),SUMIFS('ON Data'!AA:AA,'ON Data'!$E:$E,12))</f>
        <v>0</v>
      </c>
      <c r="W21" s="264">
        <f xml:space="preserve">
IF($A$4&lt;=12,SUMIFS('ON Data'!AB:AB,'ON Data'!$D:$D,$A$4,'ON Data'!$E:$E,12),SUMIFS('ON Data'!AB:AB,'ON Data'!$E:$E,12))</f>
        <v>0</v>
      </c>
      <c r="X21" s="264">
        <f xml:space="preserve">
IF($A$4&lt;=12,SUMIFS('ON Data'!AC:AC,'ON Data'!$D:$D,$A$4,'ON Data'!$E:$E,12),SUMIFS('ON Data'!AC:AC,'ON Data'!$E:$E,12))</f>
        <v>0</v>
      </c>
      <c r="Y21" s="264">
        <f xml:space="preserve">
IF($A$4&lt;=12,SUMIFS('ON Data'!AD:AD,'ON Data'!$D:$D,$A$4,'ON Data'!$E:$E,12),SUMIFS('ON Data'!AD:AD,'ON Data'!$E:$E,12))</f>
        <v>0</v>
      </c>
      <c r="Z21" s="264">
        <f xml:space="preserve">
IF($A$4&lt;=12,SUMIFS('ON Data'!AE:AE,'ON Data'!$D:$D,$A$4,'ON Data'!$E:$E,12),SUMIFS('ON Data'!AE:AE,'ON Data'!$E:$E,12))</f>
        <v>0</v>
      </c>
      <c r="AA21" s="264">
        <f xml:space="preserve">
IF($A$4&lt;=12,SUMIFS('ON Data'!AF:AF,'ON Data'!$D:$D,$A$4,'ON Data'!$E:$E,12),SUMIFS('ON Data'!AF:AF,'ON Data'!$E:$E,12))</f>
        <v>0</v>
      </c>
      <c r="AB21" s="264">
        <f xml:space="preserve">
IF($A$4&lt;=12,SUMIFS('ON Data'!AG:AG,'ON Data'!$D:$D,$A$4,'ON Data'!$E:$E,12),SUMIFS('ON Data'!AG:AG,'ON Data'!$E:$E,12))</f>
        <v>0</v>
      </c>
      <c r="AC21" s="264">
        <f xml:space="preserve">
IF($A$4&lt;=12,SUMIFS('ON Data'!AH:AH,'ON Data'!$D:$D,$A$4,'ON Data'!$E:$E,12),SUMIFS('ON Data'!AH:AH,'ON Data'!$E:$E,12))</f>
        <v>0</v>
      </c>
      <c r="AD21" s="264">
        <f xml:space="preserve">
IF($A$4&lt;=12,SUMIFS('ON Data'!AI:AI,'ON Data'!$D:$D,$A$4,'ON Data'!$E:$E,12),SUMIFS('ON Data'!AI:AI,'ON Data'!$E:$E,12))</f>
        <v>0</v>
      </c>
      <c r="AE21" s="264">
        <f xml:space="preserve">
IF($A$4&lt;=12,SUMIFS('ON Data'!AJ:AJ,'ON Data'!$D:$D,$A$4,'ON Data'!$E:$E,12),SUMIFS('ON Data'!AJ:AJ,'ON Data'!$E:$E,12))</f>
        <v>0</v>
      </c>
      <c r="AF21" s="264">
        <f xml:space="preserve">
IF($A$4&lt;=12,SUMIFS('ON Data'!AK:AK,'ON Data'!$D:$D,$A$4,'ON Data'!$E:$E,12),SUMIFS('ON Data'!AK:AK,'ON Data'!$E:$E,12))</f>
        <v>0</v>
      </c>
      <c r="AG21" s="590">
        <f xml:space="preserve">
IF($A$4&lt;=12,SUMIFS('ON Data'!AM:AM,'ON Data'!$D:$D,$A$4,'ON Data'!$E:$E,12),SUMIFS('ON Data'!AM:AM,'ON Data'!$E:$E,12))</f>
        <v>0</v>
      </c>
      <c r="AH21" s="600"/>
    </row>
    <row r="22" spans="1:34" ht="15" hidden="1" outlineLevel="1" thickBot="1" x14ac:dyDescent="0.35">
      <c r="A22" s="242" t="s">
        <v>75</v>
      </c>
      <c r="B22" s="318" t="str">
        <f xml:space="preserve">
IF(OR(B21="",B21=0),"",B20/B21)</f>
        <v/>
      </c>
      <c r="C22" s="319" t="str">
        <f t="shared" ref="C22:AG22" si="2" xml:space="preserve">
IF(OR(C21="",C21=0),"",C20/C21)</f>
        <v/>
      </c>
      <c r="D22" s="320" t="str">
        <f t="shared" si="2"/>
        <v/>
      </c>
      <c r="E22" s="320" t="str">
        <f t="shared" si="2"/>
        <v/>
      </c>
      <c r="F22" s="320" t="str">
        <f t="shared" si="2"/>
        <v/>
      </c>
      <c r="G22" s="320" t="str">
        <f t="shared" si="2"/>
        <v/>
      </c>
      <c r="H22" s="320" t="str">
        <f t="shared" si="2"/>
        <v/>
      </c>
      <c r="I22" s="320" t="str">
        <f t="shared" si="2"/>
        <v/>
      </c>
      <c r="J22" s="320" t="str">
        <f t="shared" si="2"/>
        <v/>
      </c>
      <c r="K22" s="320" t="str">
        <f t="shared" si="2"/>
        <v/>
      </c>
      <c r="L22" s="320" t="str">
        <f t="shared" si="2"/>
        <v/>
      </c>
      <c r="M22" s="320" t="str">
        <f t="shared" si="2"/>
        <v/>
      </c>
      <c r="N22" s="320" t="str">
        <f t="shared" si="2"/>
        <v/>
      </c>
      <c r="O22" s="320" t="str">
        <f t="shared" si="2"/>
        <v/>
      </c>
      <c r="P22" s="320" t="str">
        <f t="shared" si="2"/>
        <v/>
      </c>
      <c r="Q22" s="320" t="str">
        <f t="shared" si="2"/>
        <v/>
      </c>
      <c r="R22" s="320" t="str">
        <f t="shared" si="2"/>
        <v/>
      </c>
      <c r="S22" s="320" t="str">
        <f t="shared" si="2"/>
        <v/>
      </c>
      <c r="T22" s="320" t="str">
        <f t="shared" si="2"/>
        <v/>
      </c>
      <c r="U22" s="320" t="str">
        <f t="shared" si="2"/>
        <v/>
      </c>
      <c r="V22" s="320" t="str">
        <f t="shared" si="2"/>
        <v/>
      </c>
      <c r="W22" s="320" t="str">
        <f t="shared" si="2"/>
        <v/>
      </c>
      <c r="X22" s="320" t="str">
        <f t="shared" si="2"/>
        <v/>
      </c>
      <c r="Y22" s="320" t="str">
        <f t="shared" si="2"/>
        <v/>
      </c>
      <c r="Z22" s="320" t="str">
        <f t="shared" si="2"/>
        <v/>
      </c>
      <c r="AA22" s="320" t="str">
        <f t="shared" si="2"/>
        <v/>
      </c>
      <c r="AB22" s="320" t="str">
        <f t="shared" si="2"/>
        <v/>
      </c>
      <c r="AC22" s="320" t="str">
        <f t="shared" si="2"/>
        <v/>
      </c>
      <c r="AD22" s="320" t="str">
        <f t="shared" si="2"/>
        <v/>
      </c>
      <c r="AE22" s="320" t="str">
        <f t="shared" si="2"/>
        <v/>
      </c>
      <c r="AF22" s="320" t="str">
        <f t="shared" si="2"/>
        <v/>
      </c>
      <c r="AG22" s="595" t="str">
        <f t="shared" si="2"/>
        <v/>
      </c>
      <c r="AH22" s="600"/>
    </row>
    <row r="23" spans="1:34" ht="15" hidden="1" outlineLevel="1" thickBot="1" x14ac:dyDescent="0.35">
      <c r="A23" s="250" t="s">
        <v>68</v>
      </c>
      <c r="B23" s="265">
        <f xml:space="preserve">
IF(B21="","",B20-B21)</f>
        <v>3702535</v>
      </c>
      <c r="C23" s="266">
        <f t="shared" ref="C23:AG23" si="3" xml:space="preserve">
IF(C21="","",C20-C21)</f>
        <v>0</v>
      </c>
      <c r="D23" s="267">
        <f t="shared" si="3"/>
        <v>1975935</v>
      </c>
      <c r="E23" s="267">
        <f t="shared" si="3"/>
        <v>0</v>
      </c>
      <c r="F23" s="267">
        <f t="shared" si="3"/>
        <v>1316811</v>
      </c>
      <c r="G23" s="267">
        <f t="shared" si="3"/>
        <v>0</v>
      </c>
      <c r="H23" s="267">
        <f t="shared" si="3"/>
        <v>0</v>
      </c>
      <c r="I23" s="267">
        <f t="shared" si="3"/>
        <v>0</v>
      </c>
      <c r="J23" s="267">
        <f t="shared" si="3"/>
        <v>0</v>
      </c>
      <c r="K23" s="267">
        <f t="shared" si="3"/>
        <v>0</v>
      </c>
      <c r="L23" s="267">
        <f t="shared" si="3"/>
        <v>0</v>
      </c>
      <c r="M23" s="267">
        <f t="shared" si="3"/>
        <v>0</v>
      </c>
      <c r="N23" s="267">
        <f t="shared" si="3"/>
        <v>0</v>
      </c>
      <c r="O23" s="267">
        <f t="shared" si="3"/>
        <v>0</v>
      </c>
      <c r="P23" s="267">
        <f t="shared" si="3"/>
        <v>0</v>
      </c>
      <c r="Q23" s="267">
        <f t="shared" si="3"/>
        <v>0</v>
      </c>
      <c r="R23" s="267">
        <f t="shared" si="3"/>
        <v>0</v>
      </c>
      <c r="S23" s="267">
        <f t="shared" si="3"/>
        <v>303889</v>
      </c>
      <c r="T23" s="267">
        <f t="shared" si="3"/>
        <v>0</v>
      </c>
      <c r="U23" s="267">
        <f t="shared" si="3"/>
        <v>0</v>
      </c>
      <c r="V23" s="267">
        <f t="shared" si="3"/>
        <v>0</v>
      </c>
      <c r="W23" s="267">
        <f t="shared" si="3"/>
        <v>0</v>
      </c>
      <c r="X23" s="267">
        <f t="shared" si="3"/>
        <v>0</v>
      </c>
      <c r="Y23" s="267">
        <f t="shared" si="3"/>
        <v>0</v>
      </c>
      <c r="Z23" s="267">
        <f t="shared" si="3"/>
        <v>0</v>
      </c>
      <c r="AA23" s="267">
        <f t="shared" si="3"/>
        <v>0</v>
      </c>
      <c r="AB23" s="267">
        <f t="shared" si="3"/>
        <v>0</v>
      </c>
      <c r="AC23" s="267">
        <f t="shared" si="3"/>
        <v>0</v>
      </c>
      <c r="AD23" s="267">
        <f t="shared" si="3"/>
        <v>0</v>
      </c>
      <c r="AE23" s="267">
        <f t="shared" si="3"/>
        <v>0</v>
      </c>
      <c r="AF23" s="267">
        <f t="shared" si="3"/>
        <v>0</v>
      </c>
      <c r="AG23" s="591">
        <f t="shared" si="3"/>
        <v>105900</v>
      </c>
      <c r="AH23" s="600"/>
    </row>
    <row r="24" spans="1:34" x14ac:dyDescent="0.3">
      <c r="A24" s="244" t="s">
        <v>221</v>
      </c>
      <c r="B24" s="291" t="s">
        <v>3</v>
      </c>
      <c r="C24" s="601" t="s">
        <v>232</v>
      </c>
      <c r="D24" s="575"/>
      <c r="E24" s="576"/>
      <c r="F24" s="576" t="s">
        <v>233</v>
      </c>
      <c r="G24" s="576"/>
      <c r="H24" s="576"/>
      <c r="I24" s="576"/>
      <c r="J24" s="576"/>
      <c r="K24" s="576"/>
      <c r="L24" s="576"/>
      <c r="M24" s="576"/>
      <c r="N24" s="576"/>
      <c r="O24" s="576"/>
      <c r="P24" s="576"/>
      <c r="Q24" s="576"/>
      <c r="R24" s="576"/>
      <c r="S24" s="576"/>
      <c r="T24" s="576"/>
      <c r="U24" s="576"/>
      <c r="V24" s="576"/>
      <c r="W24" s="576"/>
      <c r="X24" s="576"/>
      <c r="Y24" s="576"/>
      <c r="Z24" s="576"/>
      <c r="AA24" s="576"/>
      <c r="AB24" s="576"/>
      <c r="AC24" s="576"/>
      <c r="AD24" s="576"/>
      <c r="AE24" s="576"/>
      <c r="AF24" s="576"/>
      <c r="AG24" s="596" t="s">
        <v>234</v>
      </c>
      <c r="AH24" s="600"/>
    </row>
    <row r="25" spans="1:34" x14ac:dyDescent="0.3">
      <c r="A25" s="245" t="s">
        <v>73</v>
      </c>
      <c r="B25" s="262">
        <f xml:space="preserve">
SUM(C25:AG25)</f>
        <v>2000</v>
      </c>
      <c r="C25" s="602">
        <f xml:space="preserve">
IF($A$4&lt;=12,SUMIFS('ON Data'!H:H,'ON Data'!$D:$D,$A$4,'ON Data'!$E:$E,10),SUMIFS('ON Data'!H:H,'ON Data'!$E:$E,10))</f>
        <v>2000</v>
      </c>
      <c r="D25" s="577"/>
      <c r="E25" s="578"/>
      <c r="F25" s="578">
        <f xml:space="preserve">
IF($A$4&lt;=12,SUMIFS('ON Data'!K:K,'ON Data'!$D:$D,$A$4,'ON Data'!$E:$E,10),SUMIFS('ON Data'!K:K,'ON Data'!$E:$E,10))</f>
        <v>0</v>
      </c>
      <c r="G25" s="578"/>
      <c r="H25" s="578"/>
      <c r="I25" s="578"/>
      <c r="J25" s="578"/>
      <c r="K25" s="578"/>
      <c r="L25" s="578"/>
      <c r="M25" s="578"/>
      <c r="N25" s="578"/>
      <c r="O25" s="578"/>
      <c r="P25" s="578"/>
      <c r="Q25" s="578"/>
      <c r="R25" s="578"/>
      <c r="S25" s="578"/>
      <c r="T25" s="578"/>
      <c r="U25" s="578"/>
      <c r="V25" s="578"/>
      <c r="W25" s="578"/>
      <c r="X25" s="578"/>
      <c r="Y25" s="578"/>
      <c r="Z25" s="578"/>
      <c r="AA25" s="578"/>
      <c r="AB25" s="578"/>
      <c r="AC25" s="578"/>
      <c r="AD25" s="578"/>
      <c r="AE25" s="578"/>
      <c r="AF25" s="578"/>
      <c r="AG25" s="597">
        <f xml:space="preserve">
IF($A$4&lt;=12,SUMIFS('ON Data'!AM:AM,'ON Data'!$D:$D,$A$4,'ON Data'!$E:$E,10),SUMIFS('ON Data'!AM:AM,'ON Data'!$E:$E,10))</f>
        <v>0</v>
      </c>
      <c r="AH25" s="600"/>
    </row>
    <row r="26" spans="1:34" x14ac:dyDescent="0.3">
      <c r="A26" s="251" t="s">
        <v>231</v>
      </c>
      <c r="B26" s="271">
        <f xml:space="preserve">
SUM(C26:AG26)</f>
        <v>11331</v>
      </c>
      <c r="C26" s="602">
        <f xml:space="preserve">
IF($A$4&lt;=12,SUMIFS('ON Data'!H:H,'ON Data'!$D:$D,$A$4,'ON Data'!$E:$E,11),SUMIFS('ON Data'!H:H,'ON Data'!$E:$E,11))</f>
        <v>11331</v>
      </c>
      <c r="D26" s="577"/>
      <c r="E26" s="578"/>
      <c r="F26" s="579">
        <f xml:space="preserve">
IF($A$4&lt;=12,SUMIFS('ON Data'!K:K,'ON Data'!$D:$D,$A$4,'ON Data'!$E:$E,11),SUMIFS('ON Data'!K:K,'ON Data'!$E:$E,11))</f>
        <v>0</v>
      </c>
      <c r="G26" s="579"/>
      <c r="H26" s="579"/>
      <c r="I26" s="579"/>
      <c r="J26" s="579"/>
      <c r="K26" s="579"/>
      <c r="L26" s="579"/>
      <c r="M26" s="579"/>
      <c r="N26" s="579"/>
      <c r="O26" s="579"/>
      <c r="P26" s="579"/>
      <c r="Q26" s="579"/>
      <c r="R26" s="579"/>
      <c r="S26" s="579"/>
      <c r="T26" s="579"/>
      <c r="U26" s="579"/>
      <c r="V26" s="579"/>
      <c r="W26" s="579"/>
      <c r="X26" s="579"/>
      <c r="Y26" s="579"/>
      <c r="Z26" s="579"/>
      <c r="AA26" s="579"/>
      <c r="AB26" s="579"/>
      <c r="AC26" s="579"/>
      <c r="AD26" s="579"/>
      <c r="AE26" s="579"/>
      <c r="AF26" s="579"/>
      <c r="AG26" s="597">
        <f xml:space="preserve">
IF($A$4&lt;=12,SUMIFS('ON Data'!AM:AM,'ON Data'!$D:$D,$A$4,'ON Data'!$E:$E,11),SUMIFS('ON Data'!AM:AM,'ON Data'!$E:$E,11))</f>
        <v>0</v>
      </c>
      <c r="AH26" s="600"/>
    </row>
    <row r="27" spans="1:34" x14ac:dyDescent="0.3">
      <c r="A27" s="251" t="s">
        <v>75</v>
      </c>
      <c r="B27" s="292">
        <f xml:space="preserve">
IF(B26=0,0,B25/B26)</f>
        <v>0.17650692789691996</v>
      </c>
      <c r="C27" s="603">
        <f xml:space="preserve">
IF(C26=0,0,C25/C26)</f>
        <v>0.17650692789691996</v>
      </c>
      <c r="D27" s="580"/>
      <c r="E27" s="581"/>
      <c r="F27" s="581">
        <f xml:space="preserve">
IF(F26=0,0,F25/F26)</f>
        <v>0</v>
      </c>
      <c r="G27" s="581"/>
      <c r="H27" s="581"/>
      <c r="I27" s="581"/>
      <c r="J27" s="581"/>
      <c r="K27" s="581"/>
      <c r="L27" s="581"/>
      <c r="M27" s="581"/>
      <c r="N27" s="581"/>
      <c r="O27" s="581"/>
      <c r="P27" s="581"/>
      <c r="Q27" s="581"/>
      <c r="R27" s="581"/>
      <c r="S27" s="581"/>
      <c r="T27" s="581"/>
      <c r="U27" s="581"/>
      <c r="V27" s="581"/>
      <c r="W27" s="581"/>
      <c r="X27" s="581"/>
      <c r="Y27" s="581"/>
      <c r="Z27" s="581"/>
      <c r="AA27" s="581"/>
      <c r="AB27" s="581"/>
      <c r="AC27" s="581"/>
      <c r="AD27" s="581"/>
      <c r="AE27" s="581"/>
      <c r="AF27" s="581"/>
      <c r="AG27" s="598">
        <f xml:space="preserve">
IF(AG26=0,0,AG25/AG26)</f>
        <v>0</v>
      </c>
      <c r="AH27" s="600"/>
    </row>
    <row r="28" spans="1:34" ht="15" thickBot="1" x14ac:dyDescent="0.35">
      <c r="A28" s="251" t="s">
        <v>230</v>
      </c>
      <c r="B28" s="271">
        <f xml:space="preserve">
SUM(C28:AG28)</f>
        <v>9331</v>
      </c>
      <c r="C28" s="604">
        <f xml:space="preserve">
C26-C25</f>
        <v>9331</v>
      </c>
      <c r="D28" s="582"/>
      <c r="E28" s="583"/>
      <c r="F28" s="583">
        <f xml:space="preserve">
F26-F25</f>
        <v>0</v>
      </c>
      <c r="G28" s="583"/>
      <c r="H28" s="583"/>
      <c r="I28" s="583"/>
      <c r="J28" s="583"/>
      <c r="K28" s="583"/>
      <c r="L28" s="583"/>
      <c r="M28" s="583"/>
      <c r="N28" s="583"/>
      <c r="O28" s="583"/>
      <c r="P28" s="583"/>
      <c r="Q28" s="583"/>
      <c r="R28" s="583"/>
      <c r="S28" s="583"/>
      <c r="T28" s="583"/>
      <c r="U28" s="583"/>
      <c r="V28" s="583"/>
      <c r="W28" s="583"/>
      <c r="X28" s="583"/>
      <c r="Y28" s="583"/>
      <c r="Z28" s="583"/>
      <c r="AA28" s="583"/>
      <c r="AB28" s="583"/>
      <c r="AC28" s="583"/>
      <c r="AD28" s="583"/>
      <c r="AE28" s="583"/>
      <c r="AF28" s="583"/>
      <c r="AG28" s="599">
        <f xml:space="preserve">
AG26-AG25</f>
        <v>0</v>
      </c>
      <c r="AH28" s="600"/>
    </row>
    <row r="29" spans="1:34" x14ac:dyDescent="0.3">
      <c r="A29" s="252"/>
      <c r="B29" s="252"/>
      <c r="C29" s="253"/>
      <c r="D29" s="252"/>
      <c r="E29" s="252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3"/>
      <c r="U29" s="253"/>
      <c r="V29" s="253"/>
      <c r="W29" s="253"/>
      <c r="X29" s="253"/>
      <c r="Y29" s="253"/>
      <c r="Z29" s="253"/>
      <c r="AA29" s="253"/>
      <c r="AB29" s="253"/>
      <c r="AC29" s="253"/>
      <c r="AD29" s="253"/>
      <c r="AE29" s="252"/>
      <c r="AF29" s="252"/>
      <c r="AG29" s="252"/>
    </row>
    <row r="30" spans="1:34" x14ac:dyDescent="0.3">
      <c r="A30" s="113" t="s">
        <v>162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51"/>
    </row>
    <row r="31" spans="1:34" x14ac:dyDescent="0.3">
      <c r="A31" s="114" t="s">
        <v>228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51"/>
    </row>
    <row r="32" spans="1:34" ht="14.4" customHeight="1" x14ac:dyDescent="0.3">
      <c r="A32" s="288" t="s">
        <v>225</v>
      </c>
      <c r="B32" s="289"/>
      <c r="C32" s="289"/>
      <c r="D32" s="289"/>
      <c r="E32" s="289"/>
      <c r="F32" s="289"/>
      <c r="G32" s="289"/>
      <c r="H32" s="289"/>
      <c r="I32" s="289"/>
      <c r="J32" s="289"/>
      <c r="K32" s="289"/>
      <c r="L32" s="289"/>
      <c r="M32" s="289"/>
      <c r="N32" s="289"/>
      <c r="O32" s="289"/>
      <c r="P32" s="289"/>
      <c r="Q32" s="289"/>
      <c r="R32" s="289"/>
      <c r="S32" s="289"/>
      <c r="T32" s="289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</row>
    <row r="33" spans="1:1" x14ac:dyDescent="0.3">
      <c r="A33" s="290" t="s">
        <v>235</v>
      </c>
    </row>
    <row r="34" spans="1:1" x14ac:dyDescent="0.3">
      <c r="A34" s="290" t="s">
        <v>236</v>
      </c>
    </row>
    <row r="35" spans="1:1" x14ac:dyDescent="0.3">
      <c r="A35" s="290" t="s">
        <v>237</v>
      </c>
    </row>
    <row r="36" spans="1:1" x14ac:dyDescent="0.3">
      <c r="A36" s="290" t="s">
        <v>238</v>
      </c>
    </row>
  </sheetData>
  <mergeCells count="12">
    <mergeCell ref="A1:AG1"/>
    <mergeCell ref="B3:B4"/>
    <mergeCell ref="C24:E24"/>
    <mergeCell ref="C25:E25"/>
    <mergeCell ref="C26:E26"/>
    <mergeCell ref="F24:AF24"/>
    <mergeCell ref="F25:AF25"/>
    <mergeCell ref="F26:AF26"/>
    <mergeCell ref="C28:E28"/>
    <mergeCell ref="C27:E27"/>
    <mergeCell ref="F27:AF27"/>
    <mergeCell ref="F28:AF28"/>
  </mergeCells>
  <conditionalFormatting sqref="C27 AG27 F27">
    <cfRule type="cellIs" dxfId="4" priority="4" operator="greaterThan">
      <formula>1</formula>
    </cfRule>
  </conditionalFormatting>
  <conditionalFormatting sqref="C28 AG28 F28">
    <cfRule type="cellIs" dxfId="3" priority="3" operator="lessThan">
      <formula>0</formula>
    </cfRule>
  </conditionalFormatting>
  <conditionalFormatting sqref="B22:AG22">
    <cfRule type="cellIs" dxfId="2" priority="2" operator="greaterThan">
      <formula>1</formula>
    </cfRule>
  </conditionalFormatting>
  <conditionalFormatting sqref="B23:AG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25" t="s">
        <v>122</v>
      </c>
      <c r="B1" s="325"/>
      <c r="C1" s="326"/>
      <c r="D1" s="326"/>
      <c r="E1" s="326"/>
    </row>
    <row r="2" spans="1:5" ht="14.4" customHeight="1" thickBot="1" x14ac:dyDescent="0.35">
      <c r="A2" s="235" t="s">
        <v>281</v>
      </c>
      <c r="B2" s="152"/>
    </row>
    <row r="3" spans="1:5" ht="14.4" customHeight="1" thickBot="1" x14ac:dyDescent="0.35">
      <c r="A3" s="155"/>
      <c r="C3" s="156" t="s">
        <v>108</v>
      </c>
      <c r="D3" s="157" t="s">
        <v>73</v>
      </c>
      <c r="E3" s="158" t="s">
        <v>75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5627.184239364381</v>
      </c>
      <c r="D4" s="161">
        <f ca="1">IF(ISERROR(VLOOKUP("Náklady celkem",INDIRECT("HI!$A:$G"),5,0)),0,VLOOKUP("Náklady celkem",INDIRECT("HI!$A:$G"),5,0))</f>
        <v>6031.1996400000025</v>
      </c>
      <c r="E4" s="162">
        <f ca="1">IF(C4=0,0,D4/C4)</f>
        <v>1.071797080644592</v>
      </c>
    </row>
    <row r="5" spans="1:5" ht="14.4" customHeight="1" x14ac:dyDescent="0.3">
      <c r="A5" s="163" t="s">
        <v>154</v>
      </c>
      <c r="B5" s="164"/>
      <c r="C5" s="165"/>
      <c r="D5" s="165"/>
      <c r="E5" s="166"/>
    </row>
    <row r="6" spans="1:5" ht="14.4" customHeight="1" x14ac:dyDescent="0.3">
      <c r="A6" s="167" t="s">
        <v>159</v>
      </c>
      <c r="B6" s="168"/>
      <c r="C6" s="169"/>
      <c r="D6" s="169"/>
      <c r="E6" s="166"/>
    </row>
    <row r="7" spans="1:5" ht="14.4" customHeight="1" x14ac:dyDescent="0.3">
      <c r="A7" s="17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112</v>
      </c>
      <c r="C7" s="169">
        <f>IF(ISERROR(HI!F5),"",HI!F5)</f>
        <v>3.4716136342789996</v>
      </c>
      <c r="D7" s="169">
        <f>IF(ISERROR(HI!E5),"",HI!E5)</f>
        <v>1.6068500000000001</v>
      </c>
      <c r="E7" s="166">
        <f t="shared" ref="E7:E15" si="0">IF(C7=0,0,D7/C7)</f>
        <v>0.46285392594781588</v>
      </c>
    </row>
    <row r="8" spans="1:5" ht="14.4" customHeight="1" x14ac:dyDescent="0.3">
      <c r="A8" s="170" t="str">
        <f>HYPERLINK("#'LŽ PL'!A1","% plnění pozitivního listu")</f>
        <v>% plnění pozitivního listu</v>
      </c>
      <c r="B8" s="168" t="s">
        <v>146</v>
      </c>
      <c r="C8" s="171">
        <v>0.9</v>
      </c>
      <c r="D8" s="171">
        <f>IF(ISERROR(VLOOKUP("celkem",'LŽ PL'!$A:$F,5,0)),0,VLOOKUP("celkem",'LŽ PL'!$A:$F,5,0))</f>
        <v>1</v>
      </c>
      <c r="E8" s="166">
        <f t="shared" si="0"/>
        <v>1.1111111111111112</v>
      </c>
    </row>
    <row r="9" spans="1:5" ht="14.4" customHeight="1" x14ac:dyDescent="0.3">
      <c r="A9" s="312" t="str">
        <f>HYPERLINK("#'LŽ Statim'!A1","% podíl statimových žádanek")</f>
        <v>% podíl statimových žádanek</v>
      </c>
      <c r="B9" s="310" t="s">
        <v>277</v>
      </c>
      <c r="C9" s="311">
        <v>0.3</v>
      </c>
      <c r="D9" s="311">
        <f>IF('LŽ Statim'!G3="",0,'LŽ Statim'!G3)</f>
        <v>0</v>
      </c>
      <c r="E9" s="166">
        <f>IF(C9=0,0,D9/C9)</f>
        <v>0</v>
      </c>
    </row>
    <row r="10" spans="1:5" ht="14.4" customHeight="1" x14ac:dyDescent="0.3">
      <c r="A10" s="172" t="s">
        <v>155</v>
      </c>
      <c r="B10" s="168"/>
      <c r="C10" s="169"/>
      <c r="D10" s="169"/>
      <c r="E10" s="166"/>
    </row>
    <row r="11" spans="1:5" ht="14.4" customHeight="1" x14ac:dyDescent="0.3">
      <c r="A11" s="170" t="str">
        <f>HYPERLINK("#'Léky Recepty'!A1","% záchytu v lékárně (Úhrada Kč)")</f>
        <v>% záchytu v lékárně (Úhrada Kč)</v>
      </c>
      <c r="B11" s="168" t="s">
        <v>117</v>
      </c>
      <c r="C11" s="171">
        <v>0.6</v>
      </c>
      <c r="D11" s="171">
        <f>IF(ISERROR(VLOOKUP("Celkem",'Léky Recepty'!B:H,5,0)),0,VLOOKUP("Celkem",'Léky Recepty'!B:H,5,0))</f>
        <v>0.39515861028889138</v>
      </c>
      <c r="E11" s="166">
        <f t="shared" si="0"/>
        <v>0.65859768381481898</v>
      </c>
    </row>
    <row r="12" spans="1:5" ht="14.4" customHeight="1" x14ac:dyDescent="0.3">
      <c r="A12" s="170" t="str">
        <f>HYPERLINK("#'LRp PL'!A1","% plnění pozitivního listu")</f>
        <v>% plnění pozitivního listu</v>
      </c>
      <c r="B12" s="168" t="s">
        <v>147</v>
      </c>
      <c r="C12" s="171">
        <v>0.8</v>
      </c>
      <c r="D12" s="171">
        <f>IF(ISERROR(VLOOKUP("Celkem",'LRp PL'!A:F,5,0)),0,VLOOKUP("Celkem",'LRp PL'!A:F,5,0))</f>
        <v>0.71192045299020401</v>
      </c>
      <c r="E12" s="166">
        <f t="shared" si="0"/>
        <v>0.88990056623775493</v>
      </c>
    </row>
    <row r="13" spans="1:5" ht="14.4" customHeight="1" x14ac:dyDescent="0.3">
      <c r="A13" s="172" t="s">
        <v>156</v>
      </c>
      <c r="B13" s="168"/>
      <c r="C13" s="169"/>
      <c r="D13" s="169"/>
      <c r="E13" s="166"/>
    </row>
    <row r="14" spans="1:5" ht="14.4" customHeight="1" x14ac:dyDescent="0.3">
      <c r="A14" s="173" t="s">
        <v>160</v>
      </c>
      <c r="B14" s="168"/>
      <c r="C14" s="165"/>
      <c r="D14" s="165"/>
      <c r="E14" s="166"/>
    </row>
    <row r="15" spans="1:5" ht="14.4" customHeight="1" x14ac:dyDescent="0.3">
      <c r="A15" s="17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8" t="s">
        <v>112</v>
      </c>
      <c r="C15" s="169">
        <f>IF(ISERROR(HI!F6),"",HI!F6)</f>
        <v>26.975640841493998</v>
      </c>
      <c r="D15" s="169">
        <f>IF(ISERROR(HI!E6),"",HI!E6)</f>
        <v>23.153539999999996</v>
      </c>
      <c r="E15" s="166">
        <f t="shared" si="0"/>
        <v>0.85831288072256517</v>
      </c>
    </row>
    <row r="16" spans="1:5" ht="14.4" customHeight="1" thickBot="1" x14ac:dyDescent="0.35">
      <c r="A16" s="175" t="str">
        <f>HYPERLINK("#HI!A1","Osobní náklady")</f>
        <v>Osobní náklady</v>
      </c>
      <c r="B16" s="168"/>
      <c r="C16" s="165">
        <f ca="1">IF(ISERROR(VLOOKUP("Osobní náklady (Kč) *",INDIRECT("HI!$A:$G"),6,0)),0,VLOOKUP("Osobní náklady (Kč) *",INDIRECT("HI!$A:$G"),6,0))</f>
        <v>4712.0232800296599</v>
      </c>
      <c r="D16" s="165">
        <f ca="1">IF(ISERROR(VLOOKUP("Osobní náklady (Kč) *",INDIRECT("HI!$A:$G"),5,0)),0,VLOOKUP("Osobní náklady (Kč) *",INDIRECT("HI!$A:$G"),5,0))</f>
        <v>4996.8787800000027</v>
      </c>
      <c r="E16" s="166">
        <f ca="1">IF(C16=0,0,D16/C16)</f>
        <v>1.0604529059051147</v>
      </c>
    </row>
    <row r="17" spans="1:5" ht="14.4" customHeight="1" thickBot="1" x14ac:dyDescent="0.35">
      <c r="A17" s="179"/>
      <c r="B17" s="180"/>
      <c r="C17" s="181"/>
      <c r="D17" s="181"/>
      <c r="E17" s="182"/>
    </row>
    <row r="18" spans="1:5" ht="14.4" customHeight="1" thickBot="1" x14ac:dyDescent="0.35">
      <c r="A18" s="183" t="str">
        <f>HYPERLINK("#HI!A1","VÝNOSY CELKEM (v tisících)")</f>
        <v>VÝNOSY CELKEM (v tisících)</v>
      </c>
      <c r="B18" s="184"/>
      <c r="C18" s="185">
        <f ca="1">IF(ISERROR(VLOOKUP("Výnosy celkem",INDIRECT("HI!$A:$G"),6,0)),0,VLOOKUP("Výnosy celkem",INDIRECT("HI!$A:$G"),6,0))</f>
        <v>1567.1020000000001</v>
      </c>
      <c r="D18" s="185">
        <f ca="1">IF(ISERROR(VLOOKUP("Výnosy celkem",INDIRECT("HI!$A:$G"),5,0)),0,VLOOKUP("Výnosy celkem",INDIRECT("HI!$A:$G"),5,0))</f>
        <v>2082.5659999999998</v>
      </c>
      <c r="E18" s="186">
        <f t="shared" ref="E18:E21" ca="1" si="1">IF(C18=0,0,D18/C18)</f>
        <v>1.3289281744264252</v>
      </c>
    </row>
    <row r="19" spans="1:5" ht="14.4" customHeight="1" x14ac:dyDescent="0.3">
      <c r="A19" s="187" t="str">
        <f>HYPERLINK("#HI!A1","Ambulance (body za výkony + Kč za ZUM a ZULP)")</f>
        <v>Ambulance (body za výkony + Kč za ZUM a ZULP)</v>
      </c>
      <c r="B19" s="164"/>
      <c r="C19" s="165">
        <f ca="1">IF(ISERROR(VLOOKUP("Ambulance *",INDIRECT("HI!$A:$G"),6,0)),0,VLOOKUP("Ambulance *",INDIRECT("HI!$A:$G"),6,0))</f>
        <v>1567.1020000000001</v>
      </c>
      <c r="D19" s="165">
        <f ca="1">IF(ISERROR(VLOOKUP("Ambulance *",INDIRECT("HI!$A:$G"),5,0)),0,VLOOKUP("Ambulance *",INDIRECT("HI!$A:$G"),5,0))</f>
        <v>2082.5659999999998</v>
      </c>
      <c r="E19" s="166">
        <f t="shared" ca="1" si="1"/>
        <v>1.3289281744264252</v>
      </c>
    </row>
    <row r="20" spans="1:5" ht="14.4" customHeight="1" x14ac:dyDescent="0.3">
      <c r="A20" s="188" t="str">
        <f>HYPERLINK("#'ZV Vykáz.-A'!A1","Zdravotní výkony vykázané u ambulantních pacientů (min. 100 %)")</f>
        <v>Zdravotní výkony vykázané u ambulantních pacientů (min. 100 %)</v>
      </c>
      <c r="B20" s="151" t="s">
        <v>124</v>
      </c>
      <c r="C20" s="171">
        <v>1</v>
      </c>
      <c r="D20" s="171">
        <f>IF(ISERROR(VLOOKUP("Celkem:",'ZV Vykáz.-A'!$A:$S,7,0)),"",VLOOKUP("Celkem:",'ZV Vykáz.-A'!$A:$S,7,0))</f>
        <v>1.3289281744264254</v>
      </c>
      <c r="E20" s="166">
        <f t="shared" si="1"/>
        <v>1.3289281744264254</v>
      </c>
    </row>
    <row r="21" spans="1:5" ht="14.4" customHeight="1" x14ac:dyDescent="0.3">
      <c r="A21" s="188" t="str">
        <f>HYPERLINK("#'ZV Vykáz.-H'!A1","Zdravotní výkony vykázané u hospitalizovaných pacientů (max. 85 %)")</f>
        <v>Zdravotní výkony vykázané u hospitalizovaných pacientů (max. 85 %)</v>
      </c>
      <c r="B21" s="151" t="s">
        <v>126</v>
      </c>
      <c r="C21" s="171">
        <v>0.85</v>
      </c>
      <c r="D21" s="171">
        <f>IF(ISERROR(VLOOKUP("Celkem:",'ZV Vykáz.-H'!$A:$S,7,0)),"",VLOOKUP("Celkem:",'ZV Vykáz.-H'!$A:$S,7,0))</f>
        <v>5.4865115048928859</v>
      </c>
      <c r="E21" s="166">
        <f t="shared" si="1"/>
        <v>6.4547194175210425</v>
      </c>
    </row>
    <row r="22" spans="1:5" ht="14.4" customHeight="1" x14ac:dyDescent="0.3">
      <c r="A22" s="189" t="str">
        <f>HYPERLINK("#HI!A1","Hospitalizace (casemix * 30000)")</f>
        <v>Hospitalizace (casemix * 30000)</v>
      </c>
      <c r="B22" s="168"/>
      <c r="C22" s="165">
        <f ca="1">IF(ISERROR(VLOOKUP("Hospitalizace *",INDIRECT("HI!$A:$G"),6,0)),0,VLOOKUP("Hospitalizace *",INDIRECT("HI!$A:$G"),6,0))</f>
        <v>0</v>
      </c>
      <c r="D22" s="165">
        <f ca="1">IF(ISERROR(VLOOKUP("Hospitalizace *",INDIRECT("HI!$A:$G"),5,0)),0,VLOOKUP("Hospitalizace *",INDIRECT("HI!$A:$G"),5,0))</f>
        <v>0</v>
      </c>
      <c r="E22" s="166">
        <f ca="1">IF(C22=0,0,D22/C22)</f>
        <v>0</v>
      </c>
    </row>
    <row r="23" spans="1:5" ht="14.4" customHeight="1" thickBot="1" x14ac:dyDescent="0.35">
      <c r="A23" s="190" t="s">
        <v>157</v>
      </c>
      <c r="B23" s="176"/>
      <c r="C23" s="177"/>
      <c r="D23" s="177"/>
      <c r="E23" s="178"/>
    </row>
    <row r="24" spans="1:5" ht="14.4" customHeight="1" thickBot="1" x14ac:dyDescent="0.35">
      <c r="A24" s="191"/>
      <c r="B24" s="192"/>
      <c r="C24" s="193"/>
      <c r="D24" s="193"/>
      <c r="E24" s="194"/>
    </row>
    <row r="25" spans="1:5" ht="14.4" customHeight="1" thickBot="1" x14ac:dyDescent="0.35">
      <c r="A25" s="195" t="s">
        <v>158</v>
      </c>
      <c r="B25" s="196"/>
      <c r="C25" s="197"/>
      <c r="D25" s="197"/>
      <c r="E25" s="198"/>
    </row>
  </sheetData>
  <mergeCells count="1">
    <mergeCell ref="A1:E1"/>
  </mergeCells>
  <conditionalFormatting sqref="E5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6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4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63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2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cellIs" dxfId="61" priority="20" operator="lessThan">
      <formula>1</formula>
    </cfRule>
  </conditionalFormatting>
  <conditionalFormatting sqref="E9">
    <cfRule type="cellIs" dxfId="60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5 E21">
    <cfRule type="cellIs" dxfId="59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136"/>
  <sheetViews>
    <sheetView showGridLines="0" showRowColHeaders="0" workbookViewId="0"/>
  </sheetViews>
  <sheetFormatPr defaultRowHeight="14.4" x14ac:dyDescent="0.3"/>
  <cols>
    <col min="1" max="16384" width="8.88671875" style="231"/>
  </cols>
  <sheetData>
    <row r="1" spans="1:40" x14ac:dyDescent="0.3">
      <c r="A1" s="231" t="s">
        <v>1244</v>
      </c>
    </row>
    <row r="2" spans="1:40" x14ac:dyDescent="0.3">
      <c r="A2" s="235" t="s">
        <v>281</v>
      </c>
    </row>
    <row r="3" spans="1:40" x14ac:dyDescent="0.3">
      <c r="A3" s="231" t="s">
        <v>195</v>
      </c>
      <c r="B3" s="256">
        <v>2014</v>
      </c>
      <c r="D3" s="232">
        <f>MAX(D5:D1048576)</f>
        <v>12</v>
      </c>
      <c r="F3" s="232">
        <f>SUMIF($E5:$E1048576,"&lt;10",F5:F1048576)</f>
        <v>4217669.2000000011</v>
      </c>
      <c r="G3" s="232">
        <f t="shared" ref="G3:AN3" si="0">SUMIF($E5:$E1048576,"&lt;10",G5:G1048576)</f>
        <v>0</v>
      </c>
      <c r="H3" s="232">
        <f t="shared" si="0"/>
        <v>2267035.1999999997</v>
      </c>
      <c r="I3" s="232">
        <f t="shared" si="0"/>
        <v>0</v>
      </c>
      <c r="J3" s="232">
        <f t="shared" si="0"/>
        <v>0</v>
      </c>
      <c r="K3" s="232">
        <f t="shared" si="0"/>
        <v>1491519</v>
      </c>
      <c r="L3" s="232">
        <f t="shared" si="0"/>
        <v>0</v>
      </c>
      <c r="M3" s="232">
        <f t="shared" si="0"/>
        <v>0</v>
      </c>
      <c r="N3" s="232">
        <f t="shared" si="0"/>
        <v>0</v>
      </c>
      <c r="O3" s="232">
        <f t="shared" si="0"/>
        <v>0</v>
      </c>
      <c r="P3" s="232">
        <f t="shared" si="0"/>
        <v>0</v>
      </c>
      <c r="Q3" s="232">
        <f t="shared" si="0"/>
        <v>0</v>
      </c>
      <c r="R3" s="232">
        <f t="shared" si="0"/>
        <v>0</v>
      </c>
      <c r="S3" s="232">
        <f t="shared" si="0"/>
        <v>0</v>
      </c>
      <c r="T3" s="232">
        <f t="shared" si="0"/>
        <v>0</v>
      </c>
      <c r="U3" s="232">
        <f t="shared" si="0"/>
        <v>0</v>
      </c>
      <c r="V3" s="232">
        <f t="shared" si="0"/>
        <v>0</v>
      </c>
      <c r="W3" s="232">
        <f t="shared" si="0"/>
        <v>0</v>
      </c>
      <c r="X3" s="232">
        <f t="shared" si="0"/>
        <v>340277</v>
      </c>
      <c r="Y3" s="232">
        <f t="shared" si="0"/>
        <v>0</v>
      </c>
      <c r="Z3" s="232">
        <f t="shared" si="0"/>
        <v>0</v>
      </c>
      <c r="AA3" s="232">
        <f t="shared" si="0"/>
        <v>0</v>
      </c>
      <c r="AB3" s="232">
        <f t="shared" si="0"/>
        <v>0</v>
      </c>
      <c r="AC3" s="232">
        <f t="shared" si="0"/>
        <v>0</v>
      </c>
      <c r="AD3" s="232">
        <f t="shared" si="0"/>
        <v>0</v>
      </c>
      <c r="AE3" s="232">
        <f t="shared" si="0"/>
        <v>0</v>
      </c>
      <c r="AF3" s="232">
        <f t="shared" si="0"/>
        <v>0</v>
      </c>
      <c r="AG3" s="232">
        <f t="shared" si="0"/>
        <v>0</v>
      </c>
      <c r="AH3" s="232">
        <f t="shared" si="0"/>
        <v>0</v>
      </c>
      <c r="AI3" s="232">
        <f t="shared" si="0"/>
        <v>0</v>
      </c>
      <c r="AJ3" s="232">
        <f t="shared" si="0"/>
        <v>0</v>
      </c>
      <c r="AK3" s="232">
        <f t="shared" si="0"/>
        <v>0</v>
      </c>
      <c r="AL3" s="232">
        <f t="shared" si="0"/>
        <v>0</v>
      </c>
      <c r="AM3" s="232">
        <f t="shared" si="0"/>
        <v>118838</v>
      </c>
      <c r="AN3" s="232">
        <f t="shared" si="0"/>
        <v>0</v>
      </c>
    </row>
    <row r="4" spans="1:40" x14ac:dyDescent="0.3">
      <c r="A4" s="231" t="s">
        <v>196</v>
      </c>
      <c r="B4" s="256">
        <v>1</v>
      </c>
      <c r="C4" s="233" t="s">
        <v>5</v>
      </c>
      <c r="D4" s="234" t="s">
        <v>67</v>
      </c>
      <c r="E4" s="234" t="s">
        <v>190</v>
      </c>
      <c r="F4" s="234" t="s">
        <v>3</v>
      </c>
      <c r="G4" s="234" t="s">
        <v>191</v>
      </c>
      <c r="H4" s="234" t="s">
        <v>192</v>
      </c>
      <c r="I4" s="234" t="s">
        <v>193</v>
      </c>
      <c r="J4" s="234" t="s">
        <v>194</v>
      </c>
      <c r="K4" s="234">
        <v>305</v>
      </c>
      <c r="L4" s="234">
        <v>306</v>
      </c>
      <c r="M4" s="234">
        <v>408</v>
      </c>
      <c r="N4" s="234">
        <v>409</v>
      </c>
      <c r="O4" s="234">
        <v>410</v>
      </c>
      <c r="P4" s="234">
        <v>415</v>
      </c>
      <c r="Q4" s="234">
        <v>416</v>
      </c>
      <c r="R4" s="234">
        <v>418</v>
      </c>
      <c r="S4" s="234">
        <v>419</v>
      </c>
      <c r="T4" s="234">
        <v>420</v>
      </c>
      <c r="U4" s="234">
        <v>421</v>
      </c>
      <c r="V4" s="234">
        <v>522</v>
      </c>
      <c r="W4" s="234">
        <v>523</v>
      </c>
      <c r="X4" s="234">
        <v>524</v>
      </c>
      <c r="Y4" s="234">
        <v>525</v>
      </c>
      <c r="Z4" s="234">
        <v>526</v>
      </c>
      <c r="AA4" s="234">
        <v>527</v>
      </c>
      <c r="AB4" s="234">
        <v>528</v>
      </c>
      <c r="AC4" s="234">
        <v>629</v>
      </c>
      <c r="AD4" s="234">
        <v>630</v>
      </c>
      <c r="AE4" s="234">
        <v>636</v>
      </c>
      <c r="AF4" s="234">
        <v>637</v>
      </c>
      <c r="AG4" s="234">
        <v>640</v>
      </c>
      <c r="AH4" s="234">
        <v>642</v>
      </c>
      <c r="AI4" s="234">
        <v>743</v>
      </c>
      <c r="AJ4" s="234">
        <v>745</v>
      </c>
      <c r="AK4" s="234">
        <v>746</v>
      </c>
      <c r="AL4" s="234">
        <v>747</v>
      </c>
      <c r="AM4" s="234">
        <v>930</v>
      </c>
      <c r="AN4" s="234">
        <v>940</v>
      </c>
    </row>
    <row r="5" spans="1:40" x14ac:dyDescent="0.3">
      <c r="A5" s="231" t="s">
        <v>197</v>
      </c>
      <c r="B5" s="256">
        <v>2</v>
      </c>
      <c r="C5" s="231">
        <v>27</v>
      </c>
      <c r="D5" s="231">
        <v>1</v>
      </c>
      <c r="E5" s="231">
        <v>1</v>
      </c>
      <c r="F5" s="231">
        <v>8.1999999999999993</v>
      </c>
      <c r="G5" s="231">
        <v>0</v>
      </c>
      <c r="H5" s="231">
        <v>3.2</v>
      </c>
      <c r="I5" s="231">
        <v>0</v>
      </c>
      <c r="J5" s="231">
        <v>0</v>
      </c>
      <c r="K5" s="231">
        <v>3.5</v>
      </c>
      <c r="L5" s="231">
        <v>0</v>
      </c>
      <c r="M5" s="231">
        <v>0</v>
      </c>
      <c r="N5" s="231">
        <v>0</v>
      </c>
      <c r="O5" s="231">
        <v>0</v>
      </c>
      <c r="P5" s="231">
        <v>0</v>
      </c>
      <c r="Q5" s="231">
        <v>0</v>
      </c>
      <c r="R5" s="231">
        <v>0</v>
      </c>
      <c r="S5" s="231">
        <v>0</v>
      </c>
      <c r="T5" s="231">
        <v>0</v>
      </c>
      <c r="U5" s="231">
        <v>0</v>
      </c>
      <c r="V5" s="231">
        <v>0</v>
      </c>
      <c r="W5" s="231">
        <v>0</v>
      </c>
      <c r="X5" s="231">
        <v>1</v>
      </c>
      <c r="Y5" s="231">
        <v>0</v>
      </c>
      <c r="Z5" s="231">
        <v>0</v>
      </c>
      <c r="AA5" s="231">
        <v>0</v>
      </c>
      <c r="AB5" s="231">
        <v>0</v>
      </c>
      <c r="AC5" s="231">
        <v>0</v>
      </c>
      <c r="AD5" s="231">
        <v>0</v>
      </c>
      <c r="AE5" s="231">
        <v>0</v>
      </c>
      <c r="AF5" s="231">
        <v>0</v>
      </c>
      <c r="AG5" s="231">
        <v>0</v>
      </c>
      <c r="AH5" s="231">
        <v>0</v>
      </c>
      <c r="AI5" s="231">
        <v>0</v>
      </c>
      <c r="AJ5" s="231">
        <v>0</v>
      </c>
      <c r="AK5" s="231">
        <v>0</v>
      </c>
      <c r="AL5" s="231">
        <v>0</v>
      </c>
      <c r="AM5" s="231">
        <v>0.5</v>
      </c>
      <c r="AN5" s="231">
        <v>0</v>
      </c>
    </row>
    <row r="6" spans="1:40" x14ac:dyDescent="0.3">
      <c r="A6" s="231" t="s">
        <v>198</v>
      </c>
      <c r="B6" s="256">
        <v>3</v>
      </c>
      <c r="C6" s="231">
        <v>27</v>
      </c>
      <c r="D6" s="231">
        <v>1</v>
      </c>
      <c r="E6" s="231">
        <v>2</v>
      </c>
      <c r="F6" s="231">
        <v>1485.6</v>
      </c>
      <c r="G6" s="231">
        <v>0</v>
      </c>
      <c r="H6" s="231">
        <v>585.6</v>
      </c>
      <c r="I6" s="231">
        <v>0</v>
      </c>
      <c r="J6" s="231">
        <v>0</v>
      </c>
      <c r="K6" s="231">
        <v>628</v>
      </c>
      <c r="L6" s="231">
        <v>0</v>
      </c>
      <c r="M6" s="231">
        <v>0</v>
      </c>
      <c r="N6" s="231">
        <v>0</v>
      </c>
      <c r="O6" s="231">
        <v>0</v>
      </c>
      <c r="P6" s="231">
        <v>0</v>
      </c>
      <c r="Q6" s="231">
        <v>0</v>
      </c>
      <c r="R6" s="231">
        <v>0</v>
      </c>
      <c r="S6" s="231">
        <v>0</v>
      </c>
      <c r="T6" s="231">
        <v>0</v>
      </c>
      <c r="U6" s="231">
        <v>0</v>
      </c>
      <c r="V6" s="231">
        <v>0</v>
      </c>
      <c r="W6" s="231">
        <v>0</v>
      </c>
      <c r="X6" s="231">
        <v>180</v>
      </c>
      <c r="Y6" s="231">
        <v>0</v>
      </c>
      <c r="Z6" s="231">
        <v>0</v>
      </c>
      <c r="AA6" s="231">
        <v>0</v>
      </c>
      <c r="AB6" s="231">
        <v>0</v>
      </c>
      <c r="AC6" s="231">
        <v>0</v>
      </c>
      <c r="AD6" s="231">
        <v>0</v>
      </c>
      <c r="AE6" s="231">
        <v>0</v>
      </c>
      <c r="AF6" s="231">
        <v>0</v>
      </c>
      <c r="AG6" s="231">
        <v>0</v>
      </c>
      <c r="AH6" s="231">
        <v>0</v>
      </c>
      <c r="AI6" s="231">
        <v>0</v>
      </c>
      <c r="AJ6" s="231">
        <v>0</v>
      </c>
      <c r="AK6" s="231">
        <v>0</v>
      </c>
      <c r="AL6" s="231">
        <v>0</v>
      </c>
      <c r="AM6" s="231">
        <v>92</v>
      </c>
      <c r="AN6" s="231">
        <v>0</v>
      </c>
    </row>
    <row r="7" spans="1:40" x14ac:dyDescent="0.3">
      <c r="A7" s="231" t="s">
        <v>199</v>
      </c>
      <c r="B7" s="256">
        <v>4</v>
      </c>
      <c r="C7" s="231">
        <v>27</v>
      </c>
      <c r="D7" s="231">
        <v>1</v>
      </c>
      <c r="E7" s="231">
        <v>3</v>
      </c>
      <c r="F7" s="231">
        <v>0</v>
      </c>
      <c r="G7" s="231">
        <v>0</v>
      </c>
      <c r="H7" s="231">
        <v>0</v>
      </c>
      <c r="I7" s="231">
        <v>0</v>
      </c>
      <c r="J7" s="231">
        <v>0</v>
      </c>
      <c r="K7" s="231">
        <v>0</v>
      </c>
      <c r="L7" s="231">
        <v>0</v>
      </c>
      <c r="M7" s="231">
        <v>0</v>
      </c>
      <c r="N7" s="231">
        <v>0</v>
      </c>
      <c r="O7" s="231">
        <v>0</v>
      </c>
      <c r="P7" s="231">
        <v>0</v>
      </c>
      <c r="Q7" s="231">
        <v>0</v>
      </c>
      <c r="R7" s="231">
        <v>0</v>
      </c>
      <c r="S7" s="231">
        <v>0</v>
      </c>
      <c r="T7" s="231">
        <v>0</v>
      </c>
      <c r="U7" s="231">
        <v>0</v>
      </c>
      <c r="V7" s="231">
        <v>0</v>
      </c>
      <c r="W7" s="231">
        <v>0</v>
      </c>
      <c r="X7" s="231">
        <v>0</v>
      </c>
      <c r="Y7" s="231">
        <v>0</v>
      </c>
      <c r="Z7" s="231">
        <v>0</v>
      </c>
      <c r="AA7" s="231">
        <v>0</v>
      </c>
      <c r="AB7" s="231">
        <v>0</v>
      </c>
      <c r="AC7" s="231">
        <v>0</v>
      </c>
      <c r="AD7" s="231">
        <v>0</v>
      </c>
      <c r="AE7" s="231">
        <v>0</v>
      </c>
      <c r="AF7" s="231">
        <v>0</v>
      </c>
      <c r="AG7" s="231">
        <v>0</v>
      </c>
      <c r="AH7" s="231">
        <v>0</v>
      </c>
      <c r="AI7" s="231">
        <v>0</v>
      </c>
      <c r="AJ7" s="231">
        <v>0</v>
      </c>
      <c r="AK7" s="231">
        <v>0</v>
      </c>
      <c r="AL7" s="231">
        <v>0</v>
      </c>
      <c r="AM7" s="231">
        <v>0</v>
      </c>
      <c r="AN7" s="231">
        <v>0</v>
      </c>
    </row>
    <row r="8" spans="1:40" x14ac:dyDescent="0.3">
      <c r="A8" s="231" t="s">
        <v>200</v>
      </c>
      <c r="B8" s="256">
        <v>5</v>
      </c>
      <c r="C8" s="231">
        <v>27</v>
      </c>
      <c r="D8" s="231">
        <v>1</v>
      </c>
      <c r="E8" s="231">
        <v>4</v>
      </c>
      <c r="F8" s="231">
        <v>0</v>
      </c>
      <c r="G8" s="231">
        <v>0</v>
      </c>
      <c r="H8" s="231">
        <v>0</v>
      </c>
      <c r="I8" s="231">
        <v>0</v>
      </c>
      <c r="J8" s="231">
        <v>0</v>
      </c>
      <c r="K8" s="231">
        <v>0</v>
      </c>
      <c r="L8" s="231">
        <v>0</v>
      </c>
      <c r="M8" s="231">
        <v>0</v>
      </c>
      <c r="N8" s="231">
        <v>0</v>
      </c>
      <c r="O8" s="231">
        <v>0</v>
      </c>
      <c r="P8" s="231">
        <v>0</v>
      </c>
      <c r="Q8" s="231">
        <v>0</v>
      </c>
      <c r="R8" s="231">
        <v>0</v>
      </c>
      <c r="S8" s="231">
        <v>0</v>
      </c>
      <c r="T8" s="231">
        <v>0</v>
      </c>
      <c r="U8" s="231">
        <v>0</v>
      </c>
      <c r="V8" s="231">
        <v>0</v>
      </c>
      <c r="W8" s="231">
        <v>0</v>
      </c>
      <c r="X8" s="231">
        <v>0</v>
      </c>
      <c r="Y8" s="231">
        <v>0</v>
      </c>
      <c r="Z8" s="231">
        <v>0</v>
      </c>
      <c r="AA8" s="231">
        <v>0</v>
      </c>
      <c r="AB8" s="231">
        <v>0</v>
      </c>
      <c r="AC8" s="231">
        <v>0</v>
      </c>
      <c r="AD8" s="231">
        <v>0</v>
      </c>
      <c r="AE8" s="231">
        <v>0</v>
      </c>
      <c r="AF8" s="231">
        <v>0</v>
      </c>
      <c r="AG8" s="231">
        <v>0</v>
      </c>
      <c r="AH8" s="231">
        <v>0</v>
      </c>
      <c r="AI8" s="231">
        <v>0</v>
      </c>
      <c r="AJ8" s="231">
        <v>0</v>
      </c>
      <c r="AK8" s="231">
        <v>0</v>
      </c>
      <c r="AL8" s="231">
        <v>0</v>
      </c>
      <c r="AM8" s="231">
        <v>0</v>
      </c>
      <c r="AN8" s="231">
        <v>0</v>
      </c>
    </row>
    <row r="9" spans="1:40" x14ac:dyDescent="0.3">
      <c r="A9" s="231" t="s">
        <v>201</v>
      </c>
      <c r="B9" s="256">
        <v>6</v>
      </c>
      <c r="C9" s="231">
        <v>27</v>
      </c>
      <c r="D9" s="231">
        <v>1</v>
      </c>
      <c r="E9" s="231">
        <v>5</v>
      </c>
      <c r="F9" s="231">
        <v>0</v>
      </c>
      <c r="G9" s="231">
        <v>0</v>
      </c>
      <c r="H9" s="231">
        <v>0</v>
      </c>
      <c r="I9" s="231">
        <v>0</v>
      </c>
      <c r="J9" s="231">
        <v>0</v>
      </c>
      <c r="K9" s="231">
        <v>0</v>
      </c>
      <c r="L9" s="231">
        <v>0</v>
      </c>
      <c r="M9" s="231">
        <v>0</v>
      </c>
      <c r="N9" s="231">
        <v>0</v>
      </c>
      <c r="O9" s="231">
        <v>0</v>
      </c>
      <c r="P9" s="231">
        <v>0</v>
      </c>
      <c r="Q9" s="231">
        <v>0</v>
      </c>
      <c r="R9" s="231">
        <v>0</v>
      </c>
      <c r="S9" s="231">
        <v>0</v>
      </c>
      <c r="T9" s="231">
        <v>0</v>
      </c>
      <c r="U9" s="231">
        <v>0</v>
      </c>
      <c r="V9" s="231">
        <v>0</v>
      </c>
      <c r="W9" s="231">
        <v>0</v>
      </c>
      <c r="X9" s="231">
        <v>0</v>
      </c>
      <c r="Y9" s="231">
        <v>0</v>
      </c>
      <c r="Z9" s="231">
        <v>0</v>
      </c>
      <c r="AA9" s="231">
        <v>0</v>
      </c>
      <c r="AB9" s="231">
        <v>0</v>
      </c>
      <c r="AC9" s="231">
        <v>0</v>
      </c>
      <c r="AD9" s="231">
        <v>0</v>
      </c>
      <c r="AE9" s="231">
        <v>0</v>
      </c>
      <c r="AF9" s="231">
        <v>0</v>
      </c>
      <c r="AG9" s="231">
        <v>0</v>
      </c>
      <c r="AH9" s="231">
        <v>0</v>
      </c>
      <c r="AI9" s="231">
        <v>0</v>
      </c>
      <c r="AJ9" s="231">
        <v>0</v>
      </c>
      <c r="AK9" s="231">
        <v>0</v>
      </c>
      <c r="AL9" s="231">
        <v>0</v>
      </c>
      <c r="AM9" s="231">
        <v>0</v>
      </c>
      <c r="AN9" s="231">
        <v>0</v>
      </c>
    </row>
    <row r="10" spans="1:40" x14ac:dyDescent="0.3">
      <c r="A10" s="231" t="s">
        <v>202</v>
      </c>
      <c r="B10" s="256">
        <v>7</v>
      </c>
      <c r="C10" s="231">
        <v>27</v>
      </c>
      <c r="D10" s="231">
        <v>1</v>
      </c>
      <c r="E10" s="231">
        <v>6</v>
      </c>
      <c r="F10" s="231">
        <v>283298</v>
      </c>
      <c r="G10" s="231">
        <v>0</v>
      </c>
      <c r="H10" s="231">
        <v>149909</v>
      </c>
      <c r="I10" s="231">
        <v>0</v>
      </c>
      <c r="J10" s="231">
        <v>0</v>
      </c>
      <c r="K10" s="231">
        <v>97333</v>
      </c>
      <c r="L10" s="231">
        <v>0</v>
      </c>
      <c r="M10" s="231">
        <v>0</v>
      </c>
      <c r="N10" s="231">
        <v>0</v>
      </c>
      <c r="O10" s="231">
        <v>0</v>
      </c>
      <c r="P10" s="231">
        <v>0</v>
      </c>
      <c r="Q10" s="231">
        <v>0</v>
      </c>
      <c r="R10" s="231">
        <v>0</v>
      </c>
      <c r="S10" s="231">
        <v>0</v>
      </c>
      <c r="T10" s="231">
        <v>0</v>
      </c>
      <c r="U10" s="231">
        <v>0</v>
      </c>
      <c r="V10" s="231">
        <v>0</v>
      </c>
      <c r="W10" s="231">
        <v>0</v>
      </c>
      <c r="X10" s="231">
        <v>28056</v>
      </c>
      <c r="Y10" s="231">
        <v>0</v>
      </c>
      <c r="Z10" s="231">
        <v>0</v>
      </c>
      <c r="AA10" s="231">
        <v>0</v>
      </c>
      <c r="AB10" s="231">
        <v>0</v>
      </c>
      <c r="AC10" s="231">
        <v>0</v>
      </c>
      <c r="AD10" s="231">
        <v>0</v>
      </c>
      <c r="AE10" s="231">
        <v>0</v>
      </c>
      <c r="AF10" s="231">
        <v>0</v>
      </c>
      <c r="AG10" s="231">
        <v>0</v>
      </c>
      <c r="AH10" s="231">
        <v>0</v>
      </c>
      <c r="AI10" s="231">
        <v>0</v>
      </c>
      <c r="AJ10" s="231">
        <v>0</v>
      </c>
      <c r="AK10" s="231">
        <v>0</v>
      </c>
      <c r="AL10" s="231">
        <v>0</v>
      </c>
      <c r="AM10" s="231">
        <v>8000</v>
      </c>
      <c r="AN10" s="231">
        <v>0</v>
      </c>
    </row>
    <row r="11" spans="1:40" x14ac:dyDescent="0.3">
      <c r="A11" s="231" t="s">
        <v>203</v>
      </c>
      <c r="B11" s="256">
        <v>8</v>
      </c>
      <c r="C11" s="231">
        <v>27</v>
      </c>
      <c r="D11" s="231">
        <v>1</v>
      </c>
      <c r="E11" s="231">
        <v>7</v>
      </c>
      <c r="F11" s="231">
        <v>0</v>
      </c>
      <c r="G11" s="231">
        <v>0</v>
      </c>
      <c r="H11" s="231">
        <v>0</v>
      </c>
      <c r="I11" s="231">
        <v>0</v>
      </c>
      <c r="J11" s="231">
        <v>0</v>
      </c>
      <c r="K11" s="231">
        <v>0</v>
      </c>
      <c r="L11" s="231">
        <v>0</v>
      </c>
      <c r="M11" s="231">
        <v>0</v>
      </c>
      <c r="N11" s="231">
        <v>0</v>
      </c>
      <c r="O11" s="231">
        <v>0</v>
      </c>
      <c r="P11" s="231">
        <v>0</v>
      </c>
      <c r="Q11" s="231">
        <v>0</v>
      </c>
      <c r="R11" s="231">
        <v>0</v>
      </c>
      <c r="S11" s="231">
        <v>0</v>
      </c>
      <c r="T11" s="231">
        <v>0</v>
      </c>
      <c r="U11" s="231">
        <v>0</v>
      </c>
      <c r="V11" s="231">
        <v>0</v>
      </c>
      <c r="W11" s="231">
        <v>0</v>
      </c>
      <c r="X11" s="231">
        <v>0</v>
      </c>
      <c r="Y11" s="231">
        <v>0</v>
      </c>
      <c r="Z11" s="231">
        <v>0</v>
      </c>
      <c r="AA11" s="231">
        <v>0</v>
      </c>
      <c r="AB11" s="231">
        <v>0</v>
      </c>
      <c r="AC11" s="231">
        <v>0</v>
      </c>
      <c r="AD11" s="231">
        <v>0</v>
      </c>
      <c r="AE11" s="231">
        <v>0</v>
      </c>
      <c r="AF11" s="231">
        <v>0</v>
      </c>
      <c r="AG11" s="231">
        <v>0</v>
      </c>
      <c r="AH11" s="231">
        <v>0</v>
      </c>
      <c r="AI11" s="231">
        <v>0</v>
      </c>
      <c r="AJ11" s="231">
        <v>0</v>
      </c>
      <c r="AK11" s="231">
        <v>0</v>
      </c>
      <c r="AL11" s="231">
        <v>0</v>
      </c>
      <c r="AM11" s="231">
        <v>0</v>
      </c>
      <c r="AN11" s="231">
        <v>0</v>
      </c>
    </row>
    <row r="12" spans="1:40" x14ac:dyDescent="0.3">
      <c r="A12" s="231" t="s">
        <v>204</v>
      </c>
      <c r="B12" s="256">
        <v>9</v>
      </c>
      <c r="C12" s="231">
        <v>27</v>
      </c>
      <c r="D12" s="231">
        <v>1</v>
      </c>
      <c r="E12" s="231">
        <v>8</v>
      </c>
      <c r="F12" s="231">
        <v>0</v>
      </c>
      <c r="G12" s="231">
        <v>0</v>
      </c>
      <c r="H12" s="231">
        <v>0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0</v>
      </c>
      <c r="Q12" s="231">
        <v>0</v>
      </c>
      <c r="R12" s="231">
        <v>0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v>0</v>
      </c>
      <c r="AF12" s="231">
        <v>0</v>
      </c>
      <c r="AG12" s="231">
        <v>0</v>
      </c>
      <c r="AH12" s="231">
        <v>0</v>
      </c>
      <c r="AI12" s="231">
        <v>0</v>
      </c>
      <c r="AJ12" s="231">
        <v>0</v>
      </c>
      <c r="AK12" s="231">
        <v>0</v>
      </c>
      <c r="AL12" s="231">
        <v>0</v>
      </c>
      <c r="AM12" s="231">
        <v>0</v>
      </c>
      <c r="AN12" s="231">
        <v>0</v>
      </c>
    </row>
    <row r="13" spans="1:40" x14ac:dyDescent="0.3">
      <c r="A13" s="231" t="s">
        <v>205</v>
      </c>
      <c r="B13" s="256">
        <v>10</v>
      </c>
      <c r="C13" s="231">
        <v>27</v>
      </c>
      <c r="D13" s="231">
        <v>1</v>
      </c>
      <c r="E13" s="231">
        <v>9</v>
      </c>
      <c r="F13" s="231">
        <v>3500</v>
      </c>
      <c r="G13" s="231">
        <v>0</v>
      </c>
      <c r="H13" s="231">
        <v>0</v>
      </c>
      <c r="I13" s="231">
        <v>0</v>
      </c>
      <c r="J13" s="231">
        <v>0</v>
      </c>
      <c r="K13" s="231">
        <v>2000</v>
      </c>
      <c r="L13" s="231">
        <v>0</v>
      </c>
      <c r="M13" s="231">
        <v>0</v>
      </c>
      <c r="N13" s="231">
        <v>0</v>
      </c>
      <c r="O13" s="231">
        <v>0</v>
      </c>
      <c r="P13" s="231">
        <v>0</v>
      </c>
      <c r="Q13" s="231">
        <v>0</v>
      </c>
      <c r="R13" s="231">
        <v>0</v>
      </c>
      <c r="S13" s="231">
        <v>0</v>
      </c>
      <c r="T13" s="231">
        <v>0</v>
      </c>
      <c r="U13" s="231">
        <v>0</v>
      </c>
      <c r="V13" s="231">
        <v>0</v>
      </c>
      <c r="W13" s="231">
        <v>0</v>
      </c>
      <c r="X13" s="231">
        <v>1500</v>
      </c>
      <c r="Y13" s="231">
        <v>0</v>
      </c>
      <c r="Z13" s="231">
        <v>0</v>
      </c>
      <c r="AA13" s="231">
        <v>0</v>
      </c>
      <c r="AB13" s="231">
        <v>0</v>
      </c>
      <c r="AC13" s="231">
        <v>0</v>
      </c>
      <c r="AD13" s="231">
        <v>0</v>
      </c>
      <c r="AE13" s="231">
        <v>0</v>
      </c>
      <c r="AF13" s="231">
        <v>0</v>
      </c>
      <c r="AG13" s="231">
        <v>0</v>
      </c>
      <c r="AH13" s="231">
        <v>0</v>
      </c>
      <c r="AI13" s="231">
        <v>0</v>
      </c>
      <c r="AJ13" s="231">
        <v>0</v>
      </c>
      <c r="AK13" s="231">
        <v>0</v>
      </c>
      <c r="AL13" s="231">
        <v>0</v>
      </c>
      <c r="AM13" s="231">
        <v>0</v>
      </c>
      <c r="AN13" s="231">
        <v>0</v>
      </c>
    </row>
    <row r="14" spans="1:40" x14ac:dyDescent="0.3">
      <c r="A14" s="231" t="s">
        <v>206</v>
      </c>
      <c r="B14" s="256">
        <v>11</v>
      </c>
      <c r="C14" s="231">
        <v>27</v>
      </c>
      <c r="D14" s="231">
        <v>1</v>
      </c>
      <c r="E14" s="231">
        <v>10</v>
      </c>
      <c r="F14" s="231">
        <v>0</v>
      </c>
      <c r="G14" s="231">
        <v>0</v>
      </c>
      <c r="H14" s="231">
        <v>0</v>
      </c>
      <c r="I14" s="231">
        <v>0</v>
      </c>
      <c r="J14" s="231">
        <v>0</v>
      </c>
      <c r="K14" s="231">
        <v>0</v>
      </c>
      <c r="L14" s="231">
        <v>0</v>
      </c>
      <c r="M14" s="231">
        <v>0</v>
      </c>
      <c r="N14" s="231">
        <v>0</v>
      </c>
      <c r="O14" s="231">
        <v>0</v>
      </c>
      <c r="P14" s="231">
        <v>0</v>
      </c>
      <c r="Q14" s="231">
        <v>0</v>
      </c>
      <c r="R14" s="231">
        <v>0</v>
      </c>
      <c r="S14" s="231">
        <v>0</v>
      </c>
      <c r="T14" s="231">
        <v>0</v>
      </c>
      <c r="U14" s="231">
        <v>0</v>
      </c>
      <c r="V14" s="231">
        <v>0</v>
      </c>
      <c r="W14" s="231">
        <v>0</v>
      </c>
      <c r="X14" s="231">
        <v>0</v>
      </c>
      <c r="Y14" s="231">
        <v>0</v>
      </c>
      <c r="Z14" s="231">
        <v>0</v>
      </c>
      <c r="AA14" s="231">
        <v>0</v>
      </c>
      <c r="AB14" s="231">
        <v>0</v>
      </c>
      <c r="AC14" s="231">
        <v>0</v>
      </c>
      <c r="AD14" s="231">
        <v>0</v>
      </c>
      <c r="AE14" s="231">
        <v>0</v>
      </c>
      <c r="AF14" s="231">
        <v>0</v>
      </c>
      <c r="AG14" s="231">
        <v>0</v>
      </c>
      <c r="AH14" s="231">
        <v>0</v>
      </c>
      <c r="AI14" s="231">
        <v>0</v>
      </c>
      <c r="AJ14" s="231">
        <v>0</v>
      </c>
      <c r="AK14" s="231">
        <v>0</v>
      </c>
      <c r="AL14" s="231">
        <v>0</v>
      </c>
      <c r="AM14" s="231">
        <v>0</v>
      </c>
      <c r="AN14" s="231">
        <v>0</v>
      </c>
    </row>
    <row r="15" spans="1:40" x14ac:dyDescent="0.3">
      <c r="A15" s="231" t="s">
        <v>207</v>
      </c>
      <c r="B15" s="256">
        <v>12</v>
      </c>
      <c r="C15" s="231">
        <v>27</v>
      </c>
      <c r="D15" s="231">
        <v>1</v>
      </c>
      <c r="E15" s="231">
        <v>11</v>
      </c>
      <c r="F15" s="231">
        <v>944.25</v>
      </c>
      <c r="G15" s="231">
        <v>0</v>
      </c>
      <c r="H15" s="231">
        <v>944.25</v>
      </c>
      <c r="I15" s="231">
        <v>0</v>
      </c>
      <c r="J15" s="231">
        <v>0</v>
      </c>
      <c r="K15" s="231">
        <v>0</v>
      </c>
      <c r="L15" s="231">
        <v>0</v>
      </c>
      <c r="M15" s="231">
        <v>0</v>
      </c>
      <c r="N15" s="231">
        <v>0</v>
      </c>
      <c r="O15" s="231">
        <v>0</v>
      </c>
      <c r="P15" s="231">
        <v>0</v>
      </c>
      <c r="Q15" s="231">
        <v>0</v>
      </c>
      <c r="R15" s="231">
        <v>0</v>
      </c>
      <c r="S15" s="231">
        <v>0</v>
      </c>
      <c r="T15" s="231">
        <v>0</v>
      </c>
      <c r="U15" s="231">
        <v>0</v>
      </c>
      <c r="V15" s="231">
        <v>0</v>
      </c>
      <c r="W15" s="231">
        <v>0</v>
      </c>
      <c r="X15" s="231">
        <v>0</v>
      </c>
      <c r="Y15" s="231">
        <v>0</v>
      </c>
      <c r="Z15" s="231">
        <v>0</v>
      </c>
      <c r="AA15" s="231">
        <v>0</v>
      </c>
      <c r="AB15" s="231">
        <v>0</v>
      </c>
      <c r="AC15" s="231">
        <v>0</v>
      </c>
      <c r="AD15" s="231">
        <v>0</v>
      </c>
      <c r="AE15" s="231">
        <v>0</v>
      </c>
      <c r="AF15" s="231">
        <v>0</v>
      </c>
      <c r="AG15" s="231">
        <v>0</v>
      </c>
      <c r="AH15" s="231">
        <v>0</v>
      </c>
      <c r="AI15" s="231">
        <v>0</v>
      </c>
      <c r="AJ15" s="231">
        <v>0</v>
      </c>
      <c r="AK15" s="231">
        <v>0</v>
      </c>
      <c r="AL15" s="231">
        <v>0</v>
      </c>
      <c r="AM15" s="231">
        <v>0</v>
      </c>
      <c r="AN15" s="231">
        <v>0</v>
      </c>
    </row>
    <row r="16" spans="1:40" x14ac:dyDescent="0.3">
      <c r="A16" s="231" t="s">
        <v>195</v>
      </c>
      <c r="B16" s="256">
        <v>2014</v>
      </c>
      <c r="C16" s="231">
        <v>27</v>
      </c>
      <c r="D16" s="231">
        <v>2</v>
      </c>
      <c r="E16" s="231">
        <v>1</v>
      </c>
      <c r="F16" s="231">
        <v>8.1999999999999993</v>
      </c>
      <c r="G16" s="231">
        <v>0</v>
      </c>
      <c r="H16" s="231">
        <v>3.2</v>
      </c>
      <c r="I16" s="231">
        <v>0</v>
      </c>
      <c r="J16" s="231">
        <v>0</v>
      </c>
      <c r="K16" s="231">
        <v>3.5</v>
      </c>
      <c r="L16" s="231">
        <v>0</v>
      </c>
      <c r="M16" s="231">
        <v>0</v>
      </c>
      <c r="N16" s="231">
        <v>0</v>
      </c>
      <c r="O16" s="231">
        <v>0</v>
      </c>
      <c r="P16" s="231">
        <v>0</v>
      </c>
      <c r="Q16" s="231">
        <v>0</v>
      </c>
      <c r="R16" s="231">
        <v>0</v>
      </c>
      <c r="S16" s="231">
        <v>0</v>
      </c>
      <c r="T16" s="231">
        <v>0</v>
      </c>
      <c r="U16" s="231">
        <v>0</v>
      </c>
      <c r="V16" s="231">
        <v>0</v>
      </c>
      <c r="W16" s="231">
        <v>0</v>
      </c>
      <c r="X16" s="231">
        <v>1</v>
      </c>
      <c r="Y16" s="231">
        <v>0</v>
      </c>
      <c r="Z16" s="231">
        <v>0</v>
      </c>
      <c r="AA16" s="231">
        <v>0</v>
      </c>
      <c r="AB16" s="231">
        <v>0</v>
      </c>
      <c r="AC16" s="231">
        <v>0</v>
      </c>
      <c r="AD16" s="231">
        <v>0</v>
      </c>
      <c r="AE16" s="231">
        <v>0</v>
      </c>
      <c r="AF16" s="231">
        <v>0</v>
      </c>
      <c r="AG16" s="231">
        <v>0</v>
      </c>
      <c r="AH16" s="231">
        <v>0</v>
      </c>
      <c r="AI16" s="231">
        <v>0</v>
      </c>
      <c r="AJ16" s="231">
        <v>0</v>
      </c>
      <c r="AK16" s="231">
        <v>0</v>
      </c>
      <c r="AL16" s="231">
        <v>0</v>
      </c>
      <c r="AM16" s="231">
        <v>0.5</v>
      </c>
      <c r="AN16" s="231">
        <v>0</v>
      </c>
    </row>
    <row r="17" spans="3:40" x14ac:dyDescent="0.3">
      <c r="C17" s="231">
        <v>27</v>
      </c>
      <c r="D17" s="231">
        <v>2</v>
      </c>
      <c r="E17" s="231">
        <v>2</v>
      </c>
      <c r="F17" s="231">
        <v>1292</v>
      </c>
      <c r="G17" s="231">
        <v>0</v>
      </c>
      <c r="H17" s="231">
        <v>504</v>
      </c>
      <c r="I17" s="231">
        <v>0</v>
      </c>
      <c r="J17" s="231">
        <v>0</v>
      </c>
      <c r="K17" s="231">
        <v>552</v>
      </c>
      <c r="L17" s="231">
        <v>0</v>
      </c>
      <c r="M17" s="231">
        <v>0</v>
      </c>
      <c r="N17" s="231">
        <v>0</v>
      </c>
      <c r="O17" s="231">
        <v>0</v>
      </c>
      <c r="P17" s="231">
        <v>0</v>
      </c>
      <c r="Q17" s="231">
        <v>0</v>
      </c>
      <c r="R17" s="231">
        <v>0</v>
      </c>
      <c r="S17" s="231">
        <v>0</v>
      </c>
      <c r="T17" s="231">
        <v>0</v>
      </c>
      <c r="U17" s="231">
        <v>0</v>
      </c>
      <c r="V17" s="231">
        <v>0</v>
      </c>
      <c r="W17" s="231">
        <v>0</v>
      </c>
      <c r="X17" s="231">
        <v>156</v>
      </c>
      <c r="Y17" s="231">
        <v>0</v>
      </c>
      <c r="Z17" s="231">
        <v>0</v>
      </c>
      <c r="AA17" s="231">
        <v>0</v>
      </c>
      <c r="AB17" s="231">
        <v>0</v>
      </c>
      <c r="AC17" s="231">
        <v>0</v>
      </c>
      <c r="AD17" s="231">
        <v>0</v>
      </c>
      <c r="AE17" s="231">
        <v>0</v>
      </c>
      <c r="AF17" s="231">
        <v>0</v>
      </c>
      <c r="AG17" s="231">
        <v>0</v>
      </c>
      <c r="AH17" s="231">
        <v>0</v>
      </c>
      <c r="AI17" s="231">
        <v>0</v>
      </c>
      <c r="AJ17" s="231">
        <v>0</v>
      </c>
      <c r="AK17" s="231">
        <v>0</v>
      </c>
      <c r="AL17" s="231">
        <v>0</v>
      </c>
      <c r="AM17" s="231">
        <v>80</v>
      </c>
      <c r="AN17" s="231">
        <v>0</v>
      </c>
    </row>
    <row r="18" spans="3:40" x14ac:dyDescent="0.3">
      <c r="C18" s="231">
        <v>27</v>
      </c>
      <c r="D18" s="231">
        <v>2</v>
      </c>
      <c r="E18" s="231">
        <v>3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v>0</v>
      </c>
      <c r="AF18" s="231">
        <v>0</v>
      </c>
      <c r="AG18" s="231">
        <v>0</v>
      </c>
      <c r="AH18" s="231">
        <v>0</v>
      </c>
      <c r="AI18" s="231">
        <v>0</v>
      </c>
      <c r="AJ18" s="231">
        <v>0</v>
      </c>
      <c r="AK18" s="231">
        <v>0</v>
      </c>
      <c r="AL18" s="231">
        <v>0</v>
      </c>
      <c r="AM18" s="231">
        <v>0</v>
      </c>
      <c r="AN18" s="231">
        <v>0</v>
      </c>
    </row>
    <row r="19" spans="3:40" x14ac:dyDescent="0.3">
      <c r="C19" s="231">
        <v>27</v>
      </c>
      <c r="D19" s="231">
        <v>2</v>
      </c>
      <c r="E19" s="231">
        <v>4</v>
      </c>
      <c r="F19" s="231">
        <v>0</v>
      </c>
      <c r="G19" s="231">
        <v>0</v>
      </c>
      <c r="H19" s="231">
        <v>0</v>
      </c>
      <c r="I19" s="231">
        <v>0</v>
      </c>
      <c r="J19" s="231">
        <v>0</v>
      </c>
      <c r="K19" s="231">
        <v>0</v>
      </c>
      <c r="L19" s="231">
        <v>0</v>
      </c>
      <c r="M19" s="231">
        <v>0</v>
      </c>
      <c r="N19" s="231">
        <v>0</v>
      </c>
      <c r="O19" s="231">
        <v>0</v>
      </c>
      <c r="P19" s="231">
        <v>0</v>
      </c>
      <c r="Q19" s="231">
        <v>0</v>
      </c>
      <c r="R19" s="231">
        <v>0</v>
      </c>
      <c r="S19" s="231">
        <v>0</v>
      </c>
      <c r="T19" s="231">
        <v>0</v>
      </c>
      <c r="U19" s="231">
        <v>0</v>
      </c>
      <c r="V19" s="231">
        <v>0</v>
      </c>
      <c r="W19" s="231">
        <v>0</v>
      </c>
      <c r="X19" s="231">
        <v>0</v>
      </c>
      <c r="Y19" s="231">
        <v>0</v>
      </c>
      <c r="Z19" s="231">
        <v>0</v>
      </c>
      <c r="AA19" s="231">
        <v>0</v>
      </c>
      <c r="AB19" s="231">
        <v>0</v>
      </c>
      <c r="AC19" s="231">
        <v>0</v>
      </c>
      <c r="AD19" s="231">
        <v>0</v>
      </c>
      <c r="AE19" s="231">
        <v>0</v>
      </c>
      <c r="AF19" s="231">
        <v>0</v>
      </c>
      <c r="AG19" s="231">
        <v>0</v>
      </c>
      <c r="AH19" s="231">
        <v>0</v>
      </c>
      <c r="AI19" s="231">
        <v>0</v>
      </c>
      <c r="AJ19" s="231">
        <v>0</v>
      </c>
      <c r="AK19" s="231">
        <v>0</v>
      </c>
      <c r="AL19" s="231">
        <v>0</v>
      </c>
      <c r="AM19" s="231">
        <v>0</v>
      </c>
      <c r="AN19" s="231">
        <v>0</v>
      </c>
    </row>
    <row r="20" spans="3:40" x14ac:dyDescent="0.3">
      <c r="C20" s="231">
        <v>27</v>
      </c>
      <c r="D20" s="231">
        <v>2</v>
      </c>
      <c r="E20" s="231">
        <v>5</v>
      </c>
      <c r="F20" s="231">
        <v>0</v>
      </c>
      <c r="G20" s="231">
        <v>0</v>
      </c>
      <c r="H20" s="231">
        <v>0</v>
      </c>
      <c r="I20" s="231">
        <v>0</v>
      </c>
      <c r="J20" s="231">
        <v>0</v>
      </c>
      <c r="K20" s="231">
        <v>0</v>
      </c>
      <c r="L20" s="231">
        <v>0</v>
      </c>
      <c r="M20" s="231">
        <v>0</v>
      </c>
      <c r="N20" s="231">
        <v>0</v>
      </c>
      <c r="O20" s="231">
        <v>0</v>
      </c>
      <c r="P20" s="231">
        <v>0</v>
      </c>
      <c r="Q20" s="231">
        <v>0</v>
      </c>
      <c r="R20" s="231">
        <v>0</v>
      </c>
      <c r="S20" s="231">
        <v>0</v>
      </c>
      <c r="T20" s="231">
        <v>0</v>
      </c>
      <c r="U20" s="231">
        <v>0</v>
      </c>
      <c r="V20" s="231">
        <v>0</v>
      </c>
      <c r="W20" s="231">
        <v>0</v>
      </c>
      <c r="X20" s="231">
        <v>0</v>
      </c>
      <c r="Y20" s="231">
        <v>0</v>
      </c>
      <c r="Z20" s="231">
        <v>0</v>
      </c>
      <c r="AA20" s="231">
        <v>0</v>
      </c>
      <c r="AB20" s="231">
        <v>0</v>
      </c>
      <c r="AC20" s="231">
        <v>0</v>
      </c>
      <c r="AD20" s="231">
        <v>0</v>
      </c>
      <c r="AE20" s="231">
        <v>0</v>
      </c>
      <c r="AF20" s="231">
        <v>0</v>
      </c>
      <c r="AG20" s="231">
        <v>0</v>
      </c>
      <c r="AH20" s="231">
        <v>0</v>
      </c>
      <c r="AI20" s="231">
        <v>0</v>
      </c>
      <c r="AJ20" s="231">
        <v>0</v>
      </c>
      <c r="AK20" s="231">
        <v>0</v>
      </c>
      <c r="AL20" s="231">
        <v>0</v>
      </c>
      <c r="AM20" s="231">
        <v>0</v>
      </c>
      <c r="AN20" s="231">
        <v>0</v>
      </c>
    </row>
    <row r="21" spans="3:40" x14ac:dyDescent="0.3">
      <c r="C21" s="231">
        <v>27</v>
      </c>
      <c r="D21" s="231">
        <v>2</v>
      </c>
      <c r="E21" s="231">
        <v>6</v>
      </c>
      <c r="F21" s="231">
        <v>279838</v>
      </c>
      <c r="G21" s="231">
        <v>0</v>
      </c>
      <c r="H21" s="231">
        <v>150512</v>
      </c>
      <c r="I21" s="231">
        <v>0</v>
      </c>
      <c r="J21" s="231">
        <v>0</v>
      </c>
      <c r="K21" s="231">
        <v>94856</v>
      </c>
      <c r="L21" s="231">
        <v>0</v>
      </c>
      <c r="M21" s="231">
        <v>0</v>
      </c>
      <c r="N21" s="231">
        <v>0</v>
      </c>
      <c r="O21" s="231">
        <v>0</v>
      </c>
      <c r="P21" s="231">
        <v>0</v>
      </c>
      <c r="Q21" s="231">
        <v>0</v>
      </c>
      <c r="R21" s="231">
        <v>0</v>
      </c>
      <c r="S21" s="231">
        <v>0</v>
      </c>
      <c r="T21" s="231">
        <v>0</v>
      </c>
      <c r="U21" s="231">
        <v>0</v>
      </c>
      <c r="V21" s="231">
        <v>0</v>
      </c>
      <c r="W21" s="231">
        <v>0</v>
      </c>
      <c r="X21" s="231">
        <v>26470</v>
      </c>
      <c r="Y21" s="231">
        <v>0</v>
      </c>
      <c r="Z21" s="231">
        <v>0</v>
      </c>
      <c r="AA21" s="231">
        <v>0</v>
      </c>
      <c r="AB21" s="231">
        <v>0</v>
      </c>
      <c r="AC21" s="231">
        <v>0</v>
      </c>
      <c r="AD21" s="231">
        <v>0</v>
      </c>
      <c r="AE21" s="231">
        <v>0</v>
      </c>
      <c r="AF21" s="231">
        <v>0</v>
      </c>
      <c r="AG21" s="231">
        <v>0</v>
      </c>
      <c r="AH21" s="231">
        <v>0</v>
      </c>
      <c r="AI21" s="231">
        <v>0</v>
      </c>
      <c r="AJ21" s="231">
        <v>0</v>
      </c>
      <c r="AK21" s="231">
        <v>0</v>
      </c>
      <c r="AL21" s="231">
        <v>0</v>
      </c>
      <c r="AM21" s="231">
        <v>8000</v>
      </c>
      <c r="AN21" s="231">
        <v>0</v>
      </c>
    </row>
    <row r="22" spans="3:40" x14ac:dyDescent="0.3">
      <c r="C22" s="231">
        <v>27</v>
      </c>
      <c r="D22" s="231">
        <v>2</v>
      </c>
      <c r="E22" s="231">
        <v>7</v>
      </c>
      <c r="F22" s="231">
        <v>0</v>
      </c>
      <c r="G22" s="231">
        <v>0</v>
      </c>
      <c r="H22" s="231">
        <v>0</v>
      </c>
      <c r="I22" s="231">
        <v>0</v>
      </c>
      <c r="J22" s="231">
        <v>0</v>
      </c>
      <c r="K22" s="231">
        <v>0</v>
      </c>
      <c r="L22" s="231">
        <v>0</v>
      </c>
      <c r="M22" s="231">
        <v>0</v>
      </c>
      <c r="N22" s="231">
        <v>0</v>
      </c>
      <c r="O22" s="231">
        <v>0</v>
      </c>
      <c r="P22" s="231">
        <v>0</v>
      </c>
      <c r="Q22" s="231">
        <v>0</v>
      </c>
      <c r="R22" s="231">
        <v>0</v>
      </c>
      <c r="S22" s="231">
        <v>0</v>
      </c>
      <c r="T22" s="231">
        <v>0</v>
      </c>
      <c r="U22" s="231">
        <v>0</v>
      </c>
      <c r="V22" s="231">
        <v>0</v>
      </c>
      <c r="W22" s="231">
        <v>0</v>
      </c>
      <c r="X22" s="231">
        <v>0</v>
      </c>
      <c r="Y22" s="231">
        <v>0</v>
      </c>
      <c r="Z22" s="231">
        <v>0</v>
      </c>
      <c r="AA22" s="231">
        <v>0</v>
      </c>
      <c r="AB22" s="231">
        <v>0</v>
      </c>
      <c r="AC22" s="231">
        <v>0</v>
      </c>
      <c r="AD22" s="231">
        <v>0</v>
      </c>
      <c r="AE22" s="231">
        <v>0</v>
      </c>
      <c r="AF22" s="231">
        <v>0</v>
      </c>
      <c r="AG22" s="231">
        <v>0</v>
      </c>
      <c r="AH22" s="231">
        <v>0</v>
      </c>
      <c r="AI22" s="231">
        <v>0</v>
      </c>
      <c r="AJ22" s="231">
        <v>0</v>
      </c>
      <c r="AK22" s="231">
        <v>0</v>
      </c>
      <c r="AL22" s="231">
        <v>0</v>
      </c>
      <c r="AM22" s="231">
        <v>0</v>
      </c>
      <c r="AN22" s="231">
        <v>0</v>
      </c>
    </row>
    <row r="23" spans="3:40" x14ac:dyDescent="0.3">
      <c r="C23" s="231">
        <v>27</v>
      </c>
      <c r="D23" s="231">
        <v>2</v>
      </c>
      <c r="E23" s="231">
        <v>8</v>
      </c>
      <c r="F23" s="231">
        <v>0</v>
      </c>
      <c r="G23" s="231">
        <v>0</v>
      </c>
      <c r="H23" s="231">
        <v>0</v>
      </c>
      <c r="I23" s="231">
        <v>0</v>
      </c>
      <c r="J23" s="231">
        <v>0</v>
      </c>
      <c r="K23" s="231">
        <v>0</v>
      </c>
      <c r="L23" s="231">
        <v>0</v>
      </c>
      <c r="M23" s="231">
        <v>0</v>
      </c>
      <c r="N23" s="231">
        <v>0</v>
      </c>
      <c r="O23" s="231">
        <v>0</v>
      </c>
      <c r="P23" s="231">
        <v>0</v>
      </c>
      <c r="Q23" s="231">
        <v>0</v>
      </c>
      <c r="R23" s="231">
        <v>0</v>
      </c>
      <c r="S23" s="231">
        <v>0</v>
      </c>
      <c r="T23" s="231">
        <v>0</v>
      </c>
      <c r="U23" s="231">
        <v>0</v>
      </c>
      <c r="V23" s="231">
        <v>0</v>
      </c>
      <c r="W23" s="231">
        <v>0</v>
      </c>
      <c r="X23" s="231">
        <v>0</v>
      </c>
      <c r="Y23" s="231">
        <v>0</v>
      </c>
      <c r="Z23" s="231">
        <v>0</v>
      </c>
      <c r="AA23" s="231">
        <v>0</v>
      </c>
      <c r="AB23" s="231">
        <v>0</v>
      </c>
      <c r="AC23" s="231">
        <v>0</v>
      </c>
      <c r="AD23" s="231">
        <v>0</v>
      </c>
      <c r="AE23" s="231">
        <v>0</v>
      </c>
      <c r="AF23" s="231">
        <v>0</v>
      </c>
      <c r="AG23" s="231">
        <v>0</v>
      </c>
      <c r="AH23" s="231">
        <v>0</v>
      </c>
      <c r="AI23" s="231">
        <v>0</v>
      </c>
      <c r="AJ23" s="231">
        <v>0</v>
      </c>
      <c r="AK23" s="231">
        <v>0</v>
      </c>
      <c r="AL23" s="231">
        <v>0</v>
      </c>
      <c r="AM23" s="231">
        <v>0</v>
      </c>
      <c r="AN23" s="231">
        <v>0</v>
      </c>
    </row>
    <row r="24" spans="3:40" x14ac:dyDescent="0.3">
      <c r="C24" s="231">
        <v>27</v>
      </c>
      <c r="D24" s="231">
        <v>2</v>
      </c>
      <c r="E24" s="231">
        <v>9</v>
      </c>
      <c r="F24" s="231">
        <v>0</v>
      </c>
      <c r="G24" s="231">
        <v>0</v>
      </c>
      <c r="H24" s="231">
        <v>0</v>
      </c>
      <c r="I24" s="231">
        <v>0</v>
      </c>
      <c r="J24" s="231">
        <v>0</v>
      </c>
      <c r="K24" s="231">
        <v>0</v>
      </c>
      <c r="L24" s="231">
        <v>0</v>
      </c>
      <c r="M24" s="231">
        <v>0</v>
      </c>
      <c r="N24" s="231">
        <v>0</v>
      </c>
      <c r="O24" s="231">
        <v>0</v>
      </c>
      <c r="P24" s="231">
        <v>0</v>
      </c>
      <c r="Q24" s="231">
        <v>0</v>
      </c>
      <c r="R24" s="231">
        <v>0</v>
      </c>
      <c r="S24" s="231">
        <v>0</v>
      </c>
      <c r="T24" s="231">
        <v>0</v>
      </c>
      <c r="U24" s="231">
        <v>0</v>
      </c>
      <c r="V24" s="231">
        <v>0</v>
      </c>
      <c r="W24" s="231">
        <v>0</v>
      </c>
      <c r="X24" s="231">
        <v>0</v>
      </c>
      <c r="Y24" s="231">
        <v>0</v>
      </c>
      <c r="Z24" s="231">
        <v>0</v>
      </c>
      <c r="AA24" s="231">
        <v>0</v>
      </c>
      <c r="AB24" s="231">
        <v>0</v>
      </c>
      <c r="AC24" s="231">
        <v>0</v>
      </c>
      <c r="AD24" s="231">
        <v>0</v>
      </c>
      <c r="AE24" s="231">
        <v>0</v>
      </c>
      <c r="AF24" s="231">
        <v>0</v>
      </c>
      <c r="AG24" s="231">
        <v>0</v>
      </c>
      <c r="AH24" s="231">
        <v>0</v>
      </c>
      <c r="AI24" s="231">
        <v>0</v>
      </c>
      <c r="AJ24" s="231">
        <v>0</v>
      </c>
      <c r="AK24" s="231">
        <v>0</v>
      </c>
      <c r="AL24" s="231">
        <v>0</v>
      </c>
      <c r="AM24" s="231">
        <v>0</v>
      </c>
      <c r="AN24" s="231">
        <v>0</v>
      </c>
    </row>
    <row r="25" spans="3:40" x14ac:dyDescent="0.3">
      <c r="C25" s="231">
        <v>27</v>
      </c>
      <c r="D25" s="231">
        <v>2</v>
      </c>
      <c r="E25" s="231">
        <v>10</v>
      </c>
      <c r="F25" s="231">
        <v>0</v>
      </c>
      <c r="G25" s="231">
        <v>0</v>
      </c>
      <c r="H25" s="231">
        <v>0</v>
      </c>
      <c r="I25" s="231">
        <v>0</v>
      </c>
      <c r="J25" s="231">
        <v>0</v>
      </c>
      <c r="K25" s="231">
        <v>0</v>
      </c>
      <c r="L25" s="231">
        <v>0</v>
      </c>
      <c r="M25" s="231">
        <v>0</v>
      </c>
      <c r="N25" s="231">
        <v>0</v>
      </c>
      <c r="O25" s="231">
        <v>0</v>
      </c>
      <c r="P25" s="231">
        <v>0</v>
      </c>
      <c r="Q25" s="231">
        <v>0</v>
      </c>
      <c r="R25" s="231">
        <v>0</v>
      </c>
      <c r="S25" s="231">
        <v>0</v>
      </c>
      <c r="T25" s="231">
        <v>0</v>
      </c>
      <c r="U25" s="231">
        <v>0</v>
      </c>
      <c r="V25" s="231">
        <v>0</v>
      </c>
      <c r="W25" s="231">
        <v>0</v>
      </c>
      <c r="X25" s="231">
        <v>0</v>
      </c>
      <c r="Y25" s="231">
        <v>0</v>
      </c>
      <c r="Z25" s="231">
        <v>0</v>
      </c>
      <c r="AA25" s="231">
        <v>0</v>
      </c>
      <c r="AB25" s="231">
        <v>0</v>
      </c>
      <c r="AC25" s="231">
        <v>0</v>
      </c>
      <c r="AD25" s="231">
        <v>0</v>
      </c>
      <c r="AE25" s="231">
        <v>0</v>
      </c>
      <c r="AF25" s="231">
        <v>0</v>
      </c>
      <c r="AG25" s="231">
        <v>0</v>
      </c>
      <c r="AH25" s="231">
        <v>0</v>
      </c>
      <c r="AI25" s="231">
        <v>0</v>
      </c>
      <c r="AJ25" s="231">
        <v>0</v>
      </c>
      <c r="AK25" s="231">
        <v>0</v>
      </c>
      <c r="AL25" s="231">
        <v>0</v>
      </c>
      <c r="AM25" s="231">
        <v>0</v>
      </c>
      <c r="AN25" s="231">
        <v>0</v>
      </c>
    </row>
    <row r="26" spans="3:40" x14ac:dyDescent="0.3">
      <c r="C26" s="231">
        <v>27</v>
      </c>
      <c r="D26" s="231">
        <v>2</v>
      </c>
      <c r="E26" s="231">
        <v>11</v>
      </c>
      <c r="F26" s="231">
        <v>944.25</v>
      </c>
      <c r="G26" s="231">
        <v>0</v>
      </c>
      <c r="H26" s="231">
        <v>944.25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0</v>
      </c>
      <c r="P26" s="231">
        <v>0</v>
      </c>
      <c r="Q26" s="231">
        <v>0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0</v>
      </c>
      <c r="AB26" s="231">
        <v>0</v>
      </c>
      <c r="AC26" s="231">
        <v>0</v>
      </c>
      <c r="AD26" s="231">
        <v>0</v>
      </c>
      <c r="AE26" s="231">
        <v>0</v>
      </c>
      <c r="AF26" s="231">
        <v>0</v>
      </c>
      <c r="AG26" s="231">
        <v>0</v>
      </c>
      <c r="AH26" s="231">
        <v>0</v>
      </c>
      <c r="AI26" s="231">
        <v>0</v>
      </c>
      <c r="AJ26" s="231">
        <v>0</v>
      </c>
      <c r="AK26" s="231">
        <v>0</v>
      </c>
      <c r="AL26" s="231">
        <v>0</v>
      </c>
      <c r="AM26" s="231">
        <v>0</v>
      </c>
      <c r="AN26" s="231">
        <v>0</v>
      </c>
    </row>
    <row r="27" spans="3:40" x14ac:dyDescent="0.3">
      <c r="C27" s="231">
        <v>27</v>
      </c>
      <c r="D27" s="231">
        <v>3</v>
      </c>
      <c r="E27" s="231">
        <v>1</v>
      </c>
      <c r="F27" s="231">
        <v>8.1999999999999993</v>
      </c>
      <c r="G27" s="231">
        <v>0</v>
      </c>
      <c r="H27" s="231">
        <v>3.2</v>
      </c>
      <c r="I27" s="231">
        <v>0</v>
      </c>
      <c r="J27" s="231">
        <v>0</v>
      </c>
      <c r="K27" s="231">
        <v>3.5</v>
      </c>
      <c r="L27" s="231">
        <v>0</v>
      </c>
      <c r="M27" s="231">
        <v>0</v>
      </c>
      <c r="N27" s="231">
        <v>0</v>
      </c>
      <c r="O27" s="231">
        <v>0</v>
      </c>
      <c r="P27" s="231">
        <v>0</v>
      </c>
      <c r="Q27" s="231">
        <v>0</v>
      </c>
      <c r="R27" s="231">
        <v>0</v>
      </c>
      <c r="S27" s="231">
        <v>0</v>
      </c>
      <c r="T27" s="231">
        <v>0</v>
      </c>
      <c r="U27" s="231">
        <v>0</v>
      </c>
      <c r="V27" s="231">
        <v>0</v>
      </c>
      <c r="W27" s="231">
        <v>0</v>
      </c>
      <c r="X27" s="231">
        <v>1</v>
      </c>
      <c r="Y27" s="231">
        <v>0</v>
      </c>
      <c r="Z27" s="231">
        <v>0</v>
      </c>
      <c r="AA27" s="231">
        <v>0</v>
      </c>
      <c r="AB27" s="231">
        <v>0</v>
      </c>
      <c r="AC27" s="231">
        <v>0</v>
      </c>
      <c r="AD27" s="231">
        <v>0</v>
      </c>
      <c r="AE27" s="231">
        <v>0</v>
      </c>
      <c r="AF27" s="231">
        <v>0</v>
      </c>
      <c r="AG27" s="231">
        <v>0</v>
      </c>
      <c r="AH27" s="231">
        <v>0</v>
      </c>
      <c r="AI27" s="231">
        <v>0</v>
      </c>
      <c r="AJ27" s="231">
        <v>0</v>
      </c>
      <c r="AK27" s="231">
        <v>0</v>
      </c>
      <c r="AL27" s="231">
        <v>0</v>
      </c>
      <c r="AM27" s="231">
        <v>0.5</v>
      </c>
      <c r="AN27" s="231">
        <v>0</v>
      </c>
    </row>
    <row r="28" spans="3:40" x14ac:dyDescent="0.3">
      <c r="C28" s="231">
        <v>27</v>
      </c>
      <c r="D28" s="231">
        <v>3</v>
      </c>
      <c r="E28" s="231">
        <v>2</v>
      </c>
      <c r="F28" s="231">
        <v>1189.5999999999999</v>
      </c>
      <c r="G28" s="231">
        <v>0</v>
      </c>
      <c r="H28" s="231">
        <v>401.6</v>
      </c>
      <c r="I28" s="231">
        <v>0</v>
      </c>
      <c r="J28" s="231">
        <v>0</v>
      </c>
      <c r="K28" s="231">
        <v>556</v>
      </c>
      <c r="L28" s="231">
        <v>0</v>
      </c>
      <c r="M28" s="231">
        <v>0</v>
      </c>
      <c r="N28" s="231">
        <v>0</v>
      </c>
      <c r="O28" s="231">
        <v>0</v>
      </c>
      <c r="P28" s="231">
        <v>0</v>
      </c>
      <c r="Q28" s="231">
        <v>0</v>
      </c>
      <c r="R28" s="231">
        <v>0</v>
      </c>
      <c r="S28" s="231">
        <v>0</v>
      </c>
      <c r="T28" s="231">
        <v>0</v>
      </c>
      <c r="U28" s="231">
        <v>0</v>
      </c>
      <c r="V28" s="231">
        <v>0</v>
      </c>
      <c r="W28" s="231">
        <v>0</v>
      </c>
      <c r="X28" s="231">
        <v>148</v>
      </c>
      <c r="Y28" s="231">
        <v>0</v>
      </c>
      <c r="Z28" s="231">
        <v>0</v>
      </c>
      <c r="AA28" s="231">
        <v>0</v>
      </c>
      <c r="AB28" s="231">
        <v>0</v>
      </c>
      <c r="AC28" s="231">
        <v>0</v>
      </c>
      <c r="AD28" s="231">
        <v>0</v>
      </c>
      <c r="AE28" s="231">
        <v>0</v>
      </c>
      <c r="AF28" s="231">
        <v>0</v>
      </c>
      <c r="AG28" s="231">
        <v>0</v>
      </c>
      <c r="AH28" s="231">
        <v>0</v>
      </c>
      <c r="AI28" s="231">
        <v>0</v>
      </c>
      <c r="AJ28" s="231">
        <v>0</v>
      </c>
      <c r="AK28" s="231">
        <v>0</v>
      </c>
      <c r="AL28" s="231">
        <v>0</v>
      </c>
      <c r="AM28" s="231">
        <v>84</v>
      </c>
      <c r="AN28" s="231">
        <v>0</v>
      </c>
    </row>
    <row r="29" spans="3:40" x14ac:dyDescent="0.3">
      <c r="C29" s="231">
        <v>27</v>
      </c>
      <c r="D29" s="231">
        <v>3</v>
      </c>
      <c r="E29" s="231">
        <v>3</v>
      </c>
      <c r="F29" s="231">
        <v>0</v>
      </c>
      <c r="G29" s="231">
        <v>0</v>
      </c>
      <c r="H29" s="231">
        <v>0</v>
      </c>
      <c r="I29" s="231">
        <v>0</v>
      </c>
      <c r="J29" s="231">
        <v>0</v>
      </c>
      <c r="K29" s="231">
        <v>0</v>
      </c>
      <c r="L29" s="231">
        <v>0</v>
      </c>
      <c r="M29" s="231">
        <v>0</v>
      </c>
      <c r="N29" s="231">
        <v>0</v>
      </c>
      <c r="O29" s="231">
        <v>0</v>
      </c>
      <c r="P29" s="231">
        <v>0</v>
      </c>
      <c r="Q29" s="231">
        <v>0</v>
      </c>
      <c r="R29" s="231">
        <v>0</v>
      </c>
      <c r="S29" s="231">
        <v>0</v>
      </c>
      <c r="T29" s="231">
        <v>0</v>
      </c>
      <c r="U29" s="231">
        <v>0</v>
      </c>
      <c r="V29" s="231">
        <v>0</v>
      </c>
      <c r="W29" s="231">
        <v>0</v>
      </c>
      <c r="X29" s="231">
        <v>0</v>
      </c>
      <c r="Y29" s="231">
        <v>0</v>
      </c>
      <c r="Z29" s="231">
        <v>0</v>
      </c>
      <c r="AA29" s="231">
        <v>0</v>
      </c>
      <c r="AB29" s="231">
        <v>0</v>
      </c>
      <c r="AC29" s="231">
        <v>0</v>
      </c>
      <c r="AD29" s="231">
        <v>0</v>
      </c>
      <c r="AE29" s="231">
        <v>0</v>
      </c>
      <c r="AF29" s="231">
        <v>0</v>
      </c>
      <c r="AG29" s="231">
        <v>0</v>
      </c>
      <c r="AH29" s="231">
        <v>0</v>
      </c>
      <c r="AI29" s="231">
        <v>0</v>
      </c>
      <c r="AJ29" s="231">
        <v>0</v>
      </c>
      <c r="AK29" s="231">
        <v>0</v>
      </c>
      <c r="AL29" s="231">
        <v>0</v>
      </c>
      <c r="AM29" s="231">
        <v>0</v>
      </c>
      <c r="AN29" s="231">
        <v>0</v>
      </c>
    </row>
    <row r="30" spans="3:40" x14ac:dyDescent="0.3">
      <c r="C30" s="231">
        <v>27</v>
      </c>
      <c r="D30" s="231">
        <v>3</v>
      </c>
      <c r="E30" s="231">
        <v>4</v>
      </c>
      <c r="F30" s="231">
        <v>0</v>
      </c>
      <c r="G30" s="231">
        <v>0</v>
      </c>
      <c r="H30" s="231">
        <v>0</v>
      </c>
      <c r="I30" s="231">
        <v>0</v>
      </c>
      <c r="J30" s="231">
        <v>0</v>
      </c>
      <c r="K30" s="231">
        <v>0</v>
      </c>
      <c r="L30" s="231">
        <v>0</v>
      </c>
      <c r="M30" s="231">
        <v>0</v>
      </c>
      <c r="N30" s="231">
        <v>0</v>
      </c>
      <c r="O30" s="231">
        <v>0</v>
      </c>
      <c r="P30" s="231">
        <v>0</v>
      </c>
      <c r="Q30" s="231">
        <v>0</v>
      </c>
      <c r="R30" s="231">
        <v>0</v>
      </c>
      <c r="S30" s="231">
        <v>0</v>
      </c>
      <c r="T30" s="231">
        <v>0</v>
      </c>
      <c r="U30" s="231">
        <v>0</v>
      </c>
      <c r="V30" s="231">
        <v>0</v>
      </c>
      <c r="W30" s="231">
        <v>0</v>
      </c>
      <c r="X30" s="231">
        <v>0</v>
      </c>
      <c r="Y30" s="231">
        <v>0</v>
      </c>
      <c r="Z30" s="231">
        <v>0</v>
      </c>
      <c r="AA30" s="231">
        <v>0</v>
      </c>
      <c r="AB30" s="231">
        <v>0</v>
      </c>
      <c r="AC30" s="231">
        <v>0</v>
      </c>
      <c r="AD30" s="231">
        <v>0</v>
      </c>
      <c r="AE30" s="231">
        <v>0</v>
      </c>
      <c r="AF30" s="231">
        <v>0</v>
      </c>
      <c r="AG30" s="231">
        <v>0</v>
      </c>
      <c r="AH30" s="231">
        <v>0</v>
      </c>
      <c r="AI30" s="231">
        <v>0</v>
      </c>
      <c r="AJ30" s="231">
        <v>0</v>
      </c>
      <c r="AK30" s="231">
        <v>0</v>
      </c>
      <c r="AL30" s="231">
        <v>0</v>
      </c>
      <c r="AM30" s="231">
        <v>0</v>
      </c>
      <c r="AN30" s="231">
        <v>0</v>
      </c>
    </row>
    <row r="31" spans="3:40" x14ac:dyDescent="0.3">
      <c r="C31" s="231">
        <v>27</v>
      </c>
      <c r="D31" s="231">
        <v>3</v>
      </c>
      <c r="E31" s="231">
        <v>5</v>
      </c>
      <c r="F31" s="231">
        <v>0</v>
      </c>
      <c r="G31" s="231">
        <v>0</v>
      </c>
      <c r="H31" s="231">
        <v>0</v>
      </c>
      <c r="I31" s="231">
        <v>0</v>
      </c>
      <c r="J31" s="231">
        <v>0</v>
      </c>
      <c r="K31" s="231">
        <v>0</v>
      </c>
      <c r="L31" s="231">
        <v>0</v>
      </c>
      <c r="M31" s="231">
        <v>0</v>
      </c>
      <c r="N31" s="231">
        <v>0</v>
      </c>
      <c r="O31" s="231">
        <v>0</v>
      </c>
      <c r="P31" s="231">
        <v>0</v>
      </c>
      <c r="Q31" s="231">
        <v>0</v>
      </c>
      <c r="R31" s="231">
        <v>0</v>
      </c>
      <c r="S31" s="231">
        <v>0</v>
      </c>
      <c r="T31" s="231">
        <v>0</v>
      </c>
      <c r="U31" s="231">
        <v>0</v>
      </c>
      <c r="V31" s="231">
        <v>0</v>
      </c>
      <c r="W31" s="231">
        <v>0</v>
      </c>
      <c r="X31" s="231">
        <v>0</v>
      </c>
      <c r="Y31" s="231">
        <v>0</v>
      </c>
      <c r="Z31" s="231">
        <v>0</v>
      </c>
      <c r="AA31" s="231">
        <v>0</v>
      </c>
      <c r="AB31" s="231">
        <v>0</v>
      </c>
      <c r="AC31" s="231">
        <v>0</v>
      </c>
      <c r="AD31" s="231">
        <v>0</v>
      </c>
      <c r="AE31" s="231">
        <v>0</v>
      </c>
      <c r="AF31" s="231">
        <v>0</v>
      </c>
      <c r="AG31" s="231">
        <v>0</v>
      </c>
      <c r="AH31" s="231">
        <v>0</v>
      </c>
      <c r="AI31" s="231">
        <v>0</v>
      </c>
      <c r="AJ31" s="231">
        <v>0</v>
      </c>
      <c r="AK31" s="231">
        <v>0</v>
      </c>
      <c r="AL31" s="231">
        <v>0</v>
      </c>
      <c r="AM31" s="231">
        <v>0</v>
      </c>
      <c r="AN31" s="231">
        <v>0</v>
      </c>
    </row>
    <row r="32" spans="3:40" x14ac:dyDescent="0.3">
      <c r="C32" s="231">
        <v>27</v>
      </c>
      <c r="D32" s="231">
        <v>3</v>
      </c>
      <c r="E32" s="231">
        <v>6</v>
      </c>
      <c r="F32" s="231">
        <v>299997</v>
      </c>
      <c r="G32" s="231">
        <v>0</v>
      </c>
      <c r="H32" s="231">
        <v>169489</v>
      </c>
      <c r="I32" s="231">
        <v>0</v>
      </c>
      <c r="J32" s="231">
        <v>0</v>
      </c>
      <c r="K32" s="231">
        <v>95681</v>
      </c>
      <c r="L32" s="231">
        <v>0</v>
      </c>
      <c r="M32" s="231">
        <v>0</v>
      </c>
      <c r="N32" s="231">
        <v>0</v>
      </c>
      <c r="O32" s="231">
        <v>0</v>
      </c>
      <c r="P32" s="231">
        <v>0</v>
      </c>
      <c r="Q32" s="231">
        <v>0</v>
      </c>
      <c r="R32" s="231">
        <v>0</v>
      </c>
      <c r="S32" s="231">
        <v>0</v>
      </c>
      <c r="T32" s="231">
        <v>0</v>
      </c>
      <c r="U32" s="231">
        <v>0</v>
      </c>
      <c r="V32" s="231">
        <v>0</v>
      </c>
      <c r="W32" s="231">
        <v>0</v>
      </c>
      <c r="X32" s="231">
        <v>26827</v>
      </c>
      <c r="Y32" s="231">
        <v>0</v>
      </c>
      <c r="Z32" s="231">
        <v>0</v>
      </c>
      <c r="AA32" s="231">
        <v>0</v>
      </c>
      <c r="AB32" s="231">
        <v>0</v>
      </c>
      <c r="AC32" s="231">
        <v>0</v>
      </c>
      <c r="AD32" s="231">
        <v>0</v>
      </c>
      <c r="AE32" s="231">
        <v>0</v>
      </c>
      <c r="AF32" s="231">
        <v>0</v>
      </c>
      <c r="AG32" s="231">
        <v>0</v>
      </c>
      <c r="AH32" s="231">
        <v>0</v>
      </c>
      <c r="AI32" s="231">
        <v>0</v>
      </c>
      <c r="AJ32" s="231">
        <v>0</v>
      </c>
      <c r="AK32" s="231">
        <v>0</v>
      </c>
      <c r="AL32" s="231">
        <v>0</v>
      </c>
      <c r="AM32" s="231">
        <v>8000</v>
      </c>
      <c r="AN32" s="231">
        <v>0</v>
      </c>
    </row>
    <row r="33" spans="3:40" x14ac:dyDescent="0.3">
      <c r="C33" s="231">
        <v>27</v>
      </c>
      <c r="D33" s="231">
        <v>3</v>
      </c>
      <c r="E33" s="231">
        <v>7</v>
      </c>
      <c r="F33" s="231">
        <v>0</v>
      </c>
      <c r="G33" s="231">
        <v>0</v>
      </c>
      <c r="H33" s="231">
        <v>0</v>
      </c>
      <c r="I33" s="231">
        <v>0</v>
      </c>
      <c r="J33" s="231">
        <v>0</v>
      </c>
      <c r="K33" s="231">
        <v>0</v>
      </c>
      <c r="L33" s="231">
        <v>0</v>
      </c>
      <c r="M33" s="231">
        <v>0</v>
      </c>
      <c r="N33" s="231">
        <v>0</v>
      </c>
      <c r="O33" s="231">
        <v>0</v>
      </c>
      <c r="P33" s="231">
        <v>0</v>
      </c>
      <c r="Q33" s="231">
        <v>0</v>
      </c>
      <c r="R33" s="231">
        <v>0</v>
      </c>
      <c r="S33" s="231">
        <v>0</v>
      </c>
      <c r="T33" s="231">
        <v>0</v>
      </c>
      <c r="U33" s="231">
        <v>0</v>
      </c>
      <c r="V33" s="231">
        <v>0</v>
      </c>
      <c r="W33" s="231">
        <v>0</v>
      </c>
      <c r="X33" s="231">
        <v>0</v>
      </c>
      <c r="Y33" s="231">
        <v>0</v>
      </c>
      <c r="Z33" s="231">
        <v>0</v>
      </c>
      <c r="AA33" s="231">
        <v>0</v>
      </c>
      <c r="AB33" s="231">
        <v>0</v>
      </c>
      <c r="AC33" s="231">
        <v>0</v>
      </c>
      <c r="AD33" s="231">
        <v>0</v>
      </c>
      <c r="AE33" s="231">
        <v>0</v>
      </c>
      <c r="AF33" s="231">
        <v>0</v>
      </c>
      <c r="AG33" s="231">
        <v>0</v>
      </c>
      <c r="AH33" s="231">
        <v>0</v>
      </c>
      <c r="AI33" s="231">
        <v>0</v>
      </c>
      <c r="AJ33" s="231">
        <v>0</v>
      </c>
      <c r="AK33" s="231">
        <v>0</v>
      </c>
      <c r="AL33" s="231">
        <v>0</v>
      </c>
      <c r="AM33" s="231">
        <v>0</v>
      </c>
      <c r="AN33" s="231">
        <v>0</v>
      </c>
    </row>
    <row r="34" spans="3:40" x14ac:dyDescent="0.3">
      <c r="C34" s="231">
        <v>27</v>
      </c>
      <c r="D34" s="231">
        <v>3</v>
      </c>
      <c r="E34" s="231">
        <v>8</v>
      </c>
      <c r="F34" s="231">
        <v>0</v>
      </c>
      <c r="G34" s="231">
        <v>0</v>
      </c>
      <c r="H34" s="231">
        <v>0</v>
      </c>
      <c r="I34" s="231">
        <v>0</v>
      </c>
      <c r="J34" s="231">
        <v>0</v>
      </c>
      <c r="K34" s="231">
        <v>0</v>
      </c>
      <c r="L34" s="231">
        <v>0</v>
      </c>
      <c r="M34" s="231">
        <v>0</v>
      </c>
      <c r="N34" s="231">
        <v>0</v>
      </c>
      <c r="O34" s="231">
        <v>0</v>
      </c>
      <c r="P34" s="231">
        <v>0</v>
      </c>
      <c r="Q34" s="231">
        <v>0</v>
      </c>
      <c r="R34" s="231">
        <v>0</v>
      </c>
      <c r="S34" s="231">
        <v>0</v>
      </c>
      <c r="T34" s="231">
        <v>0</v>
      </c>
      <c r="U34" s="231">
        <v>0</v>
      </c>
      <c r="V34" s="231">
        <v>0</v>
      </c>
      <c r="W34" s="231">
        <v>0</v>
      </c>
      <c r="X34" s="231">
        <v>0</v>
      </c>
      <c r="Y34" s="231">
        <v>0</v>
      </c>
      <c r="Z34" s="231">
        <v>0</v>
      </c>
      <c r="AA34" s="231">
        <v>0</v>
      </c>
      <c r="AB34" s="231">
        <v>0</v>
      </c>
      <c r="AC34" s="231">
        <v>0</v>
      </c>
      <c r="AD34" s="231">
        <v>0</v>
      </c>
      <c r="AE34" s="231">
        <v>0</v>
      </c>
      <c r="AF34" s="231">
        <v>0</v>
      </c>
      <c r="AG34" s="231">
        <v>0</v>
      </c>
      <c r="AH34" s="231">
        <v>0</v>
      </c>
      <c r="AI34" s="231">
        <v>0</v>
      </c>
      <c r="AJ34" s="231">
        <v>0</v>
      </c>
      <c r="AK34" s="231">
        <v>0</v>
      </c>
      <c r="AL34" s="231">
        <v>0</v>
      </c>
      <c r="AM34" s="231">
        <v>0</v>
      </c>
      <c r="AN34" s="231">
        <v>0</v>
      </c>
    </row>
    <row r="35" spans="3:40" x14ac:dyDescent="0.3">
      <c r="C35" s="231">
        <v>27</v>
      </c>
      <c r="D35" s="231">
        <v>3</v>
      </c>
      <c r="E35" s="231">
        <v>9</v>
      </c>
      <c r="F35" s="231">
        <v>0</v>
      </c>
      <c r="G35" s="231">
        <v>0</v>
      </c>
      <c r="H35" s="231">
        <v>0</v>
      </c>
      <c r="I35" s="231">
        <v>0</v>
      </c>
      <c r="J35" s="231">
        <v>0</v>
      </c>
      <c r="K35" s="231">
        <v>0</v>
      </c>
      <c r="L35" s="231">
        <v>0</v>
      </c>
      <c r="M35" s="231">
        <v>0</v>
      </c>
      <c r="N35" s="231">
        <v>0</v>
      </c>
      <c r="O35" s="231">
        <v>0</v>
      </c>
      <c r="P35" s="231">
        <v>0</v>
      </c>
      <c r="Q35" s="231">
        <v>0</v>
      </c>
      <c r="R35" s="231">
        <v>0</v>
      </c>
      <c r="S35" s="231">
        <v>0</v>
      </c>
      <c r="T35" s="231">
        <v>0</v>
      </c>
      <c r="U35" s="231">
        <v>0</v>
      </c>
      <c r="V35" s="231">
        <v>0</v>
      </c>
      <c r="W35" s="231">
        <v>0</v>
      </c>
      <c r="X35" s="231">
        <v>0</v>
      </c>
      <c r="Y35" s="231">
        <v>0</v>
      </c>
      <c r="Z35" s="231">
        <v>0</v>
      </c>
      <c r="AA35" s="231">
        <v>0</v>
      </c>
      <c r="AB35" s="231">
        <v>0</v>
      </c>
      <c r="AC35" s="231">
        <v>0</v>
      </c>
      <c r="AD35" s="231">
        <v>0</v>
      </c>
      <c r="AE35" s="231">
        <v>0</v>
      </c>
      <c r="AF35" s="231">
        <v>0</v>
      </c>
      <c r="AG35" s="231">
        <v>0</v>
      </c>
      <c r="AH35" s="231">
        <v>0</v>
      </c>
      <c r="AI35" s="231">
        <v>0</v>
      </c>
      <c r="AJ35" s="231">
        <v>0</v>
      </c>
      <c r="AK35" s="231">
        <v>0</v>
      </c>
      <c r="AL35" s="231">
        <v>0</v>
      </c>
      <c r="AM35" s="231">
        <v>0</v>
      </c>
      <c r="AN35" s="231">
        <v>0</v>
      </c>
    </row>
    <row r="36" spans="3:40" x14ac:dyDescent="0.3">
      <c r="C36" s="231">
        <v>27</v>
      </c>
      <c r="D36" s="231">
        <v>3</v>
      </c>
      <c r="E36" s="231">
        <v>10</v>
      </c>
      <c r="F36" s="231">
        <v>2000</v>
      </c>
      <c r="G36" s="231">
        <v>0</v>
      </c>
      <c r="H36" s="231">
        <v>2000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0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v>0</v>
      </c>
      <c r="AF36" s="231">
        <v>0</v>
      </c>
      <c r="AG36" s="231">
        <v>0</v>
      </c>
      <c r="AH36" s="231">
        <v>0</v>
      </c>
      <c r="AI36" s="231">
        <v>0</v>
      </c>
      <c r="AJ36" s="231">
        <v>0</v>
      </c>
      <c r="AK36" s="231">
        <v>0</v>
      </c>
      <c r="AL36" s="231">
        <v>0</v>
      </c>
      <c r="AM36" s="231">
        <v>0</v>
      </c>
      <c r="AN36" s="231">
        <v>0</v>
      </c>
    </row>
    <row r="37" spans="3:40" x14ac:dyDescent="0.3">
      <c r="C37" s="231">
        <v>27</v>
      </c>
      <c r="D37" s="231">
        <v>3</v>
      </c>
      <c r="E37" s="231">
        <v>11</v>
      </c>
      <c r="F37" s="231">
        <v>944.25</v>
      </c>
      <c r="G37" s="231">
        <v>0</v>
      </c>
      <c r="H37" s="231">
        <v>944.25</v>
      </c>
      <c r="I37" s="231">
        <v>0</v>
      </c>
      <c r="J37" s="231">
        <v>0</v>
      </c>
      <c r="K37" s="231">
        <v>0</v>
      </c>
      <c r="L37" s="231">
        <v>0</v>
      </c>
      <c r="M37" s="231">
        <v>0</v>
      </c>
      <c r="N37" s="231">
        <v>0</v>
      </c>
      <c r="O37" s="231">
        <v>0</v>
      </c>
      <c r="P37" s="231">
        <v>0</v>
      </c>
      <c r="Q37" s="231">
        <v>0</v>
      </c>
      <c r="R37" s="231">
        <v>0</v>
      </c>
      <c r="S37" s="231">
        <v>0</v>
      </c>
      <c r="T37" s="231">
        <v>0</v>
      </c>
      <c r="U37" s="231">
        <v>0</v>
      </c>
      <c r="V37" s="231">
        <v>0</v>
      </c>
      <c r="W37" s="231">
        <v>0</v>
      </c>
      <c r="X37" s="231">
        <v>0</v>
      </c>
      <c r="Y37" s="231">
        <v>0</v>
      </c>
      <c r="Z37" s="231">
        <v>0</v>
      </c>
      <c r="AA37" s="231">
        <v>0</v>
      </c>
      <c r="AB37" s="231">
        <v>0</v>
      </c>
      <c r="AC37" s="231">
        <v>0</v>
      </c>
      <c r="AD37" s="231">
        <v>0</v>
      </c>
      <c r="AE37" s="231">
        <v>0</v>
      </c>
      <c r="AF37" s="231">
        <v>0</v>
      </c>
      <c r="AG37" s="231">
        <v>0</v>
      </c>
      <c r="AH37" s="231">
        <v>0</v>
      </c>
      <c r="AI37" s="231">
        <v>0</v>
      </c>
      <c r="AJ37" s="231">
        <v>0</v>
      </c>
      <c r="AK37" s="231">
        <v>0</v>
      </c>
      <c r="AL37" s="231">
        <v>0</v>
      </c>
      <c r="AM37" s="231">
        <v>0</v>
      </c>
      <c r="AN37" s="231">
        <v>0</v>
      </c>
    </row>
    <row r="38" spans="3:40" x14ac:dyDescent="0.3">
      <c r="C38" s="231">
        <v>27</v>
      </c>
      <c r="D38" s="231">
        <v>4</v>
      </c>
      <c r="E38" s="231">
        <v>1</v>
      </c>
      <c r="F38" s="231">
        <v>8.1999999999999993</v>
      </c>
      <c r="G38" s="231">
        <v>0</v>
      </c>
      <c r="H38" s="231">
        <v>3.2</v>
      </c>
      <c r="I38" s="231">
        <v>0</v>
      </c>
      <c r="J38" s="231">
        <v>0</v>
      </c>
      <c r="K38" s="231">
        <v>3.5</v>
      </c>
      <c r="L38" s="231">
        <v>0</v>
      </c>
      <c r="M38" s="231">
        <v>0</v>
      </c>
      <c r="N38" s="231">
        <v>0</v>
      </c>
      <c r="O38" s="231">
        <v>0</v>
      </c>
      <c r="P38" s="231">
        <v>0</v>
      </c>
      <c r="Q38" s="231">
        <v>0</v>
      </c>
      <c r="R38" s="231">
        <v>0</v>
      </c>
      <c r="S38" s="231">
        <v>0</v>
      </c>
      <c r="T38" s="231">
        <v>0</v>
      </c>
      <c r="U38" s="231">
        <v>0</v>
      </c>
      <c r="V38" s="231">
        <v>0</v>
      </c>
      <c r="W38" s="231">
        <v>0</v>
      </c>
      <c r="X38" s="231">
        <v>1</v>
      </c>
      <c r="Y38" s="231">
        <v>0</v>
      </c>
      <c r="Z38" s="231">
        <v>0</v>
      </c>
      <c r="AA38" s="231">
        <v>0</v>
      </c>
      <c r="AB38" s="231">
        <v>0</v>
      </c>
      <c r="AC38" s="231">
        <v>0</v>
      </c>
      <c r="AD38" s="231">
        <v>0</v>
      </c>
      <c r="AE38" s="231">
        <v>0</v>
      </c>
      <c r="AF38" s="231">
        <v>0</v>
      </c>
      <c r="AG38" s="231">
        <v>0</v>
      </c>
      <c r="AH38" s="231">
        <v>0</v>
      </c>
      <c r="AI38" s="231">
        <v>0</v>
      </c>
      <c r="AJ38" s="231">
        <v>0</v>
      </c>
      <c r="AK38" s="231">
        <v>0</v>
      </c>
      <c r="AL38" s="231">
        <v>0</v>
      </c>
      <c r="AM38" s="231">
        <v>0.5</v>
      </c>
      <c r="AN38" s="231">
        <v>0</v>
      </c>
    </row>
    <row r="39" spans="3:40" x14ac:dyDescent="0.3">
      <c r="C39" s="231">
        <v>27</v>
      </c>
      <c r="D39" s="231">
        <v>4</v>
      </c>
      <c r="E39" s="231">
        <v>2</v>
      </c>
      <c r="F39" s="231">
        <v>1377.6</v>
      </c>
      <c r="G39" s="231">
        <v>0</v>
      </c>
      <c r="H39" s="231">
        <v>549.6</v>
      </c>
      <c r="I39" s="231">
        <v>0</v>
      </c>
      <c r="J39" s="231">
        <v>0</v>
      </c>
      <c r="K39" s="231">
        <v>604</v>
      </c>
      <c r="L39" s="231">
        <v>0</v>
      </c>
      <c r="M39" s="231">
        <v>0</v>
      </c>
      <c r="N39" s="231">
        <v>0</v>
      </c>
      <c r="O39" s="231">
        <v>0</v>
      </c>
      <c r="P39" s="231">
        <v>0</v>
      </c>
      <c r="Q39" s="231">
        <v>0</v>
      </c>
      <c r="R39" s="231">
        <v>0</v>
      </c>
      <c r="S39" s="231">
        <v>0</v>
      </c>
      <c r="T39" s="231">
        <v>0</v>
      </c>
      <c r="U39" s="231">
        <v>0</v>
      </c>
      <c r="V39" s="231">
        <v>0</v>
      </c>
      <c r="W39" s="231">
        <v>0</v>
      </c>
      <c r="X39" s="231">
        <v>136</v>
      </c>
      <c r="Y39" s="231">
        <v>0</v>
      </c>
      <c r="Z39" s="231">
        <v>0</v>
      </c>
      <c r="AA39" s="231">
        <v>0</v>
      </c>
      <c r="AB39" s="231">
        <v>0</v>
      </c>
      <c r="AC39" s="231">
        <v>0</v>
      </c>
      <c r="AD39" s="231">
        <v>0</v>
      </c>
      <c r="AE39" s="231">
        <v>0</v>
      </c>
      <c r="AF39" s="231">
        <v>0</v>
      </c>
      <c r="AG39" s="231">
        <v>0</v>
      </c>
      <c r="AH39" s="231">
        <v>0</v>
      </c>
      <c r="AI39" s="231">
        <v>0</v>
      </c>
      <c r="AJ39" s="231">
        <v>0</v>
      </c>
      <c r="AK39" s="231">
        <v>0</v>
      </c>
      <c r="AL39" s="231">
        <v>0</v>
      </c>
      <c r="AM39" s="231">
        <v>88</v>
      </c>
      <c r="AN39" s="231">
        <v>0</v>
      </c>
    </row>
    <row r="40" spans="3:40" x14ac:dyDescent="0.3">
      <c r="C40" s="231">
        <v>27</v>
      </c>
      <c r="D40" s="231">
        <v>4</v>
      </c>
      <c r="E40" s="231">
        <v>3</v>
      </c>
      <c r="F40" s="231">
        <v>0</v>
      </c>
      <c r="G40" s="231">
        <v>0</v>
      </c>
      <c r="H40" s="231">
        <v>0</v>
      </c>
      <c r="I40" s="231">
        <v>0</v>
      </c>
      <c r="J40" s="231">
        <v>0</v>
      </c>
      <c r="K40" s="231">
        <v>0</v>
      </c>
      <c r="L40" s="231">
        <v>0</v>
      </c>
      <c r="M40" s="231">
        <v>0</v>
      </c>
      <c r="N40" s="231">
        <v>0</v>
      </c>
      <c r="O40" s="231">
        <v>0</v>
      </c>
      <c r="P40" s="231">
        <v>0</v>
      </c>
      <c r="Q40" s="231">
        <v>0</v>
      </c>
      <c r="R40" s="231">
        <v>0</v>
      </c>
      <c r="S40" s="231">
        <v>0</v>
      </c>
      <c r="T40" s="231">
        <v>0</v>
      </c>
      <c r="U40" s="231">
        <v>0</v>
      </c>
      <c r="V40" s="231">
        <v>0</v>
      </c>
      <c r="W40" s="231">
        <v>0</v>
      </c>
      <c r="X40" s="231">
        <v>0</v>
      </c>
      <c r="Y40" s="231">
        <v>0</v>
      </c>
      <c r="Z40" s="231">
        <v>0</v>
      </c>
      <c r="AA40" s="231">
        <v>0</v>
      </c>
      <c r="AB40" s="231">
        <v>0</v>
      </c>
      <c r="AC40" s="231">
        <v>0</v>
      </c>
      <c r="AD40" s="231">
        <v>0</v>
      </c>
      <c r="AE40" s="231">
        <v>0</v>
      </c>
      <c r="AF40" s="231">
        <v>0</v>
      </c>
      <c r="AG40" s="231">
        <v>0</v>
      </c>
      <c r="AH40" s="231">
        <v>0</v>
      </c>
      <c r="AI40" s="231">
        <v>0</v>
      </c>
      <c r="AJ40" s="231">
        <v>0</v>
      </c>
      <c r="AK40" s="231">
        <v>0</v>
      </c>
      <c r="AL40" s="231">
        <v>0</v>
      </c>
      <c r="AM40" s="231">
        <v>0</v>
      </c>
      <c r="AN40" s="231">
        <v>0</v>
      </c>
    </row>
    <row r="41" spans="3:40" x14ac:dyDescent="0.3">
      <c r="C41" s="231">
        <v>27</v>
      </c>
      <c r="D41" s="231">
        <v>4</v>
      </c>
      <c r="E41" s="231">
        <v>4</v>
      </c>
      <c r="F41" s="231">
        <v>0</v>
      </c>
      <c r="G41" s="231">
        <v>0</v>
      </c>
      <c r="H41" s="231">
        <v>0</v>
      </c>
      <c r="I41" s="231">
        <v>0</v>
      </c>
      <c r="J41" s="231">
        <v>0</v>
      </c>
      <c r="K41" s="231">
        <v>0</v>
      </c>
      <c r="L41" s="231">
        <v>0</v>
      </c>
      <c r="M41" s="231">
        <v>0</v>
      </c>
      <c r="N41" s="231">
        <v>0</v>
      </c>
      <c r="O41" s="231">
        <v>0</v>
      </c>
      <c r="P41" s="231">
        <v>0</v>
      </c>
      <c r="Q41" s="231">
        <v>0</v>
      </c>
      <c r="R41" s="231">
        <v>0</v>
      </c>
      <c r="S41" s="231">
        <v>0</v>
      </c>
      <c r="T41" s="231">
        <v>0</v>
      </c>
      <c r="U41" s="231">
        <v>0</v>
      </c>
      <c r="V41" s="231">
        <v>0</v>
      </c>
      <c r="W41" s="231">
        <v>0</v>
      </c>
      <c r="X41" s="231">
        <v>0</v>
      </c>
      <c r="Y41" s="231">
        <v>0</v>
      </c>
      <c r="Z41" s="231">
        <v>0</v>
      </c>
      <c r="AA41" s="231">
        <v>0</v>
      </c>
      <c r="AB41" s="231">
        <v>0</v>
      </c>
      <c r="AC41" s="231">
        <v>0</v>
      </c>
      <c r="AD41" s="231">
        <v>0</v>
      </c>
      <c r="AE41" s="231">
        <v>0</v>
      </c>
      <c r="AF41" s="231">
        <v>0</v>
      </c>
      <c r="AG41" s="231">
        <v>0</v>
      </c>
      <c r="AH41" s="231">
        <v>0</v>
      </c>
      <c r="AI41" s="231">
        <v>0</v>
      </c>
      <c r="AJ41" s="231">
        <v>0</v>
      </c>
      <c r="AK41" s="231">
        <v>0</v>
      </c>
      <c r="AL41" s="231">
        <v>0</v>
      </c>
      <c r="AM41" s="231">
        <v>0</v>
      </c>
      <c r="AN41" s="231">
        <v>0</v>
      </c>
    </row>
    <row r="42" spans="3:40" x14ac:dyDescent="0.3">
      <c r="C42" s="231">
        <v>27</v>
      </c>
      <c r="D42" s="231">
        <v>4</v>
      </c>
      <c r="E42" s="231">
        <v>5</v>
      </c>
      <c r="F42" s="231">
        <v>0</v>
      </c>
      <c r="G42" s="231">
        <v>0</v>
      </c>
      <c r="H42" s="231">
        <v>0</v>
      </c>
      <c r="I42" s="231">
        <v>0</v>
      </c>
      <c r="J42" s="231">
        <v>0</v>
      </c>
      <c r="K42" s="231">
        <v>0</v>
      </c>
      <c r="L42" s="231">
        <v>0</v>
      </c>
      <c r="M42" s="231">
        <v>0</v>
      </c>
      <c r="N42" s="231">
        <v>0</v>
      </c>
      <c r="O42" s="231">
        <v>0</v>
      </c>
      <c r="P42" s="231">
        <v>0</v>
      </c>
      <c r="Q42" s="231">
        <v>0</v>
      </c>
      <c r="R42" s="231">
        <v>0</v>
      </c>
      <c r="S42" s="231">
        <v>0</v>
      </c>
      <c r="T42" s="231">
        <v>0</v>
      </c>
      <c r="U42" s="231">
        <v>0</v>
      </c>
      <c r="V42" s="231">
        <v>0</v>
      </c>
      <c r="W42" s="231">
        <v>0</v>
      </c>
      <c r="X42" s="231">
        <v>0</v>
      </c>
      <c r="Y42" s="231">
        <v>0</v>
      </c>
      <c r="Z42" s="231">
        <v>0</v>
      </c>
      <c r="AA42" s="231">
        <v>0</v>
      </c>
      <c r="AB42" s="231">
        <v>0</v>
      </c>
      <c r="AC42" s="231">
        <v>0</v>
      </c>
      <c r="AD42" s="231">
        <v>0</v>
      </c>
      <c r="AE42" s="231">
        <v>0</v>
      </c>
      <c r="AF42" s="231">
        <v>0</v>
      </c>
      <c r="AG42" s="231">
        <v>0</v>
      </c>
      <c r="AH42" s="231">
        <v>0</v>
      </c>
      <c r="AI42" s="231">
        <v>0</v>
      </c>
      <c r="AJ42" s="231">
        <v>0</v>
      </c>
      <c r="AK42" s="231">
        <v>0</v>
      </c>
      <c r="AL42" s="231">
        <v>0</v>
      </c>
      <c r="AM42" s="231">
        <v>0</v>
      </c>
      <c r="AN42" s="231">
        <v>0</v>
      </c>
    </row>
    <row r="43" spans="3:40" x14ac:dyDescent="0.3">
      <c r="C43" s="231">
        <v>27</v>
      </c>
      <c r="D43" s="231">
        <v>4</v>
      </c>
      <c r="E43" s="231">
        <v>6</v>
      </c>
      <c r="F43" s="231">
        <v>282340</v>
      </c>
      <c r="G43" s="231">
        <v>0</v>
      </c>
      <c r="H43" s="231">
        <v>152283</v>
      </c>
      <c r="I43" s="231">
        <v>0</v>
      </c>
      <c r="J43" s="231">
        <v>0</v>
      </c>
      <c r="K43" s="231">
        <v>94961</v>
      </c>
      <c r="L43" s="231">
        <v>0</v>
      </c>
      <c r="M43" s="231">
        <v>0</v>
      </c>
      <c r="N43" s="231">
        <v>0</v>
      </c>
      <c r="O43" s="231">
        <v>0</v>
      </c>
      <c r="P43" s="231">
        <v>0</v>
      </c>
      <c r="Q43" s="231">
        <v>0</v>
      </c>
      <c r="R43" s="231">
        <v>0</v>
      </c>
      <c r="S43" s="231">
        <v>0</v>
      </c>
      <c r="T43" s="231">
        <v>0</v>
      </c>
      <c r="U43" s="231">
        <v>0</v>
      </c>
      <c r="V43" s="231">
        <v>0</v>
      </c>
      <c r="W43" s="231">
        <v>0</v>
      </c>
      <c r="X43" s="231">
        <v>27096</v>
      </c>
      <c r="Y43" s="231">
        <v>0</v>
      </c>
      <c r="Z43" s="231">
        <v>0</v>
      </c>
      <c r="AA43" s="231">
        <v>0</v>
      </c>
      <c r="AB43" s="231">
        <v>0</v>
      </c>
      <c r="AC43" s="231">
        <v>0</v>
      </c>
      <c r="AD43" s="231">
        <v>0</v>
      </c>
      <c r="AE43" s="231">
        <v>0</v>
      </c>
      <c r="AF43" s="231">
        <v>0</v>
      </c>
      <c r="AG43" s="231">
        <v>0</v>
      </c>
      <c r="AH43" s="231">
        <v>0</v>
      </c>
      <c r="AI43" s="231">
        <v>0</v>
      </c>
      <c r="AJ43" s="231">
        <v>0</v>
      </c>
      <c r="AK43" s="231">
        <v>0</v>
      </c>
      <c r="AL43" s="231">
        <v>0</v>
      </c>
      <c r="AM43" s="231">
        <v>8000</v>
      </c>
      <c r="AN43" s="231">
        <v>0</v>
      </c>
    </row>
    <row r="44" spans="3:40" x14ac:dyDescent="0.3">
      <c r="C44" s="231">
        <v>27</v>
      </c>
      <c r="D44" s="231">
        <v>4</v>
      </c>
      <c r="E44" s="231">
        <v>7</v>
      </c>
      <c r="F44" s="231">
        <v>0</v>
      </c>
      <c r="G44" s="231">
        <v>0</v>
      </c>
      <c r="H44" s="231">
        <v>0</v>
      </c>
      <c r="I44" s="231">
        <v>0</v>
      </c>
      <c r="J44" s="231">
        <v>0</v>
      </c>
      <c r="K44" s="231">
        <v>0</v>
      </c>
      <c r="L44" s="231">
        <v>0</v>
      </c>
      <c r="M44" s="231">
        <v>0</v>
      </c>
      <c r="N44" s="231">
        <v>0</v>
      </c>
      <c r="O44" s="231">
        <v>0</v>
      </c>
      <c r="P44" s="231">
        <v>0</v>
      </c>
      <c r="Q44" s="231">
        <v>0</v>
      </c>
      <c r="R44" s="231">
        <v>0</v>
      </c>
      <c r="S44" s="231">
        <v>0</v>
      </c>
      <c r="T44" s="231">
        <v>0</v>
      </c>
      <c r="U44" s="231">
        <v>0</v>
      </c>
      <c r="V44" s="231">
        <v>0</v>
      </c>
      <c r="W44" s="231">
        <v>0</v>
      </c>
      <c r="X44" s="231">
        <v>0</v>
      </c>
      <c r="Y44" s="231">
        <v>0</v>
      </c>
      <c r="Z44" s="231">
        <v>0</v>
      </c>
      <c r="AA44" s="231">
        <v>0</v>
      </c>
      <c r="AB44" s="231">
        <v>0</v>
      </c>
      <c r="AC44" s="231">
        <v>0</v>
      </c>
      <c r="AD44" s="231">
        <v>0</v>
      </c>
      <c r="AE44" s="231">
        <v>0</v>
      </c>
      <c r="AF44" s="231">
        <v>0</v>
      </c>
      <c r="AG44" s="231">
        <v>0</v>
      </c>
      <c r="AH44" s="231">
        <v>0</v>
      </c>
      <c r="AI44" s="231">
        <v>0</v>
      </c>
      <c r="AJ44" s="231">
        <v>0</v>
      </c>
      <c r="AK44" s="231">
        <v>0</v>
      </c>
      <c r="AL44" s="231">
        <v>0</v>
      </c>
      <c r="AM44" s="231">
        <v>0</v>
      </c>
      <c r="AN44" s="231">
        <v>0</v>
      </c>
    </row>
    <row r="45" spans="3:40" x14ac:dyDescent="0.3">
      <c r="C45" s="231">
        <v>27</v>
      </c>
      <c r="D45" s="231">
        <v>4</v>
      </c>
      <c r="E45" s="231">
        <v>8</v>
      </c>
      <c r="F45" s="231">
        <v>0</v>
      </c>
      <c r="G45" s="231">
        <v>0</v>
      </c>
      <c r="H45" s="231">
        <v>0</v>
      </c>
      <c r="I45" s="231">
        <v>0</v>
      </c>
      <c r="J45" s="231">
        <v>0</v>
      </c>
      <c r="K45" s="231">
        <v>0</v>
      </c>
      <c r="L45" s="231">
        <v>0</v>
      </c>
      <c r="M45" s="231">
        <v>0</v>
      </c>
      <c r="N45" s="231">
        <v>0</v>
      </c>
      <c r="O45" s="231">
        <v>0</v>
      </c>
      <c r="P45" s="231">
        <v>0</v>
      </c>
      <c r="Q45" s="231">
        <v>0</v>
      </c>
      <c r="R45" s="231">
        <v>0</v>
      </c>
      <c r="S45" s="231">
        <v>0</v>
      </c>
      <c r="T45" s="231">
        <v>0</v>
      </c>
      <c r="U45" s="231">
        <v>0</v>
      </c>
      <c r="V45" s="231">
        <v>0</v>
      </c>
      <c r="W45" s="231">
        <v>0</v>
      </c>
      <c r="X45" s="231">
        <v>0</v>
      </c>
      <c r="Y45" s="231">
        <v>0</v>
      </c>
      <c r="Z45" s="231">
        <v>0</v>
      </c>
      <c r="AA45" s="231">
        <v>0</v>
      </c>
      <c r="AB45" s="231">
        <v>0</v>
      </c>
      <c r="AC45" s="231">
        <v>0</v>
      </c>
      <c r="AD45" s="231">
        <v>0</v>
      </c>
      <c r="AE45" s="231">
        <v>0</v>
      </c>
      <c r="AF45" s="231">
        <v>0</v>
      </c>
      <c r="AG45" s="231">
        <v>0</v>
      </c>
      <c r="AH45" s="231">
        <v>0</v>
      </c>
      <c r="AI45" s="231">
        <v>0</v>
      </c>
      <c r="AJ45" s="231">
        <v>0</v>
      </c>
      <c r="AK45" s="231">
        <v>0</v>
      </c>
      <c r="AL45" s="231">
        <v>0</v>
      </c>
      <c r="AM45" s="231">
        <v>0</v>
      </c>
      <c r="AN45" s="231">
        <v>0</v>
      </c>
    </row>
    <row r="46" spans="3:40" x14ac:dyDescent="0.3">
      <c r="C46" s="231">
        <v>27</v>
      </c>
      <c r="D46" s="231">
        <v>4</v>
      </c>
      <c r="E46" s="231">
        <v>9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0</v>
      </c>
      <c r="O46" s="231">
        <v>0</v>
      </c>
      <c r="P46" s="231">
        <v>0</v>
      </c>
      <c r="Q46" s="231">
        <v>0</v>
      </c>
      <c r="R46" s="231">
        <v>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v>0</v>
      </c>
      <c r="AF46" s="231">
        <v>0</v>
      </c>
      <c r="AG46" s="231">
        <v>0</v>
      </c>
      <c r="AH46" s="231">
        <v>0</v>
      </c>
      <c r="AI46" s="231">
        <v>0</v>
      </c>
      <c r="AJ46" s="231">
        <v>0</v>
      </c>
      <c r="AK46" s="231">
        <v>0</v>
      </c>
      <c r="AL46" s="231">
        <v>0</v>
      </c>
      <c r="AM46" s="231">
        <v>0</v>
      </c>
      <c r="AN46" s="231">
        <v>0</v>
      </c>
    </row>
    <row r="47" spans="3:40" x14ac:dyDescent="0.3">
      <c r="C47" s="231">
        <v>27</v>
      </c>
      <c r="D47" s="231">
        <v>4</v>
      </c>
      <c r="E47" s="231">
        <v>10</v>
      </c>
      <c r="F47" s="231">
        <v>0</v>
      </c>
      <c r="G47" s="231">
        <v>0</v>
      </c>
      <c r="H47" s="231">
        <v>0</v>
      </c>
      <c r="I47" s="231">
        <v>0</v>
      </c>
      <c r="J47" s="231">
        <v>0</v>
      </c>
      <c r="K47" s="231">
        <v>0</v>
      </c>
      <c r="L47" s="231">
        <v>0</v>
      </c>
      <c r="M47" s="231">
        <v>0</v>
      </c>
      <c r="N47" s="231">
        <v>0</v>
      </c>
      <c r="O47" s="231">
        <v>0</v>
      </c>
      <c r="P47" s="231">
        <v>0</v>
      </c>
      <c r="Q47" s="231">
        <v>0</v>
      </c>
      <c r="R47" s="231">
        <v>0</v>
      </c>
      <c r="S47" s="231">
        <v>0</v>
      </c>
      <c r="T47" s="231">
        <v>0</v>
      </c>
      <c r="U47" s="231">
        <v>0</v>
      </c>
      <c r="V47" s="231">
        <v>0</v>
      </c>
      <c r="W47" s="231">
        <v>0</v>
      </c>
      <c r="X47" s="231">
        <v>0</v>
      </c>
      <c r="Y47" s="231">
        <v>0</v>
      </c>
      <c r="Z47" s="231">
        <v>0</v>
      </c>
      <c r="AA47" s="231">
        <v>0</v>
      </c>
      <c r="AB47" s="231">
        <v>0</v>
      </c>
      <c r="AC47" s="231">
        <v>0</v>
      </c>
      <c r="AD47" s="231">
        <v>0</v>
      </c>
      <c r="AE47" s="231">
        <v>0</v>
      </c>
      <c r="AF47" s="231">
        <v>0</v>
      </c>
      <c r="AG47" s="231">
        <v>0</v>
      </c>
      <c r="AH47" s="231">
        <v>0</v>
      </c>
      <c r="AI47" s="231">
        <v>0</v>
      </c>
      <c r="AJ47" s="231">
        <v>0</v>
      </c>
      <c r="AK47" s="231">
        <v>0</v>
      </c>
      <c r="AL47" s="231">
        <v>0</v>
      </c>
      <c r="AM47" s="231">
        <v>0</v>
      </c>
      <c r="AN47" s="231">
        <v>0</v>
      </c>
    </row>
    <row r="48" spans="3:40" x14ac:dyDescent="0.3">
      <c r="C48" s="231">
        <v>27</v>
      </c>
      <c r="D48" s="231">
        <v>4</v>
      </c>
      <c r="E48" s="231">
        <v>11</v>
      </c>
      <c r="F48" s="231">
        <v>944.25</v>
      </c>
      <c r="G48" s="231">
        <v>0</v>
      </c>
      <c r="H48" s="231">
        <v>944.25</v>
      </c>
      <c r="I48" s="231">
        <v>0</v>
      </c>
      <c r="J48" s="231">
        <v>0</v>
      </c>
      <c r="K48" s="231">
        <v>0</v>
      </c>
      <c r="L48" s="231">
        <v>0</v>
      </c>
      <c r="M48" s="231">
        <v>0</v>
      </c>
      <c r="N48" s="231">
        <v>0</v>
      </c>
      <c r="O48" s="231">
        <v>0</v>
      </c>
      <c r="P48" s="231">
        <v>0</v>
      </c>
      <c r="Q48" s="231">
        <v>0</v>
      </c>
      <c r="R48" s="231">
        <v>0</v>
      </c>
      <c r="S48" s="231">
        <v>0</v>
      </c>
      <c r="T48" s="231">
        <v>0</v>
      </c>
      <c r="U48" s="231">
        <v>0</v>
      </c>
      <c r="V48" s="231">
        <v>0</v>
      </c>
      <c r="W48" s="231">
        <v>0</v>
      </c>
      <c r="X48" s="231">
        <v>0</v>
      </c>
      <c r="Y48" s="231">
        <v>0</v>
      </c>
      <c r="Z48" s="231">
        <v>0</v>
      </c>
      <c r="AA48" s="231">
        <v>0</v>
      </c>
      <c r="AB48" s="231">
        <v>0</v>
      </c>
      <c r="AC48" s="231">
        <v>0</v>
      </c>
      <c r="AD48" s="231">
        <v>0</v>
      </c>
      <c r="AE48" s="231">
        <v>0</v>
      </c>
      <c r="AF48" s="231">
        <v>0</v>
      </c>
      <c r="AG48" s="231">
        <v>0</v>
      </c>
      <c r="AH48" s="231">
        <v>0</v>
      </c>
      <c r="AI48" s="231">
        <v>0</v>
      </c>
      <c r="AJ48" s="231">
        <v>0</v>
      </c>
      <c r="AK48" s="231">
        <v>0</v>
      </c>
      <c r="AL48" s="231">
        <v>0</v>
      </c>
      <c r="AM48" s="231">
        <v>0</v>
      </c>
      <c r="AN48" s="231">
        <v>0</v>
      </c>
    </row>
    <row r="49" spans="3:40" x14ac:dyDescent="0.3">
      <c r="C49" s="231">
        <v>27</v>
      </c>
      <c r="D49" s="231">
        <v>5</v>
      </c>
      <c r="E49" s="231">
        <v>1</v>
      </c>
      <c r="F49" s="231">
        <v>8.1999999999999993</v>
      </c>
      <c r="G49" s="231">
        <v>0</v>
      </c>
      <c r="H49" s="231">
        <v>3.2</v>
      </c>
      <c r="I49" s="231">
        <v>0</v>
      </c>
      <c r="J49" s="231">
        <v>0</v>
      </c>
      <c r="K49" s="231">
        <v>3.5</v>
      </c>
      <c r="L49" s="231">
        <v>0</v>
      </c>
      <c r="M49" s="231">
        <v>0</v>
      </c>
      <c r="N49" s="231">
        <v>0</v>
      </c>
      <c r="O49" s="231">
        <v>0</v>
      </c>
      <c r="P49" s="231">
        <v>0</v>
      </c>
      <c r="Q49" s="231">
        <v>0</v>
      </c>
      <c r="R49" s="231">
        <v>0</v>
      </c>
      <c r="S49" s="231">
        <v>0</v>
      </c>
      <c r="T49" s="231">
        <v>0</v>
      </c>
      <c r="U49" s="231">
        <v>0</v>
      </c>
      <c r="V49" s="231">
        <v>0</v>
      </c>
      <c r="W49" s="231">
        <v>0</v>
      </c>
      <c r="X49" s="231">
        <v>1</v>
      </c>
      <c r="Y49" s="231">
        <v>0</v>
      </c>
      <c r="Z49" s="231">
        <v>0</v>
      </c>
      <c r="AA49" s="231">
        <v>0</v>
      </c>
      <c r="AB49" s="231">
        <v>0</v>
      </c>
      <c r="AC49" s="231">
        <v>0</v>
      </c>
      <c r="AD49" s="231">
        <v>0</v>
      </c>
      <c r="AE49" s="231">
        <v>0</v>
      </c>
      <c r="AF49" s="231">
        <v>0</v>
      </c>
      <c r="AG49" s="231">
        <v>0</v>
      </c>
      <c r="AH49" s="231">
        <v>0</v>
      </c>
      <c r="AI49" s="231">
        <v>0</v>
      </c>
      <c r="AJ49" s="231">
        <v>0</v>
      </c>
      <c r="AK49" s="231">
        <v>0</v>
      </c>
      <c r="AL49" s="231">
        <v>0</v>
      </c>
      <c r="AM49" s="231">
        <v>0.5</v>
      </c>
      <c r="AN49" s="231">
        <v>0</v>
      </c>
    </row>
    <row r="50" spans="3:40" x14ac:dyDescent="0.3">
      <c r="C50" s="231">
        <v>27</v>
      </c>
      <c r="D50" s="231">
        <v>5</v>
      </c>
      <c r="E50" s="231">
        <v>2</v>
      </c>
      <c r="F50" s="231">
        <v>1396.4</v>
      </c>
      <c r="G50" s="231">
        <v>0</v>
      </c>
      <c r="H50" s="231">
        <v>538.4</v>
      </c>
      <c r="I50" s="231">
        <v>0</v>
      </c>
      <c r="J50" s="231">
        <v>0</v>
      </c>
      <c r="K50" s="231">
        <v>600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176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v>0</v>
      </c>
      <c r="AF50" s="231">
        <v>0</v>
      </c>
      <c r="AG50" s="231">
        <v>0</v>
      </c>
      <c r="AH50" s="231">
        <v>0</v>
      </c>
      <c r="AI50" s="231">
        <v>0</v>
      </c>
      <c r="AJ50" s="231">
        <v>0</v>
      </c>
      <c r="AK50" s="231">
        <v>0</v>
      </c>
      <c r="AL50" s="231">
        <v>0</v>
      </c>
      <c r="AM50" s="231">
        <v>82</v>
      </c>
      <c r="AN50" s="231">
        <v>0</v>
      </c>
    </row>
    <row r="51" spans="3:40" x14ac:dyDescent="0.3">
      <c r="C51" s="231">
        <v>27</v>
      </c>
      <c r="D51" s="231">
        <v>5</v>
      </c>
      <c r="E51" s="231">
        <v>3</v>
      </c>
      <c r="F51" s="231">
        <v>0</v>
      </c>
      <c r="G51" s="231">
        <v>0</v>
      </c>
      <c r="H51" s="231">
        <v>0</v>
      </c>
      <c r="I51" s="231">
        <v>0</v>
      </c>
      <c r="J51" s="231">
        <v>0</v>
      </c>
      <c r="K51" s="231">
        <v>0</v>
      </c>
      <c r="L51" s="231">
        <v>0</v>
      </c>
      <c r="M51" s="231">
        <v>0</v>
      </c>
      <c r="N51" s="231">
        <v>0</v>
      </c>
      <c r="O51" s="231">
        <v>0</v>
      </c>
      <c r="P51" s="231">
        <v>0</v>
      </c>
      <c r="Q51" s="231">
        <v>0</v>
      </c>
      <c r="R51" s="231">
        <v>0</v>
      </c>
      <c r="S51" s="231">
        <v>0</v>
      </c>
      <c r="T51" s="231">
        <v>0</v>
      </c>
      <c r="U51" s="231">
        <v>0</v>
      </c>
      <c r="V51" s="231">
        <v>0</v>
      </c>
      <c r="W51" s="231">
        <v>0</v>
      </c>
      <c r="X51" s="231">
        <v>0</v>
      </c>
      <c r="Y51" s="231">
        <v>0</v>
      </c>
      <c r="Z51" s="231">
        <v>0</v>
      </c>
      <c r="AA51" s="231">
        <v>0</v>
      </c>
      <c r="AB51" s="231">
        <v>0</v>
      </c>
      <c r="AC51" s="231">
        <v>0</v>
      </c>
      <c r="AD51" s="231">
        <v>0</v>
      </c>
      <c r="AE51" s="231">
        <v>0</v>
      </c>
      <c r="AF51" s="231">
        <v>0</v>
      </c>
      <c r="AG51" s="231">
        <v>0</v>
      </c>
      <c r="AH51" s="231">
        <v>0</v>
      </c>
      <c r="AI51" s="231">
        <v>0</v>
      </c>
      <c r="AJ51" s="231">
        <v>0</v>
      </c>
      <c r="AK51" s="231">
        <v>0</v>
      </c>
      <c r="AL51" s="231">
        <v>0</v>
      </c>
      <c r="AM51" s="231">
        <v>0</v>
      </c>
      <c r="AN51" s="231">
        <v>0</v>
      </c>
    </row>
    <row r="52" spans="3:40" x14ac:dyDescent="0.3">
      <c r="C52" s="231">
        <v>27</v>
      </c>
      <c r="D52" s="231">
        <v>5</v>
      </c>
      <c r="E52" s="231">
        <v>4</v>
      </c>
      <c r="F52" s="231">
        <v>0</v>
      </c>
      <c r="G52" s="231">
        <v>0</v>
      </c>
      <c r="H52" s="231">
        <v>0</v>
      </c>
      <c r="I52" s="231">
        <v>0</v>
      </c>
      <c r="J52" s="231">
        <v>0</v>
      </c>
      <c r="K52" s="231">
        <v>0</v>
      </c>
      <c r="L52" s="231">
        <v>0</v>
      </c>
      <c r="M52" s="231">
        <v>0</v>
      </c>
      <c r="N52" s="231">
        <v>0</v>
      </c>
      <c r="O52" s="231">
        <v>0</v>
      </c>
      <c r="P52" s="231">
        <v>0</v>
      </c>
      <c r="Q52" s="231">
        <v>0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v>0</v>
      </c>
      <c r="AF52" s="231">
        <v>0</v>
      </c>
      <c r="AG52" s="231">
        <v>0</v>
      </c>
      <c r="AH52" s="231">
        <v>0</v>
      </c>
      <c r="AI52" s="231">
        <v>0</v>
      </c>
      <c r="AJ52" s="231">
        <v>0</v>
      </c>
      <c r="AK52" s="231">
        <v>0</v>
      </c>
      <c r="AL52" s="231">
        <v>0</v>
      </c>
      <c r="AM52" s="231">
        <v>0</v>
      </c>
      <c r="AN52" s="231">
        <v>0</v>
      </c>
    </row>
    <row r="53" spans="3:40" x14ac:dyDescent="0.3">
      <c r="C53" s="231">
        <v>27</v>
      </c>
      <c r="D53" s="231">
        <v>5</v>
      </c>
      <c r="E53" s="231">
        <v>5</v>
      </c>
      <c r="F53" s="231">
        <v>0</v>
      </c>
      <c r="G53" s="231">
        <v>0</v>
      </c>
      <c r="H53" s="231">
        <v>0</v>
      </c>
      <c r="I53" s="231">
        <v>0</v>
      </c>
      <c r="J53" s="231">
        <v>0</v>
      </c>
      <c r="K53" s="231">
        <v>0</v>
      </c>
      <c r="L53" s="231">
        <v>0</v>
      </c>
      <c r="M53" s="231">
        <v>0</v>
      </c>
      <c r="N53" s="231">
        <v>0</v>
      </c>
      <c r="O53" s="231">
        <v>0</v>
      </c>
      <c r="P53" s="231">
        <v>0</v>
      </c>
      <c r="Q53" s="231">
        <v>0</v>
      </c>
      <c r="R53" s="231">
        <v>0</v>
      </c>
      <c r="S53" s="231">
        <v>0</v>
      </c>
      <c r="T53" s="231">
        <v>0</v>
      </c>
      <c r="U53" s="231">
        <v>0</v>
      </c>
      <c r="V53" s="231">
        <v>0</v>
      </c>
      <c r="W53" s="231">
        <v>0</v>
      </c>
      <c r="X53" s="231">
        <v>0</v>
      </c>
      <c r="Y53" s="231">
        <v>0</v>
      </c>
      <c r="Z53" s="231">
        <v>0</v>
      </c>
      <c r="AA53" s="231">
        <v>0</v>
      </c>
      <c r="AB53" s="231">
        <v>0</v>
      </c>
      <c r="AC53" s="231">
        <v>0</v>
      </c>
      <c r="AD53" s="231">
        <v>0</v>
      </c>
      <c r="AE53" s="231">
        <v>0</v>
      </c>
      <c r="AF53" s="231">
        <v>0</v>
      </c>
      <c r="AG53" s="231">
        <v>0</v>
      </c>
      <c r="AH53" s="231">
        <v>0</v>
      </c>
      <c r="AI53" s="231">
        <v>0</v>
      </c>
      <c r="AJ53" s="231">
        <v>0</v>
      </c>
      <c r="AK53" s="231">
        <v>0</v>
      </c>
      <c r="AL53" s="231">
        <v>0</v>
      </c>
      <c r="AM53" s="231">
        <v>0</v>
      </c>
      <c r="AN53" s="231">
        <v>0</v>
      </c>
    </row>
    <row r="54" spans="3:40" x14ac:dyDescent="0.3">
      <c r="C54" s="231">
        <v>27</v>
      </c>
      <c r="D54" s="231">
        <v>5</v>
      </c>
      <c r="E54" s="231">
        <v>6</v>
      </c>
      <c r="F54" s="231">
        <v>282851</v>
      </c>
      <c r="G54" s="231">
        <v>0</v>
      </c>
      <c r="H54" s="231">
        <v>153240</v>
      </c>
      <c r="I54" s="231">
        <v>0</v>
      </c>
      <c r="J54" s="231">
        <v>0</v>
      </c>
      <c r="K54" s="231">
        <v>95140</v>
      </c>
      <c r="L54" s="231">
        <v>0</v>
      </c>
      <c r="M54" s="231">
        <v>0</v>
      </c>
      <c r="N54" s="231">
        <v>0</v>
      </c>
      <c r="O54" s="231">
        <v>0</v>
      </c>
      <c r="P54" s="231">
        <v>0</v>
      </c>
      <c r="Q54" s="231">
        <v>0</v>
      </c>
      <c r="R54" s="231">
        <v>0</v>
      </c>
      <c r="S54" s="231">
        <v>0</v>
      </c>
      <c r="T54" s="231">
        <v>0</v>
      </c>
      <c r="U54" s="231">
        <v>0</v>
      </c>
      <c r="V54" s="231">
        <v>0</v>
      </c>
      <c r="W54" s="231">
        <v>0</v>
      </c>
      <c r="X54" s="231">
        <v>26420</v>
      </c>
      <c r="Y54" s="231">
        <v>0</v>
      </c>
      <c r="Z54" s="231">
        <v>0</v>
      </c>
      <c r="AA54" s="231">
        <v>0</v>
      </c>
      <c r="AB54" s="231">
        <v>0</v>
      </c>
      <c r="AC54" s="231">
        <v>0</v>
      </c>
      <c r="AD54" s="231">
        <v>0</v>
      </c>
      <c r="AE54" s="231">
        <v>0</v>
      </c>
      <c r="AF54" s="231">
        <v>0</v>
      </c>
      <c r="AG54" s="231">
        <v>0</v>
      </c>
      <c r="AH54" s="231">
        <v>0</v>
      </c>
      <c r="AI54" s="231">
        <v>0</v>
      </c>
      <c r="AJ54" s="231">
        <v>0</v>
      </c>
      <c r="AK54" s="231">
        <v>0</v>
      </c>
      <c r="AL54" s="231">
        <v>0</v>
      </c>
      <c r="AM54" s="231">
        <v>8051</v>
      </c>
      <c r="AN54" s="231">
        <v>0</v>
      </c>
    </row>
    <row r="55" spans="3:40" x14ac:dyDescent="0.3">
      <c r="C55" s="231">
        <v>27</v>
      </c>
      <c r="D55" s="231">
        <v>5</v>
      </c>
      <c r="E55" s="231">
        <v>7</v>
      </c>
      <c r="F55" s="231">
        <v>0</v>
      </c>
      <c r="G55" s="231">
        <v>0</v>
      </c>
      <c r="H55" s="231">
        <v>0</v>
      </c>
      <c r="I55" s="231">
        <v>0</v>
      </c>
      <c r="J55" s="231">
        <v>0</v>
      </c>
      <c r="K55" s="231">
        <v>0</v>
      </c>
      <c r="L55" s="231">
        <v>0</v>
      </c>
      <c r="M55" s="231">
        <v>0</v>
      </c>
      <c r="N55" s="231">
        <v>0</v>
      </c>
      <c r="O55" s="231">
        <v>0</v>
      </c>
      <c r="P55" s="231">
        <v>0</v>
      </c>
      <c r="Q55" s="231">
        <v>0</v>
      </c>
      <c r="R55" s="231">
        <v>0</v>
      </c>
      <c r="S55" s="231">
        <v>0</v>
      </c>
      <c r="T55" s="231">
        <v>0</v>
      </c>
      <c r="U55" s="231">
        <v>0</v>
      </c>
      <c r="V55" s="231">
        <v>0</v>
      </c>
      <c r="W55" s="231">
        <v>0</v>
      </c>
      <c r="X55" s="231">
        <v>0</v>
      </c>
      <c r="Y55" s="231">
        <v>0</v>
      </c>
      <c r="Z55" s="231">
        <v>0</v>
      </c>
      <c r="AA55" s="231">
        <v>0</v>
      </c>
      <c r="AB55" s="231">
        <v>0</v>
      </c>
      <c r="AC55" s="231">
        <v>0</v>
      </c>
      <c r="AD55" s="231">
        <v>0</v>
      </c>
      <c r="AE55" s="231">
        <v>0</v>
      </c>
      <c r="AF55" s="231">
        <v>0</v>
      </c>
      <c r="AG55" s="231">
        <v>0</v>
      </c>
      <c r="AH55" s="231">
        <v>0</v>
      </c>
      <c r="AI55" s="231">
        <v>0</v>
      </c>
      <c r="AJ55" s="231">
        <v>0</v>
      </c>
      <c r="AK55" s="231">
        <v>0</v>
      </c>
      <c r="AL55" s="231">
        <v>0</v>
      </c>
      <c r="AM55" s="231">
        <v>0</v>
      </c>
      <c r="AN55" s="231">
        <v>0</v>
      </c>
    </row>
    <row r="56" spans="3:40" x14ac:dyDescent="0.3">
      <c r="C56" s="231">
        <v>27</v>
      </c>
      <c r="D56" s="231">
        <v>5</v>
      </c>
      <c r="E56" s="231">
        <v>8</v>
      </c>
      <c r="F56" s="231">
        <v>0</v>
      </c>
      <c r="G56" s="231">
        <v>0</v>
      </c>
      <c r="H56" s="231">
        <v>0</v>
      </c>
      <c r="I56" s="231">
        <v>0</v>
      </c>
      <c r="J56" s="231">
        <v>0</v>
      </c>
      <c r="K56" s="231">
        <v>0</v>
      </c>
      <c r="L56" s="231">
        <v>0</v>
      </c>
      <c r="M56" s="231">
        <v>0</v>
      </c>
      <c r="N56" s="231">
        <v>0</v>
      </c>
      <c r="O56" s="231">
        <v>0</v>
      </c>
      <c r="P56" s="231">
        <v>0</v>
      </c>
      <c r="Q56" s="231">
        <v>0</v>
      </c>
      <c r="R56" s="231">
        <v>0</v>
      </c>
      <c r="S56" s="231">
        <v>0</v>
      </c>
      <c r="T56" s="231">
        <v>0</v>
      </c>
      <c r="U56" s="231">
        <v>0</v>
      </c>
      <c r="V56" s="231">
        <v>0</v>
      </c>
      <c r="W56" s="231">
        <v>0</v>
      </c>
      <c r="X56" s="231">
        <v>0</v>
      </c>
      <c r="Y56" s="231">
        <v>0</v>
      </c>
      <c r="Z56" s="231">
        <v>0</v>
      </c>
      <c r="AA56" s="231">
        <v>0</v>
      </c>
      <c r="AB56" s="231">
        <v>0</v>
      </c>
      <c r="AC56" s="231">
        <v>0</v>
      </c>
      <c r="AD56" s="231">
        <v>0</v>
      </c>
      <c r="AE56" s="231">
        <v>0</v>
      </c>
      <c r="AF56" s="231">
        <v>0</v>
      </c>
      <c r="AG56" s="231">
        <v>0</v>
      </c>
      <c r="AH56" s="231">
        <v>0</v>
      </c>
      <c r="AI56" s="231">
        <v>0</v>
      </c>
      <c r="AJ56" s="231">
        <v>0</v>
      </c>
      <c r="AK56" s="231">
        <v>0</v>
      </c>
      <c r="AL56" s="231">
        <v>0</v>
      </c>
      <c r="AM56" s="231">
        <v>0</v>
      </c>
      <c r="AN56" s="231">
        <v>0</v>
      </c>
    </row>
    <row r="57" spans="3:40" x14ac:dyDescent="0.3">
      <c r="C57" s="231">
        <v>27</v>
      </c>
      <c r="D57" s="231">
        <v>5</v>
      </c>
      <c r="E57" s="231">
        <v>9</v>
      </c>
      <c r="F57" s="231">
        <v>0</v>
      </c>
      <c r="G57" s="231">
        <v>0</v>
      </c>
      <c r="H57" s="231">
        <v>0</v>
      </c>
      <c r="I57" s="231">
        <v>0</v>
      </c>
      <c r="J57" s="231">
        <v>0</v>
      </c>
      <c r="K57" s="231">
        <v>0</v>
      </c>
      <c r="L57" s="231">
        <v>0</v>
      </c>
      <c r="M57" s="231">
        <v>0</v>
      </c>
      <c r="N57" s="231">
        <v>0</v>
      </c>
      <c r="O57" s="231">
        <v>0</v>
      </c>
      <c r="P57" s="231">
        <v>0</v>
      </c>
      <c r="Q57" s="231">
        <v>0</v>
      </c>
      <c r="R57" s="231">
        <v>0</v>
      </c>
      <c r="S57" s="231">
        <v>0</v>
      </c>
      <c r="T57" s="231">
        <v>0</v>
      </c>
      <c r="U57" s="231">
        <v>0</v>
      </c>
      <c r="V57" s="231">
        <v>0</v>
      </c>
      <c r="W57" s="231">
        <v>0</v>
      </c>
      <c r="X57" s="231">
        <v>0</v>
      </c>
      <c r="Y57" s="231">
        <v>0</v>
      </c>
      <c r="Z57" s="231">
        <v>0</v>
      </c>
      <c r="AA57" s="231">
        <v>0</v>
      </c>
      <c r="AB57" s="231">
        <v>0</v>
      </c>
      <c r="AC57" s="231">
        <v>0</v>
      </c>
      <c r="AD57" s="231">
        <v>0</v>
      </c>
      <c r="AE57" s="231">
        <v>0</v>
      </c>
      <c r="AF57" s="231">
        <v>0</v>
      </c>
      <c r="AG57" s="231">
        <v>0</v>
      </c>
      <c r="AH57" s="231">
        <v>0</v>
      </c>
      <c r="AI57" s="231">
        <v>0</v>
      </c>
      <c r="AJ57" s="231">
        <v>0</v>
      </c>
      <c r="AK57" s="231">
        <v>0</v>
      </c>
      <c r="AL57" s="231">
        <v>0</v>
      </c>
      <c r="AM57" s="231">
        <v>0</v>
      </c>
      <c r="AN57" s="231">
        <v>0</v>
      </c>
    </row>
    <row r="58" spans="3:40" x14ac:dyDescent="0.3">
      <c r="C58" s="231">
        <v>27</v>
      </c>
      <c r="D58" s="231">
        <v>5</v>
      </c>
      <c r="E58" s="231">
        <v>10</v>
      </c>
      <c r="F58" s="231">
        <v>0</v>
      </c>
      <c r="G58" s="231">
        <v>0</v>
      </c>
      <c r="H58" s="231">
        <v>0</v>
      </c>
      <c r="I58" s="231">
        <v>0</v>
      </c>
      <c r="J58" s="231">
        <v>0</v>
      </c>
      <c r="K58" s="231">
        <v>0</v>
      </c>
      <c r="L58" s="231">
        <v>0</v>
      </c>
      <c r="M58" s="231">
        <v>0</v>
      </c>
      <c r="N58" s="231">
        <v>0</v>
      </c>
      <c r="O58" s="231">
        <v>0</v>
      </c>
      <c r="P58" s="231">
        <v>0</v>
      </c>
      <c r="Q58" s="231">
        <v>0</v>
      </c>
      <c r="R58" s="231">
        <v>0</v>
      </c>
      <c r="S58" s="231">
        <v>0</v>
      </c>
      <c r="T58" s="231">
        <v>0</v>
      </c>
      <c r="U58" s="231">
        <v>0</v>
      </c>
      <c r="V58" s="231">
        <v>0</v>
      </c>
      <c r="W58" s="231">
        <v>0</v>
      </c>
      <c r="X58" s="231">
        <v>0</v>
      </c>
      <c r="Y58" s="231">
        <v>0</v>
      </c>
      <c r="Z58" s="231">
        <v>0</v>
      </c>
      <c r="AA58" s="231">
        <v>0</v>
      </c>
      <c r="AB58" s="231">
        <v>0</v>
      </c>
      <c r="AC58" s="231">
        <v>0</v>
      </c>
      <c r="AD58" s="231">
        <v>0</v>
      </c>
      <c r="AE58" s="231">
        <v>0</v>
      </c>
      <c r="AF58" s="231">
        <v>0</v>
      </c>
      <c r="AG58" s="231">
        <v>0</v>
      </c>
      <c r="AH58" s="231">
        <v>0</v>
      </c>
      <c r="AI58" s="231">
        <v>0</v>
      </c>
      <c r="AJ58" s="231">
        <v>0</v>
      </c>
      <c r="AK58" s="231">
        <v>0</v>
      </c>
      <c r="AL58" s="231">
        <v>0</v>
      </c>
      <c r="AM58" s="231">
        <v>0</v>
      </c>
      <c r="AN58" s="231">
        <v>0</v>
      </c>
    </row>
    <row r="59" spans="3:40" x14ac:dyDescent="0.3">
      <c r="C59" s="231">
        <v>27</v>
      </c>
      <c r="D59" s="231">
        <v>5</v>
      </c>
      <c r="E59" s="231">
        <v>11</v>
      </c>
      <c r="F59" s="231">
        <v>944.25</v>
      </c>
      <c r="G59" s="231">
        <v>0</v>
      </c>
      <c r="H59" s="231">
        <v>944.25</v>
      </c>
      <c r="I59" s="231">
        <v>0</v>
      </c>
      <c r="J59" s="231">
        <v>0</v>
      </c>
      <c r="K59" s="231">
        <v>0</v>
      </c>
      <c r="L59" s="231">
        <v>0</v>
      </c>
      <c r="M59" s="231">
        <v>0</v>
      </c>
      <c r="N59" s="231">
        <v>0</v>
      </c>
      <c r="O59" s="231">
        <v>0</v>
      </c>
      <c r="P59" s="231">
        <v>0</v>
      </c>
      <c r="Q59" s="231">
        <v>0</v>
      </c>
      <c r="R59" s="231">
        <v>0</v>
      </c>
      <c r="S59" s="231">
        <v>0</v>
      </c>
      <c r="T59" s="231">
        <v>0</v>
      </c>
      <c r="U59" s="231">
        <v>0</v>
      </c>
      <c r="V59" s="231">
        <v>0</v>
      </c>
      <c r="W59" s="231">
        <v>0</v>
      </c>
      <c r="X59" s="231">
        <v>0</v>
      </c>
      <c r="Y59" s="231">
        <v>0</v>
      </c>
      <c r="Z59" s="231">
        <v>0</v>
      </c>
      <c r="AA59" s="231">
        <v>0</v>
      </c>
      <c r="AB59" s="231">
        <v>0</v>
      </c>
      <c r="AC59" s="231">
        <v>0</v>
      </c>
      <c r="AD59" s="231">
        <v>0</v>
      </c>
      <c r="AE59" s="231">
        <v>0</v>
      </c>
      <c r="AF59" s="231">
        <v>0</v>
      </c>
      <c r="AG59" s="231">
        <v>0</v>
      </c>
      <c r="AH59" s="231">
        <v>0</v>
      </c>
      <c r="AI59" s="231">
        <v>0</v>
      </c>
      <c r="AJ59" s="231">
        <v>0</v>
      </c>
      <c r="AK59" s="231">
        <v>0</v>
      </c>
      <c r="AL59" s="231">
        <v>0</v>
      </c>
      <c r="AM59" s="231">
        <v>0</v>
      </c>
      <c r="AN59" s="231">
        <v>0</v>
      </c>
    </row>
    <row r="60" spans="3:40" x14ac:dyDescent="0.3">
      <c r="C60" s="231">
        <v>27</v>
      </c>
      <c r="D60" s="231">
        <v>6</v>
      </c>
      <c r="E60" s="231">
        <v>1</v>
      </c>
      <c r="F60" s="231">
        <v>8.1999999999999993</v>
      </c>
      <c r="G60" s="231">
        <v>0</v>
      </c>
      <c r="H60" s="231">
        <v>3.2</v>
      </c>
      <c r="I60" s="231">
        <v>0</v>
      </c>
      <c r="J60" s="231">
        <v>0</v>
      </c>
      <c r="K60" s="231">
        <v>3.5</v>
      </c>
      <c r="L60" s="231">
        <v>0</v>
      </c>
      <c r="M60" s="231">
        <v>0</v>
      </c>
      <c r="N60" s="231">
        <v>0</v>
      </c>
      <c r="O60" s="231">
        <v>0</v>
      </c>
      <c r="P60" s="231">
        <v>0</v>
      </c>
      <c r="Q60" s="231">
        <v>0</v>
      </c>
      <c r="R60" s="231">
        <v>0</v>
      </c>
      <c r="S60" s="231">
        <v>0</v>
      </c>
      <c r="T60" s="231">
        <v>0</v>
      </c>
      <c r="U60" s="231">
        <v>0</v>
      </c>
      <c r="V60" s="231">
        <v>0</v>
      </c>
      <c r="W60" s="231">
        <v>0</v>
      </c>
      <c r="X60" s="231">
        <v>1</v>
      </c>
      <c r="Y60" s="231">
        <v>0</v>
      </c>
      <c r="Z60" s="231">
        <v>0</v>
      </c>
      <c r="AA60" s="231">
        <v>0</v>
      </c>
      <c r="AB60" s="231">
        <v>0</v>
      </c>
      <c r="AC60" s="231">
        <v>0</v>
      </c>
      <c r="AD60" s="231">
        <v>0</v>
      </c>
      <c r="AE60" s="231">
        <v>0</v>
      </c>
      <c r="AF60" s="231">
        <v>0</v>
      </c>
      <c r="AG60" s="231">
        <v>0</v>
      </c>
      <c r="AH60" s="231">
        <v>0</v>
      </c>
      <c r="AI60" s="231">
        <v>0</v>
      </c>
      <c r="AJ60" s="231">
        <v>0</v>
      </c>
      <c r="AK60" s="231">
        <v>0</v>
      </c>
      <c r="AL60" s="231">
        <v>0</v>
      </c>
      <c r="AM60" s="231">
        <v>0.5</v>
      </c>
      <c r="AN60" s="231">
        <v>0</v>
      </c>
    </row>
    <row r="61" spans="3:40" x14ac:dyDescent="0.3">
      <c r="C61" s="231">
        <v>27</v>
      </c>
      <c r="D61" s="231">
        <v>6</v>
      </c>
      <c r="E61" s="231">
        <v>2</v>
      </c>
      <c r="F61" s="231">
        <v>1260</v>
      </c>
      <c r="G61" s="231">
        <v>0</v>
      </c>
      <c r="H61" s="231">
        <v>532</v>
      </c>
      <c r="I61" s="231">
        <v>0</v>
      </c>
      <c r="J61" s="231">
        <v>0</v>
      </c>
      <c r="K61" s="231">
        <v>516</v>
      </c>
      <c r="L61" s="231">
        <v>0</v>
      </c>
      <c r="M61" s="231">
        <v>0</v>
      </c>
      <c r="N61" s="231">
        <v>0</v>
      </c>
      <c r="O61" s="231">
        <v>0</v>
      </c>
      <c r="P61" s="231">
        <v>0</v>
      </c>
      <c r="Q61" s="231">
        <v>0</v>
      </c>
      <c r="R61" s="231">
        <v>0</v>
      </c>
      <c r="S61" s="231">
        <v>0</v>
      </c>
      <c r="T61" s="231">
        <v>0</v>
      </c>
      <c r="U61" s="231">
        <v>0</v>
      </c>
      <c r="V61" s="231">
        <v>0</v>
      </c>
      <c r="W61" s="231">
        <v>0</v>
      </c>
      <c r="X61" s="231">
        <v>136</v>
      </c>
      <c r="Y61" s="231">
        <v>0</v>
      </c>
      <c r="Z61" s="231">
        <v>0</v>
      </c>
      <c r="AA61" s="231">
        <v>0</v>
      </c>
      <c r="AB61" s="231">
        <v>0</v>
      </c>
      <c r="AC61" s="231">
        <v>0</v>
      </c>
      <c r="AD61" s="231">
        <v>0</v>
      </c>
      <c r="AE61" s="231">
        <v>0</v>
      </c>
      <c r="AF61" s="231">
        <v>0</v>
      </c>
      <c r="AG61" s="231">
        <v>0</v>
      </c>
      <c r="AH61" s="231">
        <v>0</v>
      </c>
      <c r="AI61" s="231">
        <v>0</v>
      </c>
      <c r="AJ61" s="231">
        <v>0</v>
      </c>
      <c r="AK61" s="231">
        <v>0</v>
      </c>
      <c r="AL61" s="231">
        <v>0</v>
      </c>
      <c r="AM61" s="231">
        <v>76</v>
      </c>
      <c r="AN61" s="231">
        <v>0</v>
      </c>
    </row>
    <row r="62" spans="3:40" x14ac:dyDescent="0.3">
      <c r="C62" s="231">
        <v>27</v>
      </c>
      <c r="D62" s="231">
        <v>6</v>
      </c>
      <c r="E62" s="231">
        <v>3</v>
      </c>
      <c r="F62" s="231">
        <v>0</v>
      </c>
      <c r="G62" s="231">
        <v>0</v>
      </c>
      <c r="H62" s="231">
        <v>0</v>
      </c>
      <c r="I62" s="231">
        <v>0</v>
      </c>
      <c r="J62" s="231">
        <v>0</v>
      </c>
      <c r="K62" s="231">
        <v>0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0</v>
      </c>
      <c r="S62" s="231">
        <v>0</v>
      </c>
      <c r="T62" s="231">
        <v>0</v>
      </c>
      <c r="U62" s="231">
        <v>0</v>
      </c>
      <c r="V62" s="231">
        <v>0</v>
      </c>
      <c r="W62" s="231">
        <v>0</v>
      </c>
      <c r="X62" s="231">
        <v>0</v>
      </c>
      <c r="Y62" s="231">
        <v>0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v>0</v>
      </c>
      <c r="AF62" s="231">
        <v>0</v>
      </c>
      <c r="AG62" s="231">
        <v>0</v>
      </c>
      <c r="AH62" s="231">
        <v>0</v>
      </c>
      <c r="AI62" s="231">
        <v>0</v>
      </c>
      <c r="AJ62" s="231">
        <v>0</v>
      </c>
      <c r="AK62" s="231">
        <v>0</v>
      </c>
      <c r="AL62" s="231">
        <v>0</v>
      </c>
      <c r="AM62" s="231">
        <v>0</v>
      </c>
      <c r="AN62" s="231">
        <v>0</v>
      </c>
    </row>
    <row r="63" spans="3:40" x14ac:dyDescent="0.3">
      <c r="C63" s="231">
        <v>27</v>
      </c>
      <c r="D63" s="231">
        <v>6</v>
      </c>
      <c r="E63" s="231">
        <v>4</v>
      </c>
      <c r="F63" s="231">
        <v>0</v>
      </c>
      <c r="G63" s="231">
        <v>0</v>
      </c>
      <c r="H63" s="231">
        <v>0</v>
      </c>
      <c r="I63" s="231">
        <v>0</v>
      </c>
      <c r="J63" s="231">
        <v>0</v>
      </c>
      <c r="K63" s="231">
        <v>0</v>
      </c>
      <c r="L63" s="231">
        <v>0</v>
      </c>
      <c r="M63" s="231">
        <v>0</v>
      </c>
      <c r="N63" s="231">
        <v>0</v>
      </c>
      <c r="O63" s="231">
        <v>0</v>
      </c>
      <c r="P63" s="231">
        <v>0</v>
      </c>
      <c r="Q63" s="231">
        <v>0</v>
      </c>
      <c r="R63" s="231">
        <v>0</v>
      </c>
      <c r="S63" s="231">
        <v>0</v>
      </c>
      <c r="T63" s="231">
        <v>0</v>
      </c>
      <c r="U63" s="231">
        <v>0</v>
      </c>
      <c r="V63" s="231">
        <v>0</v>
      </c>
      <c r="W63" s="231">
        <v>0</v>
      </c>
      <c r="X63" s="231">
        <v>0</v>
      </c>
      <c r="Y63" s="231">
        <v>0</v>
      </c>
      <c r="Z63" s="231">
        <v>0</v>
      </c>
      <c r="AA63" s="231">
        <v>0</v>
      </c>
      <c r="AB63" s="231">
        <v>0</v>
      </c>
      <c r="AC63" s="231">
        <v>0</v>
      </c>
      <c r="AD63" s="231">
        <v>0</v>
      </c>
      <c r="AE63" s="231">
        <v>0</v>
      </c>
      <c r="AF63" s="231">
        <v>0</v>
      </c>
      <c r="AG63" s="231">
        <v>0</v>
      </c>
      <c r="AH63" s="231">
        <v>0</v>
      </c>
      <c r="AI63" s="231">
        <v>0</v>
      </c>
      <c r="AJ63" s="231">
        <v>0</v>
      </c>
      <c r="AK63" s="231">
        <v>0</v>
      </c>
      <c r="AL63" s="231">
        <v>0</v>
      </c>
      <c r="AM63" s="231">
        <v>0</v>
      </c>
      <c r="AN63" s="231">
        <v>0</v>
      </c>
    </row>
    <row r="64" spans="3:40" x14ac:dyDescent="0.3">
      <c r="C64" s="231">
        <v>27</v>
      </c>
      <c r="D64" s="231">
        <v>6</v>
      </c>
      <c r="E64" s="231">
        <v>5</v>
      </c>
      <c r="F64" s="231">
        <v>0</v>
      </c>
      <c r="G64" s="231">
        <v>0</v>
      </c>
      <c r="H64" s="231">
        <v>0</v>
      </c>
      <c r="I64" s="231">
        <v>0</v>
      </c>
      <c r="J64" s="231">
        <v>0</v>
      </c>
      <c r="K64" s="231">
        <v>0</v>
      </c>
      <c r="L64" s="231">
        <v>0</v>
      </c>
      <c r="M64" s="231">
        <v>0</v>
      </c>
      <c r="N64" s="231">
        <v>0</v>
      </c>
      <c r="O64" s="231">
        <v>0</v>
      </c>
      <c r="P64" s="231">
        <v>0</v>
      </c>
      <c r="Q64" s="231">
        <v>0</v>
      </c>
      <c r="R64" s="231">
        <v>0</v>
      </c>
      <c r="S64" s="231">
        <v>0</v>
      </c>
      <c r="T64" s="231">
        <v>0</v>
      </c>
      <c r="U64" s="231">
        <v>0</v>
      </c>
      <c r="V64" s="231">
        <v>0</v>
      </c>
      <c r="W64" s="231">
        <v>0</v>
      </c>
      <c r="X64" s="231">
        <v>0</v>
      </c>
      <c r="Y64" s="231">
        <v>0</v>
      </c>
      <c r="Z64" s="231">
        <v>0</v>
      </c>
      <c r="AA64" s="231">
        <v>0</v>
      </c>
      <c r="AB64" s="231">
        <v>0</v>
      </c>
      <c r="AC64" s="231">
        <v>0</v>
      </c>
      <c r="AD64" s="231">
        <v>0</v>
      </c>
      <c r="AE64" s="231">
        <v>0</v>
      </c>
      <c r="AF64" s="231">
        <v>0</v>
      </c>
      <c r="AG64" s="231">
        <v>0</v>
      </c>
      <c r="AH64" s="231">
        <v>0</v>
      </c>
      <c r="AI64" s="231">
        <v>0</v>
      </c>
      <c r="AJ64" s="231">
        <v>0</v>
      </c>
      <c r="AK64" s="231">
        <v>0</v>
      </c>
      <c r="AL64" s="231">
        <v>0</v>
      </c>
      <c r="AM64" s="231">
        <v>0</v>
      </c>
      <c r="AN64" s="231">
        <v>0</v>
      </c>
    </row>
    <row r="65" spans="3:40" x14ac:dyDescent="0.3">
      <c r="C65" s="231">
        <v>27</v>
      </c>
      <c r="D65" s="231">
        <v>6</v>
      </c>
      <c r="E65" s="231">
        <v>6</v>
      </c>
      <c r="F65" s="231">
        <v>283109</v>
      </c>
      <c r="G65" s="231">
        <v>0</v>
      </c>
      <c r="H65" s="231">
        <v>152070</v>
      </c>
      <c r="I65" s="231">
        <v>0</v>
      </c>
      <c r="J65" s="231">
        <v>0</v>
      </c>
      <c r="K65" s="231">
        <v>96273</v>
      </c>
      <c r="L65" s="231">
        <v>0</v>
      </c>
      <c r="M65" s="231">
        <v>0</v>
      </c>
      <c r="N65" s="231">
        <v>0</v>
      </c>
      <c r="O65" s="231">
        <v>0</v>
      </c>
      <c r="P65" s="231">
        <v>0</v>
      </c>
      <c r="Q65" s="231">
        <v>0</v>
      </c>
      <c r="R65" s="231">
        <v>0</v>
      </c>
      <c r="S65" s="231">
        <v>0</v>
      </c>
      <c r="T65" s="231">
        <v>0</v>
      </c>
      <c r="U65" s="231">
        <v>0</v>
      </c>
      <c r="V65" s="231">
        <v>0</v>
      </c>
      <c r="W65" s="231">
        <v>0</v>
      </c>
      <c r="X65" s="231">
        <v>26732</v>
      </c>
      <c r="Y65" s="231">
        <v>0</v>
      </c>
      <c r="Z65" s="231">
        <v>0</v>
      </c>
      <c r="AA65" s="231">
        <v>0</v>
      </c>
      <c r="AB65" s="231">
        <v>0</v>
      </c>
      <c r="AC65" s="231">
        <v>0</v>
      </c>
      <c r="AD65" s="231">
        <v>0</v>
      </c>
      <c r="AE65" s="231">
        <v>0</v>
      </c>
      <c r="AF65" s="231">
        <v>0</v>
      </c>
      <c r="AG65" s="231">
        <v>0</v>
      </c>
      <c r="AH65" s="231">
        <v>0</v>
      </c>
      <c r="AI65" s="231">
        <v>0</v>
      </c>
      <c r="AJ65" s="231">
        <v>0</v>
      </c>
      <c r="AK65" s="231">
        <v>0</v>
      </c>
      <c r="AL65" s="231">
        <v>0</v>
      </c>
      <c r="AM65" s="231">
        <v>8034</v>
      </c>
      <c r="AN65" s="231">
        <v>0</v>
      </c>
    </row>
    <row r="66" spans="3:40" x14ac:dyDescent="0.3">
      <c r="C66" s="231">
        <v>27</v>
      </c>
      <c r="D66" s="231">
        <v>6</v>
      </c>
      <c r="E66" s="231">
        <v>7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0</v>
      </c>
      <c r="P66" s="231">
        <v>0</v>
      </c>
      <c r="Q66" s="231">
        <v>0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v>0</v>
      </c>
      <c r="AF66" s="231">
        <v>0</v>
      </c>
      <c r="AG66" s="231">
        <v>0</v>
      </c>
      <c r="AH66" s="231">
        <v>0</v>
      </c>
      <c r="AI66" s="231">
        <v>0</v>
      </c>
      <c r="AJ66" s="231">
        <v>0</v>
      </c>
      <c r="AK66" s="231">
        <v>0</v>
      </c>
      <c r="AL66" s="231">
        <v>0</v>
      </c>
      <c r="AM66" s="231">
        <v>0</v>
      </c>
      <c r="AN66" s="231">
        <v>0</v>
      </c>
    </row>
    <row r="67" spans="3:40" x14ac:dyDescent="0.3">
      <c r="C67" s="231">
        <v>27</v>
      </c>
      <c r="D67" s="231">
        <v>6</v>
      </c>
      <c r="E67" s="231">
        <v>8</v>
      </c>
      <c r="F67" s="231">
        <v>0</v>
      </c>
      <c r="G67" s="231">
        <v>0</v>
      </c>
      <c r="H67" s="231">
        <v>0</v>
      </c>
      <c r="I67" s="231">
        <v>0</v>
      </c>
      <c r="J67" s="231">
        <v>0</v>
      </c>
      <c r="K67" s="231">
        <v>0</v>
      </c>
      <c r="L67" s="231">
        <v>0</v>
      </c>
      <c r="M67" s="231">
        <v>0</v>
      </c>
      <c r="N67" s="231">
        <v>0</v>
      </c>
      <c r="O67" s="231">
        <v>0</v>
      </c>
      <c r="P67" s="231">
        <v>0</v>
      </c>
      <c r="Q67" s="231">
        <v>0</v>
      </c>
      <c r="R67" s="231">
        <v>0</v>
      </c>
      <c r="S67" s="231">
        <v>0</v>
      </c>
      <c r="T67" s="231">
        <v>0</v>
      </c>
      <c r="U67" s="231">
        <v>0</v>
      </c>
      <c r="V67" s="231">
        <v>0</v>
      </c>
      <c r="W67" s="231">
        <v>0</v>
      </c>
      <c r="X67" s="231">
        <v>0</v>
      </c>
      <c r="Y67" s="231">
        <v>0</v>
      </c>
      <c r="Z67" s="231">
        <v>0</v>
      </c>
      <c r="AA67" s="231">
        <v>0</v>
      </c>
      <c r="AB67" s="231">
        <v>0</v>
      </c>
      <c r="AC67" s="231">
        <v>0</v>
      </c>
      <c r="AD67" s="231">
        <v>0</v>
      </c>
      <c r="AE67" s="231">
        <v>0</v>
      </c>
      <c r="AF67" s="231">
        <v>0</v>
      </c>
      <c r="AG67" s="231">
        <v>0</v>
      </c>
      <c r="AH67" s="231">
        <v>0</v>
      </c>
      <c r="AI67" s="231">
        <v>0</v>
      </c>
      <c r="AJ67" s="231">
        <v>0</v>
      </c>
      <c r="AK67" s="231">
        <v>0</v>
      </c>
      <c r="AL67" s="231">
        <v>0</v>
      </c>
      <c r="AM67" s="231">
        <v>0</v>
      </c>
      <c r="AN67" s="231">
        <v>0</v>
      </c>
    </row>
    <row r="68" spans="3:40" x14ac:dyDescent="0.3">
      <c r="C68" s="231">
        <v>27</v>
      </c>
      <c r="D68" s="231">
        <v>6</v>
      </c>
      <c r="E68" s="231">
        <v>9</v>
      </c>
      <c r="F68" s="231">
        <v>0</v>
      </c>
      <c r="G68" s="231">
        <v>0</v>
      </c>
      <c r="H68" s="231">
        <v>0</v>
      </c>
      <c r="I68" s="231">
        <v>0</v>
      </c>
      <c r="J68" s="231">
        <v>0</v>
      </c>
      <c r="K68" s="231">
        <v>0</v>
      </c>
      <c r="L68" s="231">
        <v>0</v>
      </c>
      <c r="M68" s="231">
        <v>0</v>
      </c>
      <c r="N68" s="231">
        <v>0</v>
      </c>
      <c r="O68" s="231">
        <v>0</v>
      </c>
      <c r="P68" s="231">
        <v>0</v>
      </c>
      <c r="Q68" s="231">
        <v>0</v>
      </c>
      <c r="R68" s="231">
        <v>0</v>
      </c>
      <c r="S68" s="231">
        <v>0</v>
      </c>
      <c r="T68" s="231">
        <v>0</v>
      </c>
      <c r="U68" s="231">
        <v>0</v>
      </c>
      <c r="V68" s="231">
        <v>0</v>
      </c>
      <c r="W68" s="231">
        <v>0</v>
      </c>
      <c r="X68" s="231">
        <v>0</v>
      </c>
      <c r="Y68" s="231">
        <v>0</v>
      </c>
      <c r="Z68" s="231">
        <v>0</v>
      </c>
      <c r="AA68" s="231">
        <v>0</v>
      </c>
      <c r="AB68" s="231">
        <v>0</v>
      </c>
      <c r="AC68" s="231">
        <v>0</v>
      </c>
      <c r="AD68" s="231">
        <v>0</v>
      </c>
      <c r="AE68" s="231">
        <v>0</v>
      </c>
      <c r="AF68" s="231">
        <v>0</v>
      </c>
      <c r="AG68" s="231">
        <v>0</v>
      </c>
      <c r="AH68" s="231">
        <v>0</v>
      </c>
      <c r="AI68" s="231">
        <v>0</v>
      </c>
      <c r="AJ68" s="231">
        <v>0</v>
      </c>
      <c r="AK68" s="231">
        <v>0</v>
      </c>
      <c r="AL68" s="231">
        <v>0</v>
      </c>
      <c r="AM68" s="231">
        <v>0</v>
      </c>
      <c r="AN68" s="231">
        <v>0</v>
      </c>
    </row>
    <row r="69" spans="3:40" x14ac:dyDescent="0.3">
      <c r="C69" s="231">
        <v>27</v>
      </c>
      <c r="D69" s="231">
        <v>6</v>
      </c>
      <c r="E69" s="231">
        <v>10</v>
      </c>
      <c r="F69" s="231">
        <v>0</v>
      </c>
      <c r="G69" s="231">
        <v>0</v>
      </c>
      <c r="H69" s="231">
        <v>0</v>
      </c>
      <c r="I69" s="231">
        <v>0</v>
      </c>
      <c r="J69" s="231">
        <v>0</v>
      </c>
      <c r="K69" s="231">
        <v>0</v>
      </c>
      <c r="L69" s="231">
        <v>0</v>
      </c>
      <c r="M69" s="231">
        <v>0</v>
      </c>
      <c r="N69" s="231">
        <v>0</v>
      </c>
      <c r="O69" s="231">
        <v>0</v>
      </c>
      <c r="P69" s="231">
        <v>0</v>
      </c>
      <c r="Q69" s="231">
        <v>0</v>
      </c>
      <c r="R69" s="231">
        <v>0</v>
      </c>
      <c r="S69" s="231">
        <v>0</v>
      </c>
      <c r="T69" s="231">
        <v>0</v>
      </c>
      <c r="U69" s="231">
        <v>0</v>
      </c>
      <c r="V69" s="231">
        <v>0</v>
      </c>
      <c r="W69" s="231">
        <v>0</v>
      </c>
      <c r="X69" s="231">
        <v>0</v>
      </c>
      <c r="Y69" s="231">
        <v>0</v>
      </c>
      <c r="Z69" s="231">
        <v>0</v>
      </c>
      <c r="AA69" s="231">
        <v>0</v>
      </c>
      <c r="AB69" s="231">
        <v>0</v>
      </c>
      <c r="AC69" s="231">
        <v>0</v>
      </c>
      <c r="AD69" s="231">
        <v>0</v>
      </c>
      <c r="AE69" s="231">
        <v>0</v>
      </c>
      <c r="AF69" s="231">
        <v>0</v>
      </c>
      <c r="AG69" s="231">
        <v>0</v>
      </c>
      <c r="AH69" s="231">
        <v>0</v>
      </c>
      <c r="AI69" s="231">
        <v>0</v>
      </c>
      <c r="AJ69" s="231">
        <v>0</v>
      </c>
      <c r="AK69" s="231">
        <v>0</v>
      </c>
      <c r="AL69" s="231">
        <v>0</v>
      </c>
      <c r="AM69" s="231">
        <v>0</v>
      </c>
      <c r="AN69" s="231">
        <v>0</v>
      </c>
    </row>
    <row r="70" spans="3:40" x14ac:dyDescent="0.3">
      <c r="C70" s="231">
        <v>27</v>
      </c>
      <c r="D70" s="231">
        <v>6</v>
      </c>
      <c r="E70" s="231">
        <v>11</v>
      </c>
      <c r="F70" s="231">
        <v>944.25</v>
      </c>
      <c r="G70" s="231">
        <v>0</v>
      </c>
      <c r="H70" s="231">
        <v>944.25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0</v>
      </c>
      <c r="Q70" s="231">
        <v>0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v>0</v>
      </c>
      <c r="AF70" s="231">
        <v>0</v>
      </c>
      <c r="AG70" s="231">
        <v>0</v>
      </c>
      <c r="AH70" s="231">
        <v>0</v>
      </c>
      <c r="AI70" s="231">
        <v>0</v>
      </c>
      <c r="AJ70" s="231">
        <v>0</v>
      </c>
      <c r="AK70" s="231">
        <v>0</v>
      </c>
      <c r="AL70" s="231">
        <v>0</v>
      </c>
      <c r="AM70" s="231">
        <v>0</v>
      </c>
      <c r="AN70" s="231">
        <v>0</v>
      </c>
    </row>
    <row r="71" spans="3:40" x14ac:dyDescent="0.3">
      <c r="C71" s="231">
        <v>27</v>
      </c>
      <c r="D71" s="231">
        <v>7</v>
      </c>
      <c r="E71" s="231">
        <v>1</v>
      </c>
      <c r="F71" s="231">
        <v>8.1999999999999993</v>
      </c>
      <c r="G71" s="231">
        <v>0</v>
      </c>
      <c r="H71" s="231">
        <v>3.2</v>
      </c>
      <c r="I71" s="231">
        <v>0</v>
      </c>
      <c r="J71" s="231">
        <v>0</v>
      </c>
      <c r="K71" s="231">
        <v>3.5</v>
      </c>
      <c r="L71" s="231">
        <v>0</v>
      </c>
      <c r="M71" s="231">
        <v>0</v>
      </c>
      <c r="N71" s="231">
        <v>0</v>
      </c>
      <c r="O71" s="231">
        <v>0</v>
      </c>
      <c r="P71" s="231">
        <v>0</v>
      </c>
      <c r="Q71" s="231">
        <v>0</v>
      </c>
      <c r="R71" s="231">
        <v>0</v>
      </c>
      <c r="S71" s="231">
        <v>0</v>
      </c>
      <c r="T71" s="231">
        <v>0</v>
      </c>
      <c r="U71" s="231">
        <v>0</v>
      </c>
      <c r="V71" s="231">
        <v>0</v>
      </c>
      <c r="W71" s="231">
        <v>0</v>
      </c>
      <c r="X71" s="231">
        <v>1</v>
      </c>
      <c r="Y71" s="231">
        <v>0</v>
      </c>
      <c r="Z71" s="231">
        <v>0</v>
      </c>
      <c r="AA71" s="231">
        <v>0</v>
      </c>
      <c r="AB71" s="231">
        <v>0</v>
      </c>
      <c r="AC71" s="231">
        <v>0</v>
      </c>
      <c r="AD71" s="231">
        <v>0</v>
      </c>
      <c r="AE71" s="231">
        <v>0</v>
      </c>
      <c r="AF71" s="231">
        <v>0</v>
      </c>
      <c r="AG71" s="231">
        <v>0</v>
      </c>
      <c r="AH71" s="231">
        <v>0</v>
      </c>
      <c r="AI71" s="231">
        <v>0</v>
      </c>
      <c r="AJ71" s="231">
        <v>0</v>
      </c>
      <c r="AK71" s="231">
        <v>0</v>
      </c>
      <c r="AL71" s="231">
        <v>0</v>
      </c>
      <c r="AM71" s="231">
        <v>0.5</v>
      </c>
      <c r="AN71" s="231">
        <v>0</v>
      </c>
    </row>
    <row r="72" spans="3:40" x14ac:dyDescent="0.3">
      <c r="C72" s="231">
        <v>27</v>
      </c>
      <c r="D72" s="231">
        <v>7</v>
      </c>
      <c r="E72" s="231">
        <v>2</v>
      </c>
      <c r="F72" s="231">
        <v>1158.4000000000001</v>
      </c>
      <c r="G72" s="231">
        <v>0</v>
      </c>
      <c r="H72" s="231">
        <v>486.4</v>
      </c>
      <c r="I72" s="231">
        <v>0</v>
      </c>
      <c r="J72" s="231">
        <v>0</v>
      </c>
      <c r="K72" s="231">
        <v>488</v>
      </c>
      <c r="L72" s="231">
        <v>0</v>
      </c>
      <c r="M72" s="231">
        <v>0</v>
      </c>
      <c r="N72" s="231">
        <v>0</v>
      </c>
      <c r="O72" s="231">
        <v>0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0</v>
      </c>
      <c r="V72" s="231">
        <v>0</v>
      </c>
      <c r="W72" s="231">
        <v>0</v>
      </c>
      <c r="X72" s="231">
        <v>112</v>
      </c>
      <c r="Y72" s="231">
        <v>0</v>
      </c>
      <c r="Z72" s="231">
        <v>0</v>
      </c>
      <c r="AA72" s="231">
        <v>0</v>
      </c>
      <c r="AB72" s="231">
        <v>0</v>
      </c>
      <c r="AC72" s="231">
        <v>0</v>
      </c>
      <c r="AD72" s="231">
        <v>0</v>
      </c>
      <c r="AE72" s="231">
        <v>0</v>
      </c>
      <c r="AF72" s="231">
        <v>0</v>
      </c>
      <c r="AG72" s="231">
        <v>0</v>
      </c>
      <c r="AH72" s="231">
        <v>0</v>
      </c>
      <c r="AI72" s="231">
        <v>0</v>
      </c>
      <c r="AJ72" s="231">
        <v>0</v>
      </c>
      <c r="AK72" s="231">
        <v>0</v>
      </c>
      <c r="AL72" s="231">
        <v>0</v>
      </c>
      <c r="AM72" s="231">
        <v>72</v>
      </c>
      <c r="AN72" s="231">
        <v>0</v>
      </c>
    </row>
    <row r="73" spans="3:40" x14ac:dyDescent="0.3">
      <c r="C73" s="231">
        <v>27</v>
      </c>
      <c r="D73" s="231">
        <v>7</v>
      </c>
      <c r="E73" s="231">
        <v>3</v>
      </c>
      <c r="F73" s="231">
        <v>0</v>
      </c>
      <c r="G73" s="231">
        <v>0</v>
      </c>
      <c r="H73" s="231">
        <v>0</v>
      </c>
      <c r="I73" s="231">
        <v>0</v>
      </c>
      <c r="J73" s="231">
        <v>0</v>
      </c>
      <c r="K73" s="231">
        <v>0</v>
      </c>
      <c r="L73" s="231">
        <v>0</v>
      </c>
      <c r="M73" s="231">
        <v>0</v>
      </c>
      <c r="N73" s="231">
        <v>0</v>
      </c>
      <c r="O73" s="231">
        <v>0</v>
      </c>
      <c r="P73" s="231">
        <v>0</v>
      </c>
      <c r="Q73" s="231">
        <v>0</v>
      </c>
      <c r="R73" s="231">
        <v>0</v>
      </c>
      <c r="S73" s="231">
        <v>0</v>
      </c>
      <c r="T73" s="231">
        <v>0</v>
      </c>
      <c r="U73" s="231">
        <v>0</v>
      </c>
      <c r="V73" s="231">
        <v>0</v>
      </c>
      <c r="W73" s="231">
        <v>0</v>
      </c>
      <c r="X73" s="231">
        <v>0</v>
      </c>
      <c r="Y73" s="231">
        <v>0</v>
      </c>
      <c r="Z73" s="231">
        <v>0</v>
      </c>
      <c r="AA73" s="231">
        <v>0</v>
      </c>
      <c r="AB73" s="231">
        <v>0</v>
      </c>
      <c r="AC73" s="231">
        <v>0</v>
      </c>
      <c r="AD73" s="231">
        <v>0</v>
      </c>
      <c r="AE73" s="231">
        <v>0</v>
      </c>
      <c r="AF73" s="231">
        <v>0</v>
      </c>
      <c r="AG73" s="231">
        <v>0</v>
      </c>
      <c r="AH73" s="231">
        <v>0</v>
      </c>
      <c r="AI73" s="231">
        <v>0</v>
      </c>
      <c r="AJ73" s="231">
        <v>0</v>
      </c>
      <c r="AK73" s="231">
        <v>0</v>
      </c>
      <c r="AL73" s="231">
        <v>0</v>
      </c>
      <c r="AM73" s="231">
        <v>0</v>
      </c>
      <c r="AN73" s="231">
        <v>0</v>
      </c>
    </row>
    <row r="74" spans="3:40" x14ac:dyDescent="0.3">
      <c r="C74" s="231">
        <v>27</v>
      </c>
      <c r="D74" s="231">
        <v>7</v>
      </c>
      <c r="E74" s="231">
        <v>4</v>
      </c>
      <c r="F74" s="231">
        <v>0</v>
      </c>
      <c r="G74" s="231">
        <v>0</v>
      </c>
      <c r="H74" s="231">
        <v>0</v>
      </c>
      <c r="I74" s="231">
        <v>0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0</v>
      </c>
      <c r="Q74" s="231">
        <v>0</v>
      </c>
      <c r="R74" s="231">
        <v>0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0</v>
      </c>
      <c r="AC74" s="231">
        <v>0</v>
      </c>
      <c r="AD74" s="231">
        <v>0</v>
      </c>
      <c r="AE74" s="231">
        <v>0</v>
      </c>
      <c r="AF74" s="231">
        <v>0</v>
      </c>
      <c r="AG74" s="231">
        <v>0</v>
      </c>
      <c r="AH74" s="231">
        <v>0</v>
      </c>
      <c r="AI74" s="231">
        <v>0</v>
      </c>
      <c r="AJ74" s="231">
        <v>0</v>
      </c>
      <c r="AK74" s="231">
        <v>0</v>
      </c>
      <c r="AL74" s="231">
        <v>0</v>
      </c>
      <c r="AM74" s="231">
        <v>0</v>
      </c>
      <c r="AN74" s="231">
        <v>0</v>
      </c>
    </row>
    <row r="75" spans="3:40" x14ac:dyDescent="0.3">
      <c r="C75" s="231">
        <v>27</v>
      </c>
      <c r="D75" s="231">
        <v>7</v>
      </c>
      <c r="E75" s="231">
        <v>5</v>
      </c>
      <c r="F75" s="231">
        <v>0</v>
      </c>
      <c r="G75" s="231">
        <v>0</v>
      </c>
      <c r="H75" s="231">
        <v>0</v>
      </c>
      <c r="I75" s="231">
        <v>0</v>
      </c>
      <c r="J75" s="231">
        <v>0</v>
      </c>
      <c r="K75" s="231">
        <v>0</v>
      </c>
      <c r="L75" s="231">
        <v>0</v>
      </c>
      <c r="M75" s="231">
        <v>0</v>
      </c>
      <c r="N75" s="231">
        <v>0</v>
      </c>
      <c r="O75" s="231">
        <v>0</v>
      </c>
      <c r="P75" s="231">
        <v>0</v>
      </c>
      <c r="Q75" s="231">
        <v>0</v>
      </c>
      <c r="R75" s="231">
        <v>0</v>
      </c>
      <c r="S75" s="231">
        <v>0</v>
      </c>
      <c r="T75" s="231">
        <v>0</v>
      </c>
      <c r="U75" s="231">
        <v>0</v>
      </c>
      <c r="V75" s="231">
        <v>0</v>
      </c>
      <c r="W75" s="231">
        <v>0</v>
      </c>
      <c r="X75" s="231">
        <v>0</v>
      </c>
      <c r="Y75" s="231">
        <v>0</v>
      </c>
      <c r="Z75" s="231">
        <v>0</v>
      </c>
      <c r="AA75" s="231">
        <v>0</v>
      </c>
      <c r="AB75" s="231">
        <v>0</v>
      </c>
      <c r="AC75" s="231">
        <v>0</v>
      </c>
      <c r="AD75" s="231">
        <v>0</v>
      </c>
      <c r="AE75" s="231">
        <v>0</v>
      </c>
      <c r="AF75" s="231">
        <v>0</v>
      </c>
      <c r="AG75" s="231">
        <v>0</v>
      </c>
      <c r="AH75" s="231">
        <v>0</v>
      </c>
      <c r="AI75" s="231">
        <v>0</v>
      </c>
      <c r="AJ75" s="231">
        <v>0</v>
      </c>
      <c r="AK75" s="231">
        <v>0</v>
      </c>
      <c r="AL75" s="231">
        <v>0</v>
      </c>
      <c r="AM75" s="231">
        <v>0</v>
      </c>
      <c r="AN75" s="231">
        <v>0</v>
      </c>
    </row>
    <row r="76" spans="3:40" x14ac:dyDescent="0.3">
      <c r="C76" s="231">
        <v>27</v>
      </c>
      <c r="D76" s="231">
        <v>7</v>
      </c>
      <c r="E76" s="231">
        <v>6</v>
      </c>
      <c r="F76" s="231">
        <v>452024</v>
      </c>
      <c r="G76" s="231">
        <v>0</v>
      </c>
      <c r="H76" s="231">
        <v>248891</v>
      </c>
      <c r="I76" s="231">
        <v>0</v>
      </c>
      <c r="J76" s="231">
        <v>0</v>
      </c>
      <c r="K76" s="231">
        <v>152321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39105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v>0</v>
      </c>
      <c r="AF76" s="231">
        <v>0</v>
      </c>
      <c r="AG76" s="231">
        <v>0</v>
      </c>
      <c r="AH76" s="231">
        <v>0</v>
      </c>
      <c r="AI76" s="231">
        <v>0</v>
      </c>
      <c r="AJ76" s="231">
        <v>0</v>
      </c>
      <c r="AK76" s="231">
        <v>0</v>
      </c>
      <c r="AL76" s="231">
        <v>0</v>
      </c>
      <c r="AM76" s="231">
        <v>11707</v>
      </c>
      <c r="AN76" s="231">
        <v>0</v>
      </c>
    </row>
    <row r="77" spans="3:40" x14ac:dyDescent="0.3">
      <c r="C77" s="231">
        <v>27</v>
      </c>
      <c r="D77" s="231">
        <v>7</v>
      </c>
      <c r="E77" s="231">
        <v>7</v>
      </c>
      <c r="F77" s="231">
        <v>0</v>
      </c>
      <c r="G77" s="231">
        <v>0</v>
      </c>
      <c r="H77" s="231">
        <v>0</v>
      </c>
      <c r="I77" s="231">
        <v>0</v>
      </c>
      <c r="J77" s="231">
        <v>0</v>
      </c>
      <c r="K77" s="231">
        <v>0</v>
      </c>
      <c r="L77" s="231">
        <v>0</v>
      </c>
      <c r="M77" s="231">
        <v>0</v>
      </c>
      <c r="N77" s="231">
        <v>0</v>
      </c>
      <c r="O77" s="231">
        <v>0</v>
      </c>
      <c r="P77" s="231">
        <v>0</v>
      </c>
      <c r="Q77" s="231">
        <v>0</v>
      </c>
      <c r="R77" s="231">
        <v>0</v>
      </c>
      <c r="S77" s="231">
        <v>0</v>
      </c>
      <c r="T77" s="231">
        <v>0</v>
      </c>
      <c r="U77" s="231">
        <v>0</v>
      </c>
      <c r="V77" s="231">
        <v>0</v>
      </c>
      <c r="W77" s="231">
        <v>0</v>
      </c>
      <c r="X77" s="231">
        <v>0</v>
      </c>
      <c r="Y77" s="231">
        <v>0</v>
      </c>
      <c r="Z77" s="231">
        <v>0</v>
      </c>
      <c r="AA77" s="231">
        <v>0</v>
      </c>
      <c r="AB77" s="231">
        <v>0</v>
      </c>
      <c r="AC77" s="231">
        <v>0</v>
      </c>
      <c r="AD77" s="231">
        <v>0</v>
      </c>
      <c r="AE77" s="231">
        <v>0</v>
      </c>
      <c r="AF77" s="231">
        <v>0</v>
      </c>
      <c r="AG77" s="231">
        <v>0</v>
      </c>
      <c r="AH77" s="231">
        <v>0</v>
      </c>
      <c r="AI77" s="231">
        <v>0</v>
      </c>
      <c r="AJ77" s="231">
        <v>0</v>
      </c>
      <c r="AK77" s="231">
        <v>0</v>
      </c>
      <c r="AL77" s="231">
        <v>0</v>
      </c>
      <c r="AM77" s="231">
        <v>0</v>
      </c>
      <c r="AN77" s="231">
        <v>0</v>
      </c>
    </row>
    <row r="78" spans="3:40" x14ac:dyDescent="0.3">
      <c r="C78" s="231">
        <v>27</v>
      </c>
      <c r="D78" s="231">
        <v>7</v>
      </c>
      <c r="E78" s="231">
        <v>8</v>
      </c>
      <c r="F78" s="231">
        <v>0</v>
      </c>
      <c r="G78" s="231">
        <v>0</v>
      </c>
      <c r="H78" s="231">
        <v>0</v>
      </c>
      <c r="I78" s="231">
        <v>0</v>
      </c>
      <c r="J78" s="231">
        <v>0</v>
      </c>
      <c r="K78" s="231">
        <v>0</v>
      </c>
      <c r="L78" s="231">
        <v>0</v>
      </c>
      <c r="M78" s="231">
        <v>0</v>
      </c>
      <c r="N78" s="231">
        <v>0</v>
      </c>
      <c r="O78" s="231">
        <v>0</v>
      </c>
      <c r="P78" s="231">
        <v>0</v>
      </c>
      <c r="Q78" s="231">
        <v>0</v>
      </c>
      <c r="R78" s="231">
        <v>0</v>
      </c>
      <c r="S78" s="231">
        <v>0</v>
      </c>
      <c r="T78" s="231">
        <v>0</v>
      </c>
      <c r="U78" s="231">
        <v>0</v>
      </c>
      <c r="V78" s="231">
        <v>0</v>
      </c>
      <c r="W78" s="231">
        <v>0</v>
      </c>
      <c r="X78" s="231">
        <v>0</v>
      </c>
      <c r="Y78" s="231">
        <v>0</v>
      </c>
      <c r="Z78" s="231">
        <v>0</v>
      </c>
      <c r="AA78" s="231">
        <v>0</v>
      </c>
      <c r="AB78" s="231">
        <v>0</v>
      </c>
      <c r="AC78" s="231">
        <v>0</v>
      </c>
      <c r="AD78" s="231">
        <v>0</v>
      </c>
      <c r="AE78" s="231">
        <v>0</v>
      </c>
      <c r="AF78" s="231">
        <v>0</v>
      </c>
      <c r="AG78" s="231">
        <v>0</v>
      </c>
      <c r="AH78" s="231">
        <v>0</v>
      </c>
      <c r="AI78" s="231">
        <v>0</v>
      </c>
      <c r="AJ78" s="231">
        <v>0</v>
      </c>
      <c r="AK78" s="231">
        <v>0</v>
      </c>
      <c r="AL78" s="231">
        <v>0</v>
      </c>
      <c r="AM78" s="231">
        <v>0</v>
      </c>
      <c r="AN78" s="231">
        <v>0</v>
      </c>
    </row>
    <row r="79" spans="3:40" x14ac:dyDescent="0.3">
      <c r="C79" s="231">
        <v>27</v>
      </c>
      <c r="D79" s="231">
        <v>7</v>
      </c>
      <c r="E79" s="231">
        <v>9</v>
      </c>
      <c r="F79" s="231">
        <v>166475</v>
      </c>
      <c r="G79" s="231">
        <v>0</v>
      </c>
      <c r="H79" s="231">
        <v>95018</v>
      </c>
      <c r="I79" s="231">
        <v>0</v>
      </c>
      <c r="J79" s="231">
        <v>0</v>
      </c>
      <c r="K79" s="231">
        <v>55799</v>
      </c>
      <c r="L79" s="231">
        <v>0</v>
      </c>
      <c r="M79" s="231">
        <v>0</v>
      </c>
      <c r="N79" s="231">
        <v>0</v>
      </c>
      <c r="O79" s="231">
        <v>0</v>
      </c>
      <c r="P79" s="231">
        <v>0</v>
      </c>
      <c r="Q79" s="231">
        <v>0</v>
      </c>
      <c r="R79" s="231">
        <v>0</v>
      </c>
      <c r="S79" s="231">
        <v>0</v>
      </c>
      <c r="T79" s="231">
        <v>0</v>
      </c>
      <c r="U79" s="231">
        <v>0</v>
      </c>
      <c r="V79" s="231">
        <v>0</v>
      </c>
      <c r="W79" s="231">
        <v>0</v>
      </c>
      <c r="X79" s="231">
        <v>12058</v>
      </c>
      <c r="Y79" s="231">
        <v>0</v>
      </c>
      <c r="Z79" s="231">
        <v>0</v>
      </c>
      <c r="AA79" s="231">
        <v>0</v>
      </c>
      <c r="AB79" s="231">
        <v>0</v>
      </c>
      <c r="AC79" s="231">
        <v>0</v>
      </c>
      <c r="AD79" s="231">
        <v>0</v>
      </c>
      <c r="AE79" s="231">
        <v>0</v>
      </c>
      <c r="AF79" s="231">
        <v>0</v>
      </c>
      <c r="AG79" s="231">
        <v>0</v>
      </c>
      <c r="AH79" s="231">
        <v>0</v>
      </c>
      <c r="AI79" s="231">
        <v>0</v>
      </c>
      <c r="AJ79" s="231">
        <v>0</v>
      </c>
      <c r="AK79" s="231">
        <v>0</v>
      </c>
      <c r="AL79" s="231">
        <v>0</v>
      </c>
      <c r="AM79" s="231">
        <v>3600</v>
      </c>
      <c r="AN79" s="231">
        <v>0</v>
      </c>
    </row>
    <row r="80" spans="3:40" x14ac:dyDescent="0.3">
      <c r="C80" s="231">
        <v>27</v>
      </c>
      <c r="D80" s="231">
        <v>7</v>
      </c>
      <c r="E80" s="231">
        <v>10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0</v>
      </c>
      <c r="Q80" s="231">
        <v>0</v>
      </c>
      <c r="R80" s="231">
        <v>0</v>
      </c>
      <c r="S80" s="231">
        <v>0</v>
      </c>
      <c r="T80" s="231">
        <v>0</v>
      </c>
      <c r="U80" s="231">
        <v>0</v>
      </c>
      <c r="V80" s="231">
        <v>0</v>
      </c>
      <c r="W80" s="231">
        <v>0</v>
      </c>
      <c r="X80" s="231">
        <v>0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v>0</v>
      </c>
      <c r="AF80" s="231">
        <v>0</v>
      </c>
      <c r="AG80" s="231">
        <v>0</v>
      </c>
      <c r="AH80" s="231">
        <v>0</v>
      </c>
      <c r="AI80" s="231">
        <v>0</v>
      </c>
      <c r="AJ80" s="231">
        <v>0</v>
      </c>
      <c r="AK80" s="231">
        <v>0</v>
      </c>
      <c r="AL80" s="231">
        <v>0</v>
      </c>
      <c r="AM80" s="231">
        <v>0</v>
      </c>
      <c r="AN80" s="231">
        <v>0</v>
      </c>
    </row>
    <row r="81" spans="3:40" x14ac:dyDescent="0.3">
      <c r="C81" s="231">
        <v>27</v>
      </c>
      <c r="D81" s="231">
        <v>7</v>
      </c>
      <c r="E81" s="231">
        <v>11</v>
      </c>
      <c r="F81" s="231">
        <v>944.25</v>
      </c>
      <c r="G81" s="231">
        <v>0</v>
      </c>
      <c r="H81" s="231">
        <v>944.25</v>
      </c>
      <c r="I81" s="231">
        <v>0</v>
      </c>
      <c r="J81" s="231">
        <v>0</v>
      </c>
      <c r="K81" s="231">
        <v>0</v>
      </c>
      <c r="L81" s="231">
        <v>0</v>
      </c>
      <c r="M81" s="231">
        <v>0</v>
      </c>
      <c r="N81" s="231">
        <v>0</v>
      </c>
      <c r="O81" s="231">
        <v>0</v>
      </c>
      <c r="P81" s="231">
        <v>0</v>
      </c>
      <c r="Q81" s="231">
        <v>0</v>
      </c>
      <c r="R81" s="231">
        <v>0</v>
      </c>
      <c r="S81" s="231">
        <v>0</v>
      </c>
      <c r="T81" s="231">
        <v>0</v>
      </c>
      <c r="U81" s="231">
        <v>0</v>
      </c>
      <c r="V81" s="231">
        <v>0</v>
      </c>
      <c r="W81" s="231">
        <v>0</v>
      </c>
      <c r="X81" s="231">
        <v>0</v>
      </c>
      <c r="Y81" s="231">
        <v>0</v>
      </c>
      <c r="Z81" s="231">
        <v>0</v>
      </c>
      <c r="AA81" s="231">
        <v>0</v>
      </c>
      <c r="AB81" s="231">
        <v>0</v>
      </c>
      <c r="AC81" s="231">
        <v>0</v>
      </c>
      <c r="AD81" s="231">
        <v>0</v>
      </c>
      <c r="AE81" s="231">
        <v>0</v>
      </c>
      <c r="AF81" s="231">
        <v>0</v>
      </c>
      <c r="AG81" s="231">
        <v>0</v>
      </c>
      <c r="AH81" s="231">
        <v>0</v>
      </c>
      <c r="AI81" s="231">
        <v>0</v>
      </c>
      <c r="AJ81" s="231">
        <v>0</v>
      </c>
      <c r="AK81" s="231">
        <v>0</v>
      </c>
      <c r="AL81" s="231">
        <v>0</v>
      </c>
      <c r="AM81" s="231">
        <v>0</v>
      </c>
      <c r="AN81" s="231">
        <v>0</v>
      </c>
    </row>
    <row r="82" spans="3:40" x14ac:dyDescent="0.3">
      <c r="C82" s="231">
        <v>27</v>
      </c>
      <c r="D82" s="231">
        <v>8</v>
      </c>
      <c r="E82" s="231">
        <v>1</v>
      </c>
      <c r="F82" s="231">
        <v>8.1999999999999993</v>
      </c>
      <c r="G82" s="231">
        <v>0</v>
      </c>
      <c r="H82" s="231">
        <v>3.2</v>
      </c>
      <c r="I82" s="231">
        <v>0</v>
      </c>
      <c r="J82" s="231">
        <v>0</v>
      </c>
      <c r="K82" s="231">
        <v>3.5</v>
      </c>
      <c r="L82" s="231">
        <v>0</v>
      </c>
      <c r="M82" s="231">
        <v>0</v>
      </c>
      <c r="N82" s="231">
        <v>0</v>
      </c>
      <c r="O82" s="231">
        <v>0</v>
      </c>
      <c r="P82" s="231">
        <v>0</v>
      </c>
      <c r="Q82" s="231">
        <v>0</v>
      </c>
      <c r="R82" s="231">
        <v>0</v>
      </c>
      <c r="S82" s="231">
        <v>0</v>
      </c>
      <c r="T82" s="231">
        <v>0</v>
      </c>
      <c r="U82" s="231">
        <v>0</v>
      </c>
      <c r="V82" s="231">
        <v>0</v>
      </c>
      <c r="W82" s="231">
        <v>0</v>
      </c>
      <c r="X82" s="231">
        <v>1</v>
      </c>
      <c r="Y82" s="231">
        <v>0</v>
      </c>
      <c r="Z82" s="231">
        <v>0</v>
      </c>
      <c r="AA82" s="231">
        <v>0</v>
      </c>
      <c r="AB82" s="231">
        <v>0</v>
      </c>
      <c r="AC82" s="231">
        <v>0</v>
      </c>
      <c r="AD82" s="231">
        <v>0</v>
      </c>
      <c r="AE82" s="231">
        <v>0</v>
      </c>
      <c r="AF82" s="231">
        <v>0</v>
      </c>
      <c r="AG82" s="231">
        <v>0</v>
      </c>
      <c r="AH82" s="231">
        <v>0</v>
      </c>
      <c r="AI82" s="231">
        <v>0</v>
      </c>
      <c r="AJ82" s="231">
        <v>0</v>
      </c>
      <c r="AK82" s="231">
        <v>0</v>
      </c>
      <c r="AL82" s="231">
        <v>0</v>
      </c>
      <c r="AM82" s="231">
        <v>0.5</v>
      </c>
      <c r="AN82" s="231">
        <v>0</v>
      </c>
    </row>
    <row r="83" spans="3:40" x14ac:dyDescent="0.3">
      <c r="C83" s="231">
        <v>27</v>
      </c>
      <c r="D83" s="231">
        <v>8</v>
      </c>
      <c r="E83" s="231">
        <v>2</v>
      </c>
      <c r="F83" s="231">
        <v>1027.2</v>
      </c>
      <c r="G83" s="231">
        <v>0</v>
      </c>
      <c r="H83" s="231">
        <v>371.2</v>
      </c>
      <c r="I83" s="231">
        <v>0</v>
      </c>
      <c r="J83" s="231">
        <v>0</v>
      </c>
      <c r="K83" s="231">
        <v>432</v>
      </c>
      <c r="L83" s="231">
        <v>0</v>
      </c>
      <c r="M83" s="231">
        <v>0</v>
      </c>
      <c r="N83" s="231">
        <v>0</v>
      </c>
      <c r="O83" s="231">
        <v>0</v>
      </c>
      <c r="P83" s="231">
        <v>0</v>
      </c>
      <c r="Q83" s="231">
        <v>0</v>
      </c>
      <c r="R83" s="231">
        <v>0</v>
      </c>
      <c r="S83" s="231">
        <v>0</v>
      </c>
      <c r="T83" s="231">
        <v>0</v>
      </c>
      <c r="U83" s="231">
        <v>0</v>
      </c>
      <c r="V83" s="231">
        <v>0</v>
      </c>
      <c r="W83" s="231">
        <v>0</v>
      </c>
      <c r="X83" s="231">
        <v>168</v>
      </c>
      <c r="Y83" s="231">
        <v>0</v>
      </c>
      <c r="Z83" s="231">
        <v>0</v>
      </c>
      <c r="AA83" s="231">
        <v>0</v>
      </c>
      <c r="AB83" s="231">
        <v>0</v>
      </c>
      <c r="AC83" s="231">
        <v>0</v>
      </c>
      <c r="AD83" s="231">
        <v>0</v>
      </c>
      <c r="AE83" s="231">
        <v>0</v>
      </c>
      <c r="AF83" s="231">
        <v>0</v>
      </c>
      <c r="AG83" s="231">
        <v>0</v>
      </c>
      <c r="AH83" s="231">
        <v>0</v>
      </c>
      <c r="AI83" s="231">
        <v>0</v>
      </c>
      <c r="AJ83" s="231">
        <v>0</v>
      </c>
      <c r="AK83" s="231">
        <v>0</v>
      </c>
      <c r="AL83" s="231">
        <v>0</v>
      </c>
      <c r="AM83" s="231">
        <v>56</v>
      </c>
      <c r="AN83" s="231">
        <v>0</v>
      </c>
    </row>
    <row r="84" spans="3:40" x14ac:dyDescent="0.3">
      <c r="C84" s="231">
        <v>27</v>
      </c>
      <c r="D84" s="231">
        <v>8</v>
      </c>
      <c r="E84" s="231">
        <v>3</v>
      </c>
      <c r="F84" s="231">
        <v>0</v>
      </c>
      <c r="G84" s="231">
        <v>0</v>
      </c>
      <c r="H84" s="231">
        <v>0</v>
      </c>
      <c r="I84" s="231">
        <v>0</v>
      </c>
      <c r="J84" s="231">
        <v>0</v>
      </c>
      <c r="K84" s="231">
        <v>0</v>
      </c>
      <c r="L84" s="231">
        <v>0</v>
      </c>
      <c r="M84" s="231">
        <v>0</v>
      </c>
      <c r="N84" s="231">
        <v>0</v>
      </c>
      <c r="O84" s="231">
        <v>0</v>
      </c>
      <c r="P84" s="231">
        <v>0</v>
      </c>
      <c r="Q84" s="231">
        <v>0</v>
      </c>
      <c r="R84" s="231">
        <v>0</v>
      </c>
      <c r="S84" s="231">
        <v>0</v>
      </c>
      <c r="T84" s="231">
        <v>0</v>
      </c>
      <c r="U84" s="231">
        <v>0</v>
      </c>
      <c r="V84" s="231">
        <v>0</v>
      </c>
      <c r="W84" s="231">
        <v>0</v>
      </c>
      <c r="X84" s="231">
        <v>0</v>
      </c>
      <c r="Y84" s="231">
        <v>0</v>
      </c>
      <c r="Z84" s="231">
        <v>0</v>
      </c>
      <c r="AA84" s="231">
        <v>0</v>
      </c>
      <c r="AB84" s="231">
        <v>0</v>
      </c>
      <c r="AC84" s="231">
        <v>0</v>
      </c>
      <c r="AD84" s="231">
        <v>0</v>
      </c>
      <c r="AE84" s="231">
        <v>0</v>
      </c>
      <c r="AF84" s="231">
        <v>0</v>
      </c>
      <c r="AG84" s="231">
        <v>0</v>
      </c>
      <c r="AH84" s="231">
        <v>0</v>
      </c>
      <c r="AI84" s="231">
        <v>0</v>
      </c>
      <c r="AJ84" s="231">
        <v>0</v>
      </c>
      <c r="AK84" s="231">
        <v>0</v>
      </c>
      <c r="AL84" s="231">
        <v>0</v>
      </c>
      <c r="AM84" s="231">
        <v>0</v>
      </c>
      <c r="AN84" s="231">
        <v>0</v>
      </c>
    </row>
    <row r="85" spans="3:40" x14ac:dyDescent="0.3">
      <c r="C85" s="231">
        <v>27</v>
      </c>
      <c r="D85" s="231">
        <v>8</v>
      </c>
      <c r="E85" s="231">
        <v>4</v>
      </c>
      <c r="F85" s="231">
        <v>0</v>
      </c>
      <c r="G85" s="231">
        <v>0</v>
      </c>
      <c r="H85" s="231">
        <v>0</v>
      </c>
      <c r="I85" s="231">
        <v>0</v>
      </c>
      <c r="J85" s="231">
        <v>0</v>
      </c>
      <c r="K85" s="231">
        <v>0</v>
      </c>
      <c r="L85" s="231">
        <v>0</v>
      </c>
      <c r="M85" s="231">
        <v>0</v>
      </c>
      <c r="N85" s="231">
        <v>0</v>
      </c>
      <c r="O85" s="231">
        <v>0</v>
      </c>
      <c r="P85" s="231">
        <v>0</v>
      </c>
      <c r="Q85" s="231">
        <v>0</v>
      </c>
      <c r="R85" s="231">
        <v>0</v>
      </c>
      <c r="S85" s="231">
        <v>0</v>
      </c>
      <c r="T85" s="231">
        <v>0</v>
      </c>
      <c r="U85" s="231">
        <v>0</v>
      </c>
      <c r="V85" s="231">
        <v>0</v>
      </c>
      <c r="W85" s="231">
        <v>0</v>
      </c>
      <c r="X85" s="231">
        <v>0</v>
      </c>
      <c r="Y85" s="231">
        <v>0</v>
      </c>
      <c r="Z85" s="231">
        <v>0</v>
      </c>
      <c r="AA85" s="231">
        <v>0</v>
      </c>
      <c r="AB85" s="231">
        <v>0</v>
      </c>
      <c r="AC85" s="231">
        <v>0</v>
      </c>
      <c r="AD85" s="231">
        <v>0</v>
      </c>
      <c r="AE85" s="231">
        <v>0</v>
      </c>
      <c r="AF85" s="231">
        <v>0</v>
      </c>
      <c r="AG85" s="231">
        <v>0</v>
      </c>
      <c r="AH85" s="231">
        <v>0</v>
      </c>
      <c r="AI85" s="231">
        <v>0</v>
      </c>
      <c r="AJ85" s="231">
        <v>0</v>
      </c>
      <c r="AK85" s="231">
        <v>0</v>
      </c>
      <c r="AL85" s="231">
        <v>0</v>
      </c>
      <c r="AM85" s="231">
        <v>0</v>
      </c>
      <c r="AN85" s="231">
        <v>0</v>
      </c>
    </row>
    <row r="86" spans="3:40" x14ac:dyDescent="0.3">
      <c r="C86" s="231">
        <v>27</v>
      </c>
      <c r="D86" s="231">
        <v>8</v>
      </c>
      <c r="E86" s="231">
        <v>5</v>
      </c>
      <c r="F86" s="231">
        <v>0</v>
      </c>
      <c r="G86" s="231">
        <v>0</v>
      </c>
      <c r="H86" s="231">
        <v>0</v>
      </c>
      <c r="I86" s="231">
        <v>0</v>
      </c>
      <c r="J86" s="231">
        <v>0</v>
      </c>
      <c r="K86" s="231">
        <v>0</v>
      </c>
      <c r="L86" s="231">
        <v>0</v>
      </c>
      <c r="M86" s="231">
        <v>0</v>
      </c>
      <c r="N86" s="231">
        <v>0</v>
      </c>
      <c r="O86" s="231">
        <v>0</v>
      </c>
      <c r="P86" s="231">
        <v>0</v>
      </c>
      <c r="Q86" s="231">
        <v>0</v>
      </c>
      <c r="R86" s="231">
        <v>0</v>
      </c>
      <c r="S86" s="231">
        <v>0</v>
      </c>
      <c r="T86" s="231">
        <v>0</v>
      </c>
      <c r="U86" s="231">
        <v>0</v>
      </c>
      <c r="V86" s="231">
        <v>0</v>
      </c>
      <c r="W86" s="231">
        <v>0</v>
      </c>
      <c r="X86" s="231">
        <v>0</v>
      </c>
      <c r="Y86" s="231">
        <v>0</v>
      </c>
      <c r="Z86" s="231">
        <v>0</v>
      </c>
      <c r="AA86" s="231">
        <v>0</v>
      </c>
      <c r="AB86" s="231">
        <v>0</v>
      </c>
      <c r="AC86" s="231">
        <v>0</v>
      </c>
      <c r="AD86" s="231">
        <v>0</v>
      </c>
      <c r="AE86" s="231">
        <v>0</v>
      </c>
      <c r="AF86" s="231">
        <v>0</v>
      </c>
      <c r="AG86" s="231">
        <v>0</v>
      </c>
      <c r="AH86" s="231">
        <v>0</v>
      </c>
      <c r="AI86" s="231">
        <v>0</v>
      </c>
      <c r="AJ86" s="231">
        <v>0</v>
      </c>
      <c r="AK86" s="231">
        <v>0</v>
      </c>
      <c r="AL86" s="231">
        <v>0</v>
      </c>
      <c r="AM86" s="231">
        <v>0</v>
      </c>
      <c r="AN86" s="231">
        <v>0</v>
      </c>
    </row>
    <row r="87" spans="3:40" x14ac:dyDescent="0.3">
      <c r="C87" s="231">
        <v>27</v>
      </c>
      <c r="D87" s="231">
        <v>8</v>
      </c>
      <c r="E87" s="231">
        <v>6</v>
      </c>
      <c r="F87" s="231">
        <v>279909</v>
      </c>
      <c r="G87" s="231">
        <v>0</v>
      </c>
      <c r="H87" s="231">
        <v>151043</v>
      </c>
      <c r="I87" s="231">
        <v>0</v>
      </c>
      <c r="J87" s="231">
        <v>0</v>
      </c>
      <c r="K87" s="231">
        <v>94529</v>
      </c>
      <c r="L87" s="231">
        <v>0</v>
      </c>
      <c r="M87" s="231">
        <v>0</v>
      </c>
      <c r="N87" s="231">
        <v>0</v>
      </c>
      <c r="O87" s="231">
        <v>0</v>
      </c>
      <c r="P87" s="231">
        <v>0</v>
      </c>
      <c r="Q87" s="231">
        <v>0</v>
      </c>
      <c r="R87" s="231">
        <v>0</v>
      </c>
      <c r="S87" s="231">
        <v>0</v>
      </c>
      <c r="T87" s="231">
        <v>0</v>
      </c>
      <c r="U87" s="231">
        <v>0</v>
      </c>
      <c r="V87" s="231">
        <v>0</v>
      </c>
      <c r="W87" s="231">
        <v>0</v>
      </c>
      <c r="X87" s="231">
        <v>26420</v>
      </c>
      <c r="Y87" s="231">
        <v>0</v>
      </c>
      <c r="Z87" s="231">
        <v>0</v>
      </c>
      <c r="AA87" s="231">
        <v>0</v>
      </c>
      <c r="AB87" s="231">
        <v>0</v>
      </c>
      <c r="AC87" s="231">
        <v>0</v>
      </c>
      <c r="AD87" s="231">
        <v>0</v>
      </c>
      <c r="AE87" s="231">
        <v>0</v>
      </c>
      <c r="AF87" s="231">
        <v>0</v>
      </c>
      <c r="AG87" s="231">
        <v>0</v>
      </c>
      <c r="AH87" s="231">
        <v>0</v>
      </c>
      <c r="AI87" s="231">
        <v>0</v>
      </c>
      <c r="AJ87" s="231">
        <v>0</v>
      </c>
      <c r="AK87" s="231">
        <v>0</v>
      </c>
      <c r="AL87" s="231">
        <v>0</v>
      </c>
      <c r="AM87" s="231">
        <v>7917</v>
      </c>
      <c r="AN87" s="231">
        <v>0</v>
      </c>
    </row>
    <row r="88" spans="3:40" x14ac:dyDescent="0.3">
      <c r="C88" s="231">
        <v>27</v>
      </c>
      <c r="D88" s="231">
        <v>8</v>
      </c>
      <c r="E88" s="231">
        <v>7</v>
      </c>
      <c r="F88" s="231">
        <v>0</v>
      </c>
      <c r="G88" s="231">
        <v>0</v>
      </c>
      <c r="H88" s="231">
        <v>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v>0</v>
      </c>
      <c r="AF88" s="231">
        <v>0</v>
      </c>
      <c r="AG88" s="231">
        <v>0</v>
      </c>
      <c r="AH88" s="231">
        <v>0</v>
      </c>
      <c r="AI88" s="231">
        <v>0</v>
      </c>
      <c r="AJ88" s="231">
        <v>0</v>
      </c>
      <c r="AK88" s="231">
        <v>0</v>
      </c>
      <c r="AL88" s="231">
        <v>0</v>
      </c>
      <c r="AM88" s="231">
        <v>0</v>
      </c>
      <c r="AN88" s="231">
        <v>0</v>
      </c>
    </row>
    <row r="89" spans="3:40" x14ac:dyDescent="0.3">
      <c r="C89" s="231">
        <v>27</v>
      </c>
      <c r="D89" s="231">
        <v>8</v>
      </c>
      <c r="E89" s="231">
        <v>8</v>
      </c>
      <c r="F89" s="231">
        <v>0</v>
      </c>
      <c r="G89" s="231">
        <v>0</v>
      </c>
      <c r="H89" s="231">
        <v>0</v>
      </c>
      <c r="I89" s="231">
        <v>0</v>
      </c>
      <c r="J89" s="231">
        <v>0</v>
      </c>
      <c r="K89" s="231">
        <v>0</v>
      </c>
      <c r="L89" s="231">
        <v>0</v>
      </c>
      <c r="M89" s="231">
        <v>0</v>
      </c>
      <c r="N89" s="231">
        <v>0</v>
      </c>
      <c r="O89" s="231">
        <v>0</v>
      </c>
      <c r="P89" s="231">
        <v>0</v>
      </c>
      <c r="Q89" s="231">
        <v>0</v>
      </c>
      <c r="R89" s="231">
        <v>0</v>
      </c>
      <c r="S89" s="231">
        <v>0</v>
      </c>
      <c r="T89" s="231">
        <v>0</v>
      </c>
      <c r="U89" s="231">
        <v>0</v>
      </c>
      <c r="V89" s="231">
        <v>0</v>
      </c>
      <c r="W89" s="231">
        <v>0</v>
      </c>
      <c r="X89" s="231">
        <v>0</v>
      </c>
      <c r="Y89" s="231">
        <v>0</v>
      </c>
      <c r="Z89" s="231">
        <v>0</v>
      </c>
      <c r="AA89" s="231">
        <v>0</v>
      </c>
      <c r="AB89" s="231">
        <v>0</v>
      </c>
      <c r="AC89" s="231">
        <v>0</v>
      </c>
      <c r="AD89" s="231">
        <v>0</v>
      </c>
      <c r="AE89" s="231">
        <v>0</v>
      </c>
      <c r="AF89" s="231">
        <v>0</v>
      </c>
      <c r="AG89" s="231">
        <v>0</v>
      </c>
      <c r="AH89" s="231">
        <v>0</v>
      </c>
      <c r="AI89" s="231">
        <v>0</v>
      </c>
      <c r="AJ89" s="231">
        <v>0</v>
      </c>
      <c r="AK89" s="231">
        <v>0</v>
      </c>
      <c r="AL89" s="231">
        <v>0</v>
      </c>
      <c r="AM89" s="231">
        <v>0</v>
      </c>
      <c r="AN89" s="231">
        <v>0</v>
      </c>
    </row>
    <row r="90" spans="3:40" x14ac:dyDescent="0.3">
      <c r="C90" s="231">
        <v>27</v>
      </c>
      <c r="D90" s="231">
        <v>8</v>
      </c>
      <c r="E90" s="231">
        <v>9</v>
      </c>
      <c r="F90" s="231">
        <v>0</v>
      </c>
      <c r="G90" s="231">
        <v>0</v>
      </c>
      <c r="H90" s="231">
        <v>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0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v>0</v>
      </c>
      <c r="AF90" s="231">
        <v>0</v>
      </c>
      <c r="AG90" s="231">
        <v>0</v>
      </c>
      <c r="AH90" s="231">
        <v>0</v>
      </c>
      <c r="AI90" s="231">
        <v>0</v>
      </c>
      <c r="AJ90" s="231">
        <v>0</v>
      </c>
      <c r="AK90" s="231">
        <v>0</v>
      </c>
      <c r="AL90" s="231">
        <v>0</v>
      </c>
      <c r="AM90" s="231">
        <v>0</v>
      </c>
      <c r="AN90" s="231">
        <v>0</v>
      </c>
    </row>
    <row r="91" spans="3:40" x14ac:dyDescent="0.3">
      <c r="C91" s="231">
        <v>27</v>
      </c>
      <c r="D91" s="231">
        <v>8</v>
      </c>
      <c r="E91" s="231">
        <v>10</v>
      </c>
      <c r="F91" s="231">
        <v>0</v>
      </c>
      <c r="G91" s="231">
        <v>0</v>
      </c>
      <c r="H91" s="231">
        <v>0</v>
      </c>
      <c r="I91" s="231">
        <v>0</v>
      </c>
      <c r="J91" s="231">
        <v>0</v>
      </c>
      <c r="K91" s="231">
        <v>0</v>
      </c>
      <c r="L91" s="231">
        <v>0</v>
      </c>
      <c r="M91" s="231">
        <v>0</v>
      </c>
      <c r="N91" s="231">
        <v>0</v>
      </c>
      <c r="O91" s="231">
        <v>0</v>
      </c>
      <c r="P91" s="231">
        <v>0</v>
      </c>
      <c r="Q91" s="231">
        <v>0</v>
      </c>
      <c r="R91" s="231">
        <v>0</v>
      </c>
      <c r="S91" s="231">
        <v>0</v>
      </c>
      <c r="T91" s="231">
        <v>0</v>
      </c>
      <c r="U91" s="231">
        <v>0</v>
      </c>
      <c r="V91" s="231">
        <v>0</v>
      </c>
      <c r="W91" s="231">
        <v>0</v>
      </c>
      <c r="X91" s="231">
        <v>0</v>
      </c>
      <c r="Y91" s="231">
        <v>0</v>
      </c>
      <c r="Z91" s="231">
        <v>0</v>
      </c>
      <c r="AA91" s="231">
        <v>0</v>
      </c>
      <c r="AB91" s="231">
        <v>0</v>
      </c>
      <c r="AC91" s="231">
        <v>0</v>
      </c>
      <c r="AD91" s="231">
        <v>0</v>
      </c>
      <c r="AE91" s="231">
        <v>0</v>
      </c>
      <c r="AF91" s="231">
        <v>0</v>
      </c>
      <c r="AG91" s="231">
        <v>0</v>
      </c>
      <c r="AH91" s="231">
        <v>0</v>
      </c>
      <c r="AI91" s="231">
        <v>0</v>
      </c>
      <c r="AJ91" s="231">
        <v>0</v>
      </c>
      <c r="AK91" s="231">
        <v>0</v>
      </c>
      <c r="AL91" s="231">
        <v>0</v>
      </c>
      <c r="AM91" s="231">
        <v>0</v>
      </c>
      <c r="AN91" s="231">
        <v>0</v>
      </c>
    </row>
    <row r="92" spans="3:40" x14ac:dyDescent="0.3">
      <c r="C92" s="231">
        <v>27</v>
      </c>
      <c r="D92" s="231">
        <v>8</v>
      </c>
      <c r="E92" s="231">
        <v>11</v>
      </c>
      <c r="F92" s="231">
        <v>944.25</v>
      </c>
      <c r="G92" s="231">
        <v>0</v>
      </c>
      <c r="H92" s="231">
        <v>944.25</v>
      </c>
      <c r="I92" s="231">
        <v>0</v>
      </c>
      <c r="J92" s="231">
        <v>0</v>
      </c>
      <c r="K92" s="231">
        <v>0</v>
      </c>
      <c r="L92" s="231">
        <v>0</v>
      </c>
      <c r="M92" s="231">
        <v>0</v>
      </c>
      <c r="N92" s="231">
        <v>0</v>
      </c>
      <c r="O92" s="231">
        <v>0</v>
      </c>
      <c r="P92" s="231">
        <v>0</v>
      </c>
      <c r="Q92" s="231">
        <v>0</v>
      </c>
      <c r="R92" s="231">
        <v>0</v>
      </c>
      <c r="S92" s="231">
        <v>0</v>
      </c>
      <c r="T92" s="231">
        <v>0</v>
      </c>
      <c r="U92" s="231">
        <v>0</v>
      </c>
      <c r="V92" s="231">
        <v>0</v>
      </c>
      <c r="W92" s="231">
        <v>0</v>
      </c>
      <c r="X92" s="231">
        <v>0</v>
      </c>
      <c r="Y92" s="231">
        <v>0</v>
      </c>
      <c r="Z92" s="231">
        <v>0</v>
      </c>
      <c r="AA92" s="231">
        <v>0</v>
      </c>
      <c r="AB92" s="231">
        <v>0</v>
      </c>
      <c r="AC92" s="231">
        <v>0</v>
      </c>
      <c r="AD92" s="231">
        <v>0</v>
      </c>
      <c r="AE92" s="231">
        <v>0</v>
      </c>
      <c r="AF92" s="231">
        <v>0</v>
      </c>
      <c r="AG92" s="231">
        <v>0</v>
      </c>
      <c r="AH92" s="231">
        <v>0</v>
      </c>
      <c r="AI92" s="231">
        <v>0</v>
      </c>
      <c r="AJ92" s="231">
        <v>0</v>
      </c>
      <c r="AK92" s="231">
        <v>0</v>
      </c>
      <c r="AL92" s="231">
        <v>0</v>
      </c>
      <c r="AM92" s="231">
        <v>0</v>
      </c>
      <c r="AN92" s="231">
        <v>0</v>
      </c>
    </row>
    <row r="93" spans="3:40" x14ac:dyDescent="0.3">
      <c r="C93" s="231">
        <v>27</v>
      </c>
      <c r="D93" s="231">
        <v>9</v>
      </c>
      <c r="E93" s="231">
        <v>1</v>
      </c>
      <c r="F93" s="231">
        <v>7.2</v>
      </c>
      <c r="G93" s="231">
        <v>0</v>
      </c>
      <c r="H93" s="231">
        <v>2.2000000000000002</v>
      </c>
      <c r="I93" s="231">
        <v>0</v>
      </c>
      <c r="J93" s="231">
        <v>0</v>
      </c>
      <c r="K93" s="231">
        <v>3.5</v>
      </c>
      <c r="L93" s="231">
        <v>0</v>
      </c>
      <c r="M93" s="231">
        <v>0</v>
      </c>
      <c r="N93" s="231">
        <v>0</v>
      </c>
      <c r="O93" s="231">
        <v>0</v>
      </c>
      <c r="P93" s="231">
        <v>0</v>
      </c>
      <c r="Q93" s="231">
        <v>0</v>
      </c>
      <c r="R93" s="231">
        <v>0</v>
      </c>
      <c r="S93" s="231">
        <v>0</v>
      </c>
      <c r="T93" s="231">
        <v>0</v>
      </c>
      <c r="U93" s="231">
        <v>0</v>
      </c>
      <c r="V93" s="231">
        <v>0</v>
      </c>
      <c r="W93" s="231">
        <v>0</v>
      </c>
      <c r="X93" s="231">
        <v>1</v>
      </c>
      <c r="Y93" s="231">
        <v>0</v>
      </c>
      <c r="Z93" s="231">
        <v>0</v>
      </c>
      <c r="AA93" s="231">
        <v>0</v>
      </c>
      <c r="AB93" s="231">
        <v>0</v>
      </c>
      <c r="AC93" s="231">
        <v>0</v>
      </c>
      <c r="AD93" s="231">
        <v>0</v>
      </c>
      <c r="AE93" s="231">
        <v>0</v>
      </c>
      <c r="AF93" s="231">
        <v>0</v>
      </c>
      <c r="AG93" s="231">
        <v>0</v>
      </c>
      <c r="AH93" s="231">
        <v>0</v>
      </c>
      <c r="AI93" s="231">
        <v>0</v>
      </c>
      <c r="AJ93" s="231">
        <v>0</v>
      </c>
      <c r="AK93" s="231">
        <v>0</v>
      </c>
      <c r="AL93" s="231">
        <v>0</v>
      </c>
      <c r="AM93" s="231">
        <v>0.5</v>
      </c>
      <c r="AN93" s="231">
        <v>0</v>
      </c>
    </row>
    <row r="94" spans="3:40" x14ac:dyDescent="0.3">
      <c r="C94" s="231">
        <v>27</v>
      </c>
      <c r="D94" s="231">
        <v>9</v>
      </c>
      <c r="E94" s="231">
        <v>2</v>
      </c>
      <c r="F94" s="231">
        <v>1076</v>
      </c>
      <c r="G94" s="231">
        <v>0</v>
      </c>
      <c r="H94" s="231">
        <v>336</v>
      </c>
      <c r="I94" s="231">
        <v>0</v>
      </c>
      <c r="J94" s="231">
        <v>0</v>
      </c>
      <c r="K94" s="231">
        <v>608</v>
      </c>
      <c r="L94" s="231">
        <v>0</v>
      </c>
      <c r="M94" s="231">
        <v>0</v>
      </c>
      <c r="N94" s="231">
        <v>0</v>
      </c>
      <c r="O94" s="231">
        <v>0</v>
      </c>
      <c r="P94" s="231">
        <v>0</v>
      </c>
      <c r="Q94" s="231">
        <v>0</v>
      </c>
      <c r="R94" s="231">
        <v>0</v>
      </c>
      <c r="S94" s="231">
        <v>0</v>
      </c>
      <c r="T94" s="231">
        <v>0</v>
      </c>
      <c r="U94" s="231">
        <v>0</v>
      </c>
      <c r="V94" s="231">
        <v>0</v>
      </c>
      <c r="W94" s="231">
        <v>0</v>
      </c>
      <c r="X94" s="231">
        <v>56</v>
      </c>
      <c r="Y94" s="231">
        <v>0</v>
      </c>
      <c r="Z94" s="231">
        <v>0</v>
      </c>
      <c r="AA94" s="231">
        <v>0</v>
      </c>
      <c r="AB94" s="231">
        <v>0</v>
      </c>
      <c r="AC94" s="231">
        <v>0</v>
      </c>
      <c r="AD94" s="231">
        <v>0</v>
      </c>
      <c r="AE94" s="231">
        <v>0</v>
      </c>
      <c r="AF94" s="231">
        <v>0</v>
      </c>
      <c r="AG94" s="231">
        <v>0</v>
      </c>
      <c r="AH94" s="231">
        <v>0</v>
      </c>
      <c r="AI94" s="231">
        <v>0</v>
      </c>
      <c r="AJ94" s="231">
        <v>0</v>
      </c>
      <c r="AK94" s="231">
        <v>0</v>
      </c>
      <c r="AL94" s="231">
        <v>0</v>
      </c>
      <c r="AM94" s="231">
        <v>76</v>
      </c>
      <c r="AN94" s="231">
        <v>0</v>
      </c>
    </row>
    <row r="95" spans="3:40" x14ac:dyDescent="0.3">
      <c r="C95" s="231">
        <v>27</v>
      </c>
      <c r="D95" s="231">
        <v>9</v>
      </c>
      <c r="E95" s="231">
        <v>3</v>
      </c>
      <c r="F95" s="231">
        <v>0</v>
      </c>
      <c r="G95" s="231">
        <v>0</v>
      </c>
      <c r="H95" s="231">
        <v>0</v>
      </c>
      <c r="I95" s="231">
        <v>0</v>
      </c>
      <c r="J95" s="231">
        <v>0</v>
      </c>
      <c r="K95" s="231">
        <v>0</v>
      </c>
      <c r="L95" s="231">
        <v>0</v>
      </c>
      <c r="M95" s="231">
        <v>0</v>
      </c>
      <c r="N95" s="231">
        <v>0</v>
      </c>
      <c r="O95" s="231">
        <v>0</v>
      </c>
      <c r="P95" s="231">
        <v>0</v>
      </c>
      <c r="Q95" s="231">
        <v>0</v>
      </c>
      <c r="R95" s="231">
        <v>0</v>
      </c>
      <c r="S95" s="231">
        <v>0</v>
      </c>
      <c r="T95" s="231">
        <v>0</v>
      </c>
      <c r="U95" s="231">
        <v>0</v>
      </c>
      <c r="V95" s="231">
        <v>0</v>
      </c>
      <c r="W95" s="231">
        <v>0</v>
      </c>
      <c r="X95" s="231">
        <v>0</v>
      </c>
      <c r="Y95" s="231">
        <v>0</v>
      </c>
      <c r="Z95" s="231">
        <v>0</v>
      </c>
      <c r="AA95" s="231">
        <v>0</v>
      </c>
      <c r="AB95" s="231">
        <v>0</v>
      </c>
      <c r="AC95" s="231">
        <v>0</v>
      </c>
      <c r="AD95" s="231">
        <v>0</v>
      </c>
      <c r="AE95" s="231">
        <v>0</v>
      </c>
      <c r="AF95" s="231">
        <v>0</v>
      </c>
      <c r="AG95" s="231">
        <v>0</v>
      </c>
      <c r="AH95" s="231">
        <v>0</v>
      </c>
      <c r="AI95" s="231">
        <v>0</v>
      </c>
      <c r="AJ95" s="231">
        <v>0</v>
      </c>
      <c r="AK95" s="231">
        <v>0</v>
      </c>
      <c r="AL95" s="231">
        <v>0</v>
      </c>
      <c r="AM95" s="231">
        <v>0</v>
      </c>
      <c r="AN95" s="231">
        <v>0</v>
      </c>
    </row>
    <row r="96" spans="3:40" x14ac:dyDescent="0.3">
      <c r="C96" s="231">
        <v>27</v>
      </c>
      <c r="D96" s="231">
        <v>9</v>
      </c>
      <c r="E96" s="231">
        <v>4</v>
      </c>
      <c r="F96" s="231">
        <v>0</v>
      </c>
      <c r="G96" s="231">
        <v>0</v>
      </c>
      <c r="H96" s="231">
        <v>0</v>
      </c>
      <c r="I96" s="231">
        <v>0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0</v>
      </c>
      <c r="P96" s="231">
        <v>0</v>
      </c>
      <c r="Q96" s="231">
        <v>0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v>0</v>
      </c>
      <c r="AF96" s="231">
        <v>0</v>
      </c>
      <c r="AG96" s="231">
        <v>0</v>
      </c>
      <c r="AH96" s="231">
        <v>0</v>
      </c>
      <c r="AI96" s="231">
        <v>0</v>
      </c>
      <c r="AJ96" s="231">
        <v>0</v>
      </c>
      <c r="AK96" s="231">
        <v>0</v>
      </c>
      <c r="AL96" s="231">
        <v>0</v>
      </c>
      <c r="AM96" s="231">
        <v>0</v>
      </c>
      <c r="AN96" s="231">
        <v>0</v>
      </c>
    </row>
    <row r="97" spans="3:40" x14ac:dyDescent="0.3">
      <c r="C97" s="231">
        <v>27</v>
      </c>
      <c r="D97" s="231">
        <v>9</v>
      </c>
      <c r="E97" s="231">
        <v>5</v>
      </c>
      <c r="F97" s="231">
        <v>0</v>
      </c>
      <c r="G97" s="231">
        <v>0</v>
      </c>
      <c r="H97" s="231">
        <v>0</v>
      </c>
      <c r="I97" s="231">
        <v>0</v>
      </c>
      <c r="J97" s="231">
        <v>0</v>
      </c>
      <c r="K97" s="231">
        <v>0</v>
      </c>
      <c r="L97" s="231">
        <v>0</v>
      </c>
      <c r="M97" s="231">
        <v>0</v>
      </c>
      <c r="N97" s="231">
        <v>0</v>
      </c>
      <c r="O97" s="231">
        <v>0</v>
      </c>
      <c r="P97" s="231">
        <v>0</v>
      </c>
      <c r="Q97" s="231">
        <v>0</v>
      </c>
      <c r="R97" s="231">
        <v>0</v>
      </c>
      <c r="S97" s="231">
        <v>0</v>
      </c>
      <c r="T97" s="231">
        <v>0</v>
      </c>
      <c r="U97" s="231">
        <v>0</v>
      </c>
      <c r="V97" s="231">
        <v>0</v>
      </c>
      <c r="W97" s="231">
        <v>0</v>
      </c>
      <c r="X97" s="231">
        <v>0</v>
      </c>
      <c r="Y97" s="231">
        <v>0</v>
      </c>
      <c r="Z97" s="231">
        <v>0</v>
      </c>
      <c r="AA97" s="231">
        <v>0</v>
      </c>
      <c r="AB97" s="231">
        <v>0</v>
      </c>
      <c r="AC97" s="231">
        <v>0</v>
      </c>
      <c r="AD97" s="231">
        <v>0</v>
      </c>
      <c r="AE97" s="231">
        <v>0</v>
      </c>
      <c r="AF97" s="231">
        <v>0</v>
      </c>
      <c r="AG97" s="231">
        <v>0</v>
      </c>
      <c r="AH97" s="231">
        <v>0</v>
      </c>
      <c r="AI97" s="231">
        <v>0</v>
      </c>
      <c r="AJ97" s="231">
        <v>0</v>
      </c>
      <c r="AK97" s="231">
        <v>0</v>
      </c>
      <c r="AL97" s="231">
        <v>0</v>
      </c>
      <c r="AM97" s="231">
        <v>0</v>
      </c>
      <c r="AN97" s="231">
        <v>0</v>
      </c>
    </row>
    <row r="98" spans="3:40" x14ac:dyDescent="0.3">
      <c r="C98" s="231">
        <v>27</v>
      </c>
      <c r="D98" s="231">
        <v>9</v>
      </c>
      <c r="E98" s="231">
        <v>6</v>
      </c>
      <c r="F98" s="231">
        <v>233037</v>
      </c>
      <c r="G98" s="231">
        <v>0</v>
      </c>
      <c r="H98" s="231">
        <v>115071</v>
      </c>
      <c r="I98" s="231">
        <v>0</v>
      </c>
      <c r="J98" s="231">
        <v>0</v>
      </c>
      <c r="K98" s="231">
        <v>95247</v>
      </c>
      <c r="L98" s="231">
        <v>0</v>
      </c>
      <c r="M98" s="231">
        <v>0</v>
      </c>
      <c r="N98" s="231">
        <v>0</v>
      </c>
      <c r="O98" s="231">
        <v>0</v>
      </c>
      <c r="P98" s="231">
        <v>0</v>
      </c>
      <c r="Q98" s="231">
        <v>0</v>
      </c>
      <c r="R98" s="231">
        <v>0</v>
      </c>
      <c r="S98" s="231">
        <v>0</v>
      </c>
      <c r="T98" s="231">
        <v>0</v>
      </c>
      <c r="U98" s="231">
        <v>0</v>
      </c>
      <c r="V98" s="231">
        <v>0</v>
      </c>
      <c r="W98" s="231">
        <v>0</v>
      </c>
      <c r="X98" s="231">
        <v>15440</v>
      </c>
      <c r="Y98" s="231">
        <v>0</v>
      </c>
      <c r="Z98" s="231">
        <v>0</v>
      </c>
      <c r="AA98" s="231">
        <v>0</v>
      </c>
      <c r="AB98" s="231">
        <v>0</v>
      </c>
      <c r="AC98" s="231">
        <v>0</v>
      </c>
      <c r="AD98" s="231">
        <v>0</v>
      </c>
      <c r="AE98" s="231">
        <v>0</v>
      </c>
      <c r="AF98" s="231">
        <v>0</v>
      </c>
      <c r="AG98" s="231">
        <v>0</v>
      </c>
      <c r="AH98" s="231">
        <v>0</v>
      </c>
      <c r="AI98" s="231">
        <v>0</v>
      </c>
      <c r="AJ98" s="231">
        <v>0</v>
      </c>
      <c r="AK98" s="231">
        <v>0</v>
      </c>
      <c r="AL98" s="231">
        <v>0</v>
      </c>
      <c r="AM98" s="231">
        <v>7279</v>
      </c>
      <c r="AN98" s="231">
        <v>0</v>
      </c>
    </row>
    <row r="99" spans="3:40" x14ac:dyDescent="0.3">
      <c r="C99" s="231">
        <v>27</v>
      </c>
      <c r="D99" s="231">
        <v>9</v>
      </c>
      <c r="E99" s="231">
        <v>7</v>
      </c>
      <c r="F99" s="231">
        <v>0</v>
      </c>
      <c r="G99" s="231">
        <v>0</v>
      </c>
      <c r="H99" s="231">
        <v>0</v>
      </c>
      <c r="I99" s="231">
        <v>0</v>
      </c>
      <c r="J99" s="231">
        <v>0</v>
      </c>
      <c r="K99" s="231">
        <v>0</v>
      </c>
      <c r="L99" s="231">
        <v>0</v>
      </c>
      <c r="M99" s="231">
        <v>0</v>
      </c>
      <c r="N99" s="231">
        <v>0</v>
      </c>
      <c r="O99" s="231">
        <v>0</v>
      </c>
      <c r="P99" s="231">
        <v>0</v>
      </c>
      <c r="Q99" s="231">
        <v>0</v>
      </c>
      <c r="R99" s="231">
        <v>0</v>
      </c>
      <c r="S99" s="231">
        <v>0</v>
      </c>
      <c r="T99" s="231">
        <v>0</v>
      </c>
      <c r="U99" s="231">
        <v>0</v>
      </c>
      <c r="V99" s="231">
        <v>0</v>
      </c>
      <c r="W99" s="231">
        <v>0</v>
      </c>
      <c r="X99" s="231">
        <v>0</v>
      </c>
      <c r="Y99" s="231">
        <v>0</v>
      </c>
      <c r="Z99" s="231">
        <v>0</v>
      </c>
      <c r="AA99" s="231">
        <v>0</v>
      </c>
      <c r="AB99" s="231">
        <v>0</v>
      </c>
      <c r="AC99" s="231">
        <v>0</v>
      </c>
      <c r="AD99" s="231">
        <v>0</v>
      </c>
      <c r="AE99" s="231">
        <v>0</v>
      </c>
      <c r="AF99" s="231">
        <v>0</v>
      </c>
      <c r="AG99" s="231">
        <v>0</v>
      </c>
      <c r="AH99" s="231">
        <v>0</v>
      </c>
      <c r="AI99" s="231">
        <v>0</v>
      </c>
      <c r="AJ99" s="231">
        <v>0</v>
      </c>
      <c r="AK99" s="231">
        <v>0</v>
      </c>
      <c r="AL99" s="231">
        <v>0</v>
      </c>
      <c r="AM99" s="231">
        <v>0</v>
      </c>
      <c r="AN99" s="231">
        <v>0</v>
      </c>
    </row>
    <row r="100" spans="3:40" x14ac:dyDescent="0.3">
      <c r="C100" s="231">
        <v>27</v>
      </c>
      <c r="D100" s="231">
        <v>9</v>
      </c>
      <c r="E100" s="231">
        <v>8</v>
      </c>
      <c r="F100" s="231">
        <v>0</v>
      </c>
      <c r="G100" s="231">
        <v>0</v>
      </c>
      <c r="H100" s="231">
        <v>0</v>
      </c>
      <c r="I100" s="231">
        <v>0</v>
      </c>
      <c r="J100" s="231">
        <v>0</v>
      </c>
      <c r="K100" s="231">
        <v>0</v>
      </c>
      <c r="L100" s="231">
        <v>0</v>
      </c>
      <c r="M100" s="231">
        <v>0</v>
      </c>
      <c r="N100" s="231">
        <v>0</v>
      </c>
      <c r="O100" s="231">
        <v>0</v>
      </c>
      <c r="P100" s="231">
        <v>0</v>
      </c>
      <c r="Q100" s="231">
        <v>0</v>
      </c>
      <c r="R100" s="231">
        <v>0</v>
      </c>
      <c r="S100" s="231">
        <v>0</v>
      </c>
      <c r="T100" s="231">
        <v>0</v>
      </c>
      <c r="U100" s="231">
        <v>0</v>
      </c>
      <c r="V100" s="231">
        <v>0</v>
      </c>
      <c r="W100" s="231">
        <v>0</v>
      </c>
      <c r="X100" s="231">
        <v>0</v>
      </c>
      <c r="Y100" s="231">
        <v>0</v>
      </c>
      <c r="Z100" s="231">
        <v>0</v>
      </c>
      <c r="AA100" s="231">
        <v>0</v>
      </c>
      <c r="AB100" s="231">
        <v>0</v>
      </c>
      <c r="AC100" s="231">
        <v>0</v>
      </c>
      <c r="AD100" s="231">
        <v>0</v>
      </c>
      <c r="AE100" s="231">
        <v>0</v>
      </c>
      <c r="AF100" s="231">
        <v>0</v>
      </c>
      <c r="AG100" s="231">
        <v>0</v>
      </c>
      <c r="AH100" s="231">
        <v>0</v>
      </c>
      <c r="AI100" s="231">
        <v>0</v>
      </c>
      <c r="AJ100" s="231">
        <v>0</v>
      </c>
      <c r="AK100" s="231">
        <v>0</v>
      </c>
      <c r="AL100" s="231">
        <v>0</v>
      </c>
      <c r="AM100" s="231">
        <v>0</v>
      </c>
      <c r="AN100" s="231">
        <v>0</v>
      </c>
    </row>
    <row r="101" spans="3:40" x14ac:dyDescent="0.3">
      <c r="C101" s="231">
        <v>27</v>
      </c>
      <c r="D101" s="231">
        <v>9</v>
      </c>
      <c r="E101" s="231">
        <v>9</v>
      </c>
      <c r="F101" s="231">
        <v>0</v>
      </c>
      <c r="G101" s="231">
        <v>0</v>
      </c>
      <c r="H101" s="231">
        <v>0</v>
      </c>
      <c r="I101" s="231">
        <v>0</v>
      </c>
      <c r="J101" s="231">
        <v>0</v>
      </c>
      <c r="K101" s="231">
        <v>0</v>
      </c>
      <c r="L101" s="231">
        <v>0</v>
      </c>
      <c r="M101" s="231">
        <v>0</v>
      </c>
      <c r="N101" s="231">
        <v>0</v>
      </c>
      <c r="O101" s="231">
        <v>0</v>
      </c>
      <c r="P101" s="231">
        <v>0</v>
      </c>
      <c r="Q101" s="231">
        <v>0</v>
      </c>
      <c r="R101" s="231">
        <v>0</v>
      </c>
      <c r="S101" s="231">
        <v>0</v>
      </c>
      <c r="T101" s="231">
        <v>0</v>
      </c>
      <c r="U101" s="231">
        <v>0</v>
      </c>
      <c r="V101" s="231">
        <v>0</v>
      </c>
      <c r="W101" s="231">
        <v>0</v>
      </c>
      <c r="X101" s="231">
        <v>0</v>
      </c>
      <c r="Y101" s="231">
        <v>0</v>
      </c>
      <c r="Z101" s="231">
        <v>0</v>
      </c>
      <c r="AA101" s="231">
        <v>0</v>
      </c>
      <c r="AB101" s="231">
        <v>0</v>
      </c>
      <c r="AC101" s="231">
        <v>0</v>
      </c>
      <c r="AD101" s="231">
        <v>0</v>
      </c>
      <c r="AE101" s="231">
        <v>0</v>
      </c>
      <c r="AF101" s="231">
        <v>0</v>
      </c>
      <c r="AG101" s="231">
        <v>0</v>
      </c>
      <c r="AH101" s="231">
        <v>0</v>
      </c>
      <c r="AI101" s="231">
        <v>0</v>
      </c>
      <c r="AJ101" s="231">
        <v>0</v>
      </c>
      <c r="AK101" s="231">
        <v>0</v>
      </c>
      <c r="AL101" s="231">
        <v>0</v>
      </c>
      <c r="AM101" s="231">
        <v>0</v>
      </c>
      <c r="AN101" s="231">
        <v>0</v>
      </c>
    </row>
    <row r="102" spans="3:40" x14ac:dyDescent="0.3">
      <c r="C102" s="231">
        <v>27</v>
      </c>
      <c r="D102" s="231">
        <v>9</v>
      </c>
      <c r="E102" s="231">
        <v>10</v>
      </c>
      <c r="F102" s="231">
        <v>0</v>
      </c>
      <c r="G102" s="231">
        <v>0</v>
      </c>
      <c r="H102" s="231">
        <v>0</v>
      </c>
      <c r="I102" s="231">
        <v>0</v>
      </c>
      <c r="J102" s="231">
        <v>0</v>
      </c>
      <c r="K102" s="231">
        <v>0</v>
      </c>
      <c r="L102" s="231">
        <v>0</v>
      </c>
      <c r="M102" s="231">
        <v>0</v>
      </c>
      <c r="N102" s="231">
        <v>0</v>
      </c>
      <c r="O102" s="231">
        <v>0</v>
      </c>
      <c r="P102" s="231">
        <v>0</v>
      </c>
      <c r="Q102" s="231">
        <v>0</v>
      </c>
      <c r="R102" s="231">
        <v>0</v>
      </c>
      <c r="S102" s="231">
        <v>0</v>
      </c>
      <c r="T102" s="231">
        <v>0</v>
      </c>
      <c r="U102" s="231">
        <v>0</v>
      </c>
      <c r="V102" s="231">
        <v>0</v>
      </c>
      <c r="W102" s="231">
        <v>0</v>
      </c>
      <c r="X102" s="231">
        <v>0</v>
      </c>
      <c r="Y102" s="231">
        <v>0</v>
      </c>
      <c r="Z102" s="231">
        <v>0</v>
      </c>
      <c r="AA102" s="231">
        <v>0</v>
      </c>
      <c r="AB102" s="231">
        <v>0</v>
      </c>
      <c r="AC102" s="231">
        <v>0</v>
      </c>
      <c r="AD102" s="231">
        <v>0</v>
      </c>
      <c r="AE102" s="231">
        <v>0</v>
      </c>
      <c r="AF102" s="231">
        <v>0</v>
      </c>
      <c r="AG102" s="231">
        <v>0</v>
      </c>
      <c r="AH102" s="231">
        <v>0</v>
      </c>
      <c r="AI102" s="231">
        <v>0</v>
      </c>
      <c r="AJ102" s="231">
        <v>0</v>
      </c>
      <c r="AK102" s="231">
        <v>0</v>
      </c>
      <c r="AL102" s="231">
        <v>0</v>
      </c>
      <c r="AM102" s="231">
        <v>0</v>
      </c>
      <c r="AN102" s="231">
        <v>0</v>
      </c>
    </row>
    <row r="103" spans="3:40" x14ac:dyDescent="0.3">
      <c r="C103" s="231">
        <v>27</v>
      </c>
      <c r="D103" s="231">
        <v>9</v>
      </c>
      <c r="E103" s="231">
        <v>11</v>
      </c>
      <c r="F103" s="231">
        <v>944.25</v>
      </c>
      <c r="G103" s="231">
        <v>0</v>
      </c>
      <c r="H103" s="231">
        <v>944.25</v>
      </c>
      <c r="I103" s="231">
        <v>0</v>
      </c>
      <c r="J103" s="231">
        <v>0</v>
      </c>
      <c r="K103" s="231">
        <v>0</v>
      </c>
      <c r="L103" s="231">
        <v>0</v>
      </c>
      <c r="M103" s="231">
        <v>0</v>
      </c>
      <c r="N103" s="231">
        <v>0</v>
      </c>
      <c r="O103" s="231">
        <v>0</v>
      </c>
      <c r="P103" s="231">
        <v>0</v>
      </c>
      <c r="Q103" s="231">
        <v>0</v>
      </c>
      <c r="R103" s="231">
        <v>0</v>
      </c>
      <c r="S103" s="231">
        <v>0</v>
      </c>
      <c r="T103" s="231">
        <v>0</v>
      </c>
      <c r="U103" s="231">
        <v>0</v>
      </c>
      <c r="V103" s="231">
        <v>0</v>
      </c>
      <c r="W103" s="231">
        <v>0</v>
      </c>
      <c r="X103" s="231">
        <v>0</v>
      </c>
      <c r="Y103" s="231">
        <v>0</v>
      </c>
      <c r="Z103" s="231">
        <v>0</v>
      </c>
      <c r="AA103" s="231">
        <v>0</v>
      </c>
      <c r="AB103" s="231">
        <v>0</v>
      </c>
      <c r="AC103" s="231">
        <v>0</v>
      </c>
      <c r="AD103" s="231">
        <v>0</v>
      </c>
      <c r="AE103" s="231">
        <v>0</v>
      </c>
      <c r="AF103" s="231">
        <v>0</v>
      </c>
      <c r="AG103" s="231">
        <v>0</v>
      </c>
      <c r="AH103" s="231">
        <v>0</v>
      </c>
      <c r="AI103" s="231">
        <v>0</v>
      </c>
      <c r="AJ103" s="231">
        <v>0</v>
      </c>
      <c r="AK103" s="231">
        <v>0</v>
      </c>
      <c r="AL103" s="231">
        <v>0</v>
      </c>
      <c r="AM103" s="231">
        <v>0</v>
      </c>
      <c r="AN103" s="231">
        <v>0</v>
      </c>
    </row>
    <row r="104" spans="3:40" x14ac:dyDescent="0.3">
      <c r="C104" s="231">
        <v>27</v>
      </c>
      <c r="D104" s="231">
        <v>10</v>
      </c>
      <c r="E104" s="231">
        <v>1</v>
      </c>
      <c r="F104" s="231">
        <v>7.2</v>
      </c>
      <c r="G104" s="231">
        <v>0</v>
      </c>
      <c r="H104" s="231">
        <v>2.2000000000000002</v>
      </c>
      <c r="I104" s="231">
        <v>0</v>
      </c>
      <c r="J104" s="231">
        <v>0</v>
      </c>
      <c r="K104" s="231">
        <v>3.5</v>
      </c>
      <c r="L104" s="231">
        <v>0</v>
      </c>
      <c r="M104" s="231">
        <v>0</v>
      </c>
      <c r="N104" s="231">
        <v>0</v>
      </c>
      <c r="O104" s="231">
        <v>0</v>
      </c>
      <c r="P104" s="231">
        <v>0</v>
      </c>
      <c r="Q104" s="231">
        <v>0</v>
      </c>
      <c r="R104" s="231">
        <v>0</v>
      </c>
      <c r="S104" s="231">
        <v>0</v>
      </c>
      <c r="T104" s="231">
        <v>0</v>
      </c>
      <c r="U104" s="231">
        <v>0</v>
      </c>
      <c r="V104" s="231">
        <v>0</v>
      </c>
      <c r="W104" s="231">
        <v>0</v>
      </c>
      <c r="X104" s="231">
        <v>1</v>
      </c>
      <c r="Y104" s="231">
        <v>0</v>
      </c>
      <c r="Z104" s="231">
        <v>0</v>
      </c>
      <c r="AA104" s="231">
        <v>0</v>
      </c>
      <c r="AB104" s="231">
        <v>0</v>
      </c>
      <c r="AC104" s="231">
        <v>0</v>
      </c>
      <c r="AD104" s="231">
        <v>0</v>
      </c>
      <c r="AE104" s="231">
        <v>0</v>
      </c>
      <c r="AF104" s="231">
        <v>0</v>
      </c>
      <c r="AG104" s="231">
        <v>0</v>
      </c>
      <c r="AH104" s="231">
        <v>0</v>
      </c>
      <c r="AI104" s="231">
        <v>0</v>
      </c>
      <c r="AJ104" s="231">
        <v>0</v>
      </c>
      <c r="AK104" s="231">
        <v>0</v>
      </c>
      <c r="AL104" s="231">
        <v>0</v>
      </c>
      <c r="AM104" s="231">
        <v>0.5</v>
      </c>
      <c r="AN104" s="231">
        <v>0</v>
      </c>
    </row>
    <row r="105" spans="3:40" x14ac:dyDescent="0.3">
      <c r="C105" s="231">
        <v>27</v>
      </c>
      <c r="D105" s="231">
        <v>10</v>
      </c>
      <c r="E105" s="231">
        <v>2</v>
      </c>
      <c r="F105" s="231">
        <v>1087.2</v>
      </c>
      <c r="G105" s="231">
        <v>0</v>
      </c>
      <c r="H105" s="231">
        <v>395.2</v>
      </c>
      <c r="I105" s="231">
        <v>0</v>
      </c>
      <c r="J105" s="231">
        <v>0</v>
      </c>
      <c r="K105" s="231">
        <v>624</v>
      </c>
      <c r="L105" s="231">
        <v>0</v>
      </c>
      <c r="M105" s="231">
        <v>0</v>
      </c>
      <c r="N105" s="231">
        <v>0</v>
      </c>
      <c r="O105" s="231">
        <v>0</v>
      </c>
      <c r="P105" s="231">
        <v>0</v>
      </c>
      <c r="Q105" s="231">
        <v>0</v>
      </c>
      <c r="R105" s="231">
        <v>0</v>
      </c>
      <c r="S105" s="231">
        <v>0</v>
      </c>
      <c r="T105" s="231">
        <v>0</v>
      </c>
      <c r="U105" s="231">
        <v>0</v>
      </c>
      <c r="V105" s="231">
        <v>0</v>
      </c>
      <c r="W105" s="231">
        <v>0</v>
      </c>
      <c r="X105" s="231">
        <v>0</v>
      </c>
      <c r="Y105" s="231">
        <v>0</v>
      </c>
      <c r="Z105" s="231">
        <v>0</v>
      </c>
      <c r="AA105" s="231">
        <v>0</v>
      </c>
      <c r="AB105" s="231">
        <v>0</v>
      </c>
      <c r="AC105" s="231">
        <v>0</v>
      </c>
      <c r="AD105" s="231">
        <v>0</v>
      </c>
      <c r="AE105" s="231">
        <v>0</v>
      </c>
      <c r="AF105" s="231">
        <v>0</v>
      </c>
      <c r="AG105" s="231">
        <v>0</v>
      </c>
      <c r="AH105" s="231">
        <v>0</v>
      </c>
      <c r="AI105" s="231">
        <v>0</v>
      </c>
      <c r="AJ105" s="231">
        <v>0</v>
      </c>
      <c r="AK105" s="231">
        <v>0</v>
      </c>
      <c r="AL105" s="231">
        <v>0</v>
      </c>
      <c r="AM105" s="231">
        <v>68</v>
      </c>
      <c r="AN105" s="231">
        <v>0</v>
      </c>
    </row>
    <row r="106" spans="3:40" x14ac:dyDescent="0.3">
      <c r="C106" s="231">
        <v>27</v>
      </c>
      <c r="D106" s="231">
        <v>10</v>
      </c>
      <c r="E106" s="231">
        <v>3</v>
      </c>
      <c r="F106" s="231">
        <v>0</v>
      </c>
      <c r="G106" s="231">
        <v>0</v>
      </c>
      <c r="H106" s="231">
        <v>0</v>
      </c>
      <c r="I106" s="231">
        <v>0</v>
      </c>
      <c r="J106" s="231">
        <v>0</v>
      </c>
      <c r="K106" s="231">
        <v>0</v>
      </c>
      <c r="L106" s="231">
        <v>0</v>
      </c>
      <c r="M106" s="231">
        <v>0</v>
      </c>
      <c r="N106" s="231">
        <v>0</v>
      </c>
      <c r="O106" s="231">
        <v>0</v>
      </c>
      <c r="P106" s="231">
        <v>0</v>
      </c>
      <c r="Q106" s="231">
        <v>0</v>
      </c>
      <c r="R106" s="231">
        <v>0</v>
      </c>
      <c r="S106" s="231">
        <v>0</v>
      </c>
      <c r="T106" s="231">
        <v>0</v>
      </c>
      <c r="U106" s="231">
        <v>0</v>
      </c>
      <c r="V106" s="231">
        <v>0</v>
      </c>
      <c r="W106" s="231">
        <v>0</v>
      </c>
      <c r="X106" s="231">
        <v>0</v>
      </c>
      <c r="Y106" s="231">
        <v>0</v>
      </c>
      <c r="Z106" s="231">
        <v>0</v>
      </c>
      <c r="AA106" s="231">
        <v>0</v>
      </c>
      <c r="AB106" s="231">
        <v>0</v>
      </c>
      <c r="AC106" s="231">
        <v>0</v>
      </c>
      <c r="AD106" s="231">
        <v>0</v>
      </c>
      <c r="AE106" s="231">
        <v>0</v>
      </c>
      <c r="AF106" s="231">
        <v>0</v>
      </c>
      <c r="AG106" s="231">
        <v>0</v>
      </c>
      <c r="AH106" s="231">
        <v>0</v>
      </c>
      <c r="AI106" s="231">
        <v>0</v>
      </c>
      <c r="AJ106" s="231">
        <v>0</v>
      </c>
      <c r="AK106" s="231">
        <v>0</v>
      </c>
      <c r="AL106" s="231">
        <v>0</v>
      </c>
      <c r="AM106" s="231">
        <v>0</v>
      </c>
      <c r="AN106" s="231">
        <v>0</v>
      </c>
    </row>
    <row r="107" spans="3:40" x14ac:dyDescent="0.3">
      <c r="C107" s="231">
        <v>27</v>
      </c>
      <c r="D107" s="231">
        <v>10</v>
      </c>
      <c r="E107" s="231">
        <v>4</v>
      </c>
      <c r="F107" s="231">
        <v>0</v>
      </c>
      <c r="G107" s="231">
        <v>0</v>
      </c>
      <c r="H107" s="231">
        <v>0</v>
      </c>
      <c r="I107" s="231">
        <v>0</v>
      </c>
      <c r="J107" s="231">
        <v>0</v>
      </c>
      <c r="K107" s="231">
        <v>0</v>
      </c>
      <c r="L107" s="231">
        <v>0</v>
      </c>
      <c r="M107" s="231">
        <v>0</v>
      </c>
      <c r="N107" s="231">
        <v>0</v>
      </c>
      <c r="O107" s="231">
        <v>0</v>
      </c>
      <c r="P107" s="231">
        <v>0</v>
      </c>
      <c r="Q107" s="231">
        <v>0</v>
      </c>
      <c r="R107" s="231">
        <v>0</v>
      </c>
      <c r="S107" s="231">
        <v>0</v>
      </c>
      <c r="T107" s="231">
        <v>0</v>
      </c>
      <c r="U107" s="231">
        <v>0</v>
      </c>
      <c r="V107" s="231">
        <v>0</v>
      </c>
      <c r="W107" s="231">
        <v>0</v>
      </c>
      <c r="X107" s="231">
        <v>0</v>
      </c>
      <c r="Y107" s="231">
        <v>0</v>
      </c>
      <c r="Z107" s="231">
        <v>0</v>
      </c>
      <c r="AA107" s="231">
        <v>0</v>
      </c>
      <c r="AB107" s="231">
        <v>0</v>
      </c>
      <c r="AC107" s="231">
        <v>0</v>
      </c>
      <c r="AD107" s="231">
        <v>0</v>
      </c>
      <c r="AE107" s="231">
        <v>0</v>
      </c>
      <c r="AF107" s="231">
        <v>0</v>
      </c>
      <c r="AG107" s="231">
        <v>0</v>
      </c>
      <c r="AH107" s="231">
        <v>0</v>
      </c>
      <c r="AI107" s="231">
        <v>0</v>
      </c>
      <c r="AJ107" s="231">
        <v>0</v>
      </c>
      <c r="AK107" s="231">
        <v>0</v>
      </c>
      <c r="AL107" s="231">
        <v>0</v>
      </c>
      <c r="AM107" s="231">
        <v>0</v>
      </c>
      <c r="AN107" s="231">
        <v>0</v>
      </c>
    </row>
    <row r="108" spans="3:40" x14ac:dyDescent="0.3">
      <c r="C108" s="231">
        <v>27</v>
      </c>
      <c r="D108" s="231">
        <v>10</v>
      </c>
      <c r="E108" s="231">
        <v>5</v>
      </c>
      <c r="F108" s="231">
        <v>0</v>
      </c>
      <c r="G108" s="231">
        <v>0</v>
      </c>
      <c r="H108" s="231">
        <v>0</v>
      </c>
      <c r="I108" s="231">
        <v>0</v>
      </c>
      <c r="J108" s="231">
        <v>0</v>
      </c>
      <c r="K108" s="231">
        <v>0</v>
      </c>
      <c r="L108" s="231">
        <v>0</v>
      </c>
      <c r="M108" s="231">
        <v>0</v>
      </c>
      <c r="N108" s="231">
        <v>0</v>
      </c>
      <c r="O108" s="231">
        <v>0</v>
      </c>
      <c r="P108" s="231">
        <v>0</v>
      </c>
      <c r="Q108" s="231">
        <v>0</v>
      </c>
      <c r="R108" s="231">
        <v>0</v>
      </c>
      <c r="S108" s="231">
        <v>0</v>
      </c>
      <c r="T108" s="231">
        <v>0</v>
      </c>
      <c r="U108" s="231">
        <v>0</v>
      </c>
      <c r="V108" s="231">
        <v>0</v>
      </c>
      <c r="W108" s="231">
        <v>0</v>
      </c>
      <c r="X108" s="231">
        <v>0</v>
      </c>
      <c r="Y108" s="231">
        <v>0</v>
      </c>
      <c r="Z108" s="231">
        <v>0</v>
      </c>
      <c r="AA108" s="231">
        <v>0</v>
      </c>
      <c r="AB108" s="231">
        <v>0</v>
      </c>
      <c r="AC108" s="231">
        <v>0</v>
      </c>
      <c r="AD108" s="231">
        <v>0</v>
      </c>
      <c r="AE108" s="231">
        <v>0</v>
      </c>
      <c r="AF108" s="231">
        <v>0</v>
      </c>
      <c r="AG108" s="231">
        <v>0</v>
      </c>
      <c r="AH108" s="231">
        <v>0</v>
      </c>
      <c r="AI108" s="231">
        <v>0</v>
      </c>
      <c r="AJ108" s="231">
        <v>0</v>
      </c>
      <c r="AK108" s="231">
        <v>0</v>
      </c>
      <c r="AL108" s="231">
        <v>0</v>
      </c>
      <c r="AM108" s="231">
        <v>0</v>
      </c>
      <c r="AN108" s="231">
        <v>0</v>
      </c>
    </row>
    <row r="109" spans="3:40" x14ac:dyDescent="0.3">
      <c r="C109" s="231">
        <v>27</v>
      </c>
      <c r="D109" s="231">
        <v>10</v>
      </c>
      <c r="E109" s="231">
        <v>6</v>
      </c>
      <c r="F109" s="231">
        <v>215270</v>
      </c>
      <c r="G109" s="231">
        <v>0</v>
      </c>
      <c r="H109" s="231">
        <v>113213</v>
      </c>
      <c r="I109" s="231">
        <v>0</v>
      </c>
      <c r="J109" s="231">
        <v>0</v>
      </c>
      <c r="K109" s="231">
        <v>95753</v>
      </c>
      <c r="L109" s="231">
        <v>0</v>
      </c>
      <c r="M109" s="231">
        <v>0</v>
      </c>
      <c r="N109" s="231">
        <v>0</v>
      </c>
      <c r="O109" s="231">
        <v>0</v>
      </c>
      <c r="P109" s="231">
        <v>0</v>
      </c>
      <c r="Q109" s="231">
        <v>0</v>
      </c>
      <c r="R109" s="231">
        <v>0</v>
      </c>
      <c r="S109" s="231">
        <v>0</v>
      </c>
      <c r="T109" s="231">
        <v>0</v>
      </c>
      <c r="U109" s="231">
        <v>0</v>
      </c>
      <c r="V109" s="231">
        <v>0</v>
      </c>
      <c r="W109" s="231">
        <v>0</v>
      </c>
      <c r="X109" s="231">
        <v>0</v>
      </c>
      <c r="Y109" s="231">
        <v>0</v>
      </c>
      <c r="Z109" s="231">
        <v>0</v>
      </c>
      <c r="AA109" s="231">
        <v>0</v>
      </c>
      <c r="AB109" s="231">
        <v>0</v>
      </c>
      <c r="AC109" s="231">
        <v>0</v>
      </c>
      <c r="AD109" s="231">
        <v>0</v>
      </c>
      <c r="AE109" s="231">
        <v>0</v>
      </c>
      <c r="AF109" s="231">
        <v>0</v>
      </c>
      <c r="AG109" s="231">
        <v>0</v>
      </c>
      <c r="AH109" s="231">
        <v>0</v>
      </c>
      <c r="AI109" s="231">
        <v>0</v>
      </c>
      <c r="AJ109" s="231">
        <v>0</v>
      </c>
      <c r="AK109" s="231">
        <v>0</v>
      </c>
      <c r="AL109" s="231">
        <v>0</v>
      </c>
      <c r="AM109" s="231">
        <v>6304</v>
      </c>
      <c r="AN109" s="231">
        <v>0</v>
      </c>
    </row>
    <row r="110" spans="3:40" x14ac:dyDescent="0.3">
      <c r="C110" s="231">
        <v>27</v>
      </c>
      <c r="D110" s="231">
        <v>10</v>
      </c>
      <c r="E110" s="231">
        <v>7</v>
      </c>
      <c r="F110" s="231">
        <v>0</v>
      </c>
      <c r="G110" s="231">
        <v>0</v>
      </c>
      <c r="H110" s="231">
        <v>0</v>
      </c>
      <c r="I110" s="231">
        <v>0</v>
      </c>
      <c r="J110" s="231">
        <v>0</v>
      </c>
      <c r="K110" s="231">
        <v>0</v>
      </c>
      <c r="L110" s="231">
        <v>0</v>
      </c>
      <c r="M110" s="231">
        <v>0</v>
      </c>
      <c r="N110" s="231">
        <v>0</v>
      </c>
      <c r="O110" s="231">
        <v>0</v>
      </c>
      <c r="P110" s="231">
        <v>0</v>
      </c>
      <c r="Q110" s="231">
        <v>0</v>
      </c>
      <c r="R110" s="231">
        <v>0</v>
      </c>
      <c r="S110" s="231">
        <v>0</v>
      </c>
      <c r="T110" s="231">
        <v>0</v>
      </c>
      <c r="U110" s="231">
        <v>0</v>
      </c>
      <c r="V110" s="231">
        <v>0</v>
      </c>
      <c r="W110" s="231">
        <v>0</v>
      </c>
      <c r="X110" s="231">
        <v>0</v>
      </c>
      <c r="Y110" s="231">
        <v>0</v>
      </c>
      <c r="Z110" s="231">
        <v>0</v>
      </c>
      <c r="AA110" s="231">
        <v>0</v>
      </c>
      <c r="AB110" s="231">
        <v>0</v>
      </c>
      <c r="AC110" s="231">
        <v>0</v>
      </c>
      <c r="AD110" s="231">
        <v>0</v>
      </c>
      <c r="AE110" s="231">
        <v>0</v>
      </c>
      <c r="AF110" s="231">
        <v>0</v>
      </c>
      <c r="AG110" s="231">
        <v>0</v>
      </c>
      <c r="AH110" s="231">
        <v>0</v>
      </c>
      <c r="AI110" s="231">
        <v>0</v>
      </c>
      <c r="AJ110" s="231">
        <v>0</v>
      </c>
      <c r="AK110" s="231">
        <v>0</v>
      </c>
      <c r="AL110" s="231">
        <v>0</v>
      </c>
      <c r="AM110" s="231">
        <v>0</v>
      </c>
      <c r="AN110" s="231">
        <v>0</v>
      </c>
    </row>
    <row r="111" spans="3:40" x14ac:dyDescent="0.3">
      <c r="C111" s="231">
        <v>27</v>
      </c>
      <c r="D111" s="231">
        <v>10</v>
      </c>
      <c r="E111" s="231">
        <v>8</v>
      </c>
      <c r="F111" s="231">
        <v>0</v>
      </c>
      <c r="G111" s="231">
        <v>0</v>
      </c>
      <c r="H111" s="231">
        <v>0</v>
      </c>
      <c r="I111" s="231">
        <v>0</v>
      </c>
      <c r="J111" s="231">
        <v>0</v>
      </c>
      <c r="K111" s="231">
        <v>0</v>
      </c>
      <c r="L111" s="231">
        <v>0</v>
      </c>
      <c r="M111" s="231">
        <v>0</v>
      </c>
      <c r="N111" s="231">
        <v>0</v>
      </c>
      <c r="O111" s="231">
        <v>0</v>
      </c>
      <c r="P111" s="231">
        <v>0</v>
      </c>
      <c r="Q111" s="231">
        <v>0</v>
      </c>
      <c r="R111" s="231">
        <v>0</v>
      </c>
      <c r="S111" s="231">
        <v>0</v>
      </c>
      <c r="T111" s="231">
        <v>0</v>
      </c>
      <c r="U111" s="231">
        <v>0</v>
      </c>
      <c r="V111" s="231">
        <v>0</v>
      </c>
      <c r="W111" s="231">
        <v>0</v>
      </c>
      <c r="X111" s="231">
        <v>0</v>
      </c>
      <c r="Y111" s="231">
        <v>0</v>
      </c>
      <c r="Z111" s="231">
        <v>0</v>
      </c>
      <c r="AA111" s="231">
        <v>0</v>
      </c>
      <c r="AB111" s="231">
        <v>0</v>
      </c>
      <c r="AC111" s="231">
        <v>0</v>
      </c>
      <c r="AD111" s="231">
        <v>0</v>
      </c>
      <c r="AE111" s="231">
        <v>0</v>
      </c>
      <c r="AF111" s="231">
        <v>0</v>
      </c>
      <c r="AG111" s="231">
        <v>0</v>
      </c>
      <c r="AH111" s="231">
        <v>0</v>
      </c>
      <c r="AI111" s="231">
        <v>0</v>
      </c>
      <c r="AJ111" s="231">
        <v>0</v>
      </c>
      <c r="AK111" s="231">
        <v>0</v>
      </c>
      <c r="AL111" s="231">
        <v>0</v>
      </c>
      <c r="AM111" s="231">
        <v>0</v>
      </c>
      <c r="AN111" s="231">
        <v>0</v>
      </c>
    </row>
    <row r="112" spans="3:40" x14ac:dyDescent="0.3">
      <c r="C112" s="231">
        <v>27</v>
      </c>
      <c r="D112" s="231">
        <v>10</v>
      </c>
      <c r="E112" s="231">
        <v>9</v>
      </c>
      <c r="F112" s="231">
        <v>0</v>
      </c>
      <c r="G112" s="231">
        <v>0</v>
      </c>
      <c r="H112" s="231">
        <v>0</v>
      </c>
      <c r="I112" s="231">
        <v>0</v>
      </c>
      <c r="J112" s="231">
        <v>0</v>
      </c>
      <c r="K112" s="231">
        <v>0</v>
      </c>
      <c r="L112" s="231">
        <v>0</v>
      </c>
      <c r="M112" s="231">
        <v>0</v>
      </c>
      <c r="N112" s="231">
        <v>0</v>
      </c>
      <c r="O112" s="231">
        <v>0</v>
      </c>
      <c r="P112" s="231">
        <v>0</v>
      </c>
      <c r="Q112" s="231">
        <v>0</v>
      </c>
      <c r="R112" s="231">
        <v>0</v>
      </c>
      <c r="S112" s="231">
        <v>0</v>
      </c>
      <c r="T112" s="231">
        <v>0</v>
      </c>
      <c r="U112" s="231">
        <v>0</v>
      </c>
      <c r="V112" s="231">
        <v>0</v>
      </c>
      <c r="W112" s="231">
        <v>0</v>
      </c>
      <c r="X112" s="231">
        <v>0</v>
      </c>
      <c r="Y112" s="231">
        <v>0</v>
      </c>
      <c r="Z112" s="231">
        <v>0</v>
      </c>
      <c r="AA112" s="231">
        <v>0</v>
      </c>
      <c r="AB112" s="231">
        <v>0</v>
      </c>
      <c r="AC112" s="231">
        <v>0</v>
      </c>
      <c r="AD112" s="231">
        <v>0</v>
      </c>
      <c r="AE112" s="231">
        <v>0</v>
      </c>
      <c r="AF112" s="231">
        <v>0</v>
      </c>
      <c r="AG112" s="231">
        <v>0</v>
      </c>
      <c r="AH112" s="231">
        <v>0</v>
      </c>
      <c r="AI112" s="231">
        <v>0</v>
      </c>
      <c r="AJ112" s="231">
        <v>0</v>
      </c>
      <c r="AK112" s="231">
        <v>0</v>
      </c>
      <c r="AL112" s="231">
        <v>0</v>
      </c>
      <c r="AM112" s="231">
        <v>0</v>
      </c>
      <c r="AN112" s="231">
        <v>0</v>
      </c>
    </row>
    <row r="113" spans="3:40" x14ac:dyDescent="0.3">
      <c r="C113" s="231">
        <v>27</v>
      </c>
      <c r="D113" s="231">
        <v>10</v>
      </c>
      <c r="E113" s="231">
        <v>10</v>
      </c>
      <c r="F113" s="231">
        <v>0</v>
      </c>
      <c r="G113" s="231">
        <v>0</v>
      </c>
      <c r="H113" s="231">
        <v>0</v>
      </c>
      <c r="I113" s="231">
        <v>0</v>
      </c>
      <c r="J113" s="231">
        <v>0</v>
      </c>
      <c r="K113" s="231">
        <v>0</v>
      </c>
      <c r="L113" s="231">
        <v>0</v>
      </c>
      <c r="M113" s="231">
        <v>0</v>
      </c>
      <c r="N113" s="231">
        <v>0</v>
      </c>
      <c r="O113" s="231">
        <v>0</v>
      </c>
      <c r="P113" s="231">
        <v>0</v>
      </c>
      <c r="Q113" s="231">
        <v>0</v>
      </c>
      <c r="R113" s="231">
        <v>0</v>
      </c>
      <c r="S113" s="231">
        <v>0</v>
      </c>
      <c r="T113" s="231">
        <v>0</v>
      </c>
      <c r="U113" s="231">
        <v>0</v>
      </c>
      <c r="V113" s="231">
        <v>0</v>
      </c>
      <c r="W113" s="231">
        <v>0</v>
      </c>
      <c r="X113" s="231">
        <v>0</v>
      </c>
      <c r="Y113" s="231">
        <v>0</v>
      </c>
      <c r="Z113" s="231">
        <v>0</v>
      </c>
      <c r="AA113" s="231">
        <v>0</v>
      </c>
      <c r="AB113" s="231">
        <v>0</v>
      </c>
      <c r="AC113" s="231">
        <v>0</v>
      </c>
      <c r="AD113" s="231">
        <v>0</v>
      </c>
      <c r="AE113" s="231">
        <v>0</v>
      </c>
      <c r="AF113" s="231">
        <v>0</v>
      </c>
      <c r="AG113" s="231">
        <v>0</v>
      </c>
      <c r="AH113" s="231">
        <v>0</v>
      </c>
      <c r="AI113" s="231">
        <v>0</v>
      </c>
      <c r="AJ113" s="231">
        <v>0</v>
      </c>
      <c r="AK113" s="231">
        <v>0</v>
      </c>
      <c r="AL113" s="231">
        <v>0</v>
      </c>
      <c r="AM113" s="231">
        <v>0</v>
      </c>
      <c r="AN113" s="231">
        <v>0</v>
      </c>
    </row>
    <row r="114" spans="3:40" x14ac:dyDescent="0.3">
      <c r="C114" s="231">
        <v>27</v>
      </c>
      <c r="D114" s="231">
        <v>10</v>
      </c>
      <c r="E114" s="231">
        <v>11</v>
      </c>
      <c r="F114" s="231">
        <v>944.25</v>
      </c>
      <c r="G114" s="231">
        <v>0</v>
      </c>
      <c r="H114" s="231">
        <v>944.25</v>
      </c>
      <c r="I114" s="231">
        <v>0</v>
      </c>
      <c r="J114" s="231">
        <v>0</v>
      </c>
      <c r="K114" s="231">
        <v>0</v>
      </c>
      <c r="L114" s="231">
        <v>0</v>
      </c>
      <c r="M114" s="231">
        <v>0</v>
      </c>
      <c r="N114" s="231">
        <v>0</v>
      </c>
      <c r="O114" s="231">
        <v>0</v>
      </c>
      <c r="P114" s="231">
        <v>0</v>
      </c>
      <c r="Q114" s="231">
        <v>0</v>
      </c>
      <c r="R114" s="231">
        <v>0</v>
      </c>
      <c r="S114" s="231">
        <v>0</v>
      </c>
      <c r="T114" s="231">
        <v>0</v>
      </c>
      <c r="U114" s="231">
        <v>0</v>
      </c>
      <c r="V114" s="231">
        <v>0</v>
      </c>
      <c r="W114" s="231">
        <v>0</v>
      </c>
      <c r="X114" s="231">
        <v>0</v>
      </c>
      <c r="Y114" s="231">
        <v>0</v>
      </c>
      <c r="Z114" s="231">
        <v>0</v>
      </c>
      <c r="AA114" s="231">
        <v>0</v>
      </c>
      <c r="AB114" s="231">
        <v>0</v>
      </c>
      <c r="AC114" s="231">
        <v>0</v>
      </c>
      <c r="AD114" s="231">
        <v>0</v>
      </c>
      <c r="AE114" s="231">
        <v>0</v>
      </c>
      <c r="AF114" s="231">
        <v>0</v>
      </c>
      <c r="AG114" s="231">
        <v>0</v>
      </c>
      <c r="AH114" s="231">
        <v>0</v>
      </c>
      <c r="AI114" s="231">
        <v>0</v>
      </c>
      <c r="AJ114" s="231">
        <v>0</v>
      </c>
      <c r="AK114" s="231">
        <v>0</v>
      </c>
      <c r="AL114" s="231">
        <v>0</v>
      </c>
      <c r="AM114" s="231">
        <v>0</v>
      </c>
      <c r="AN114" s="231">
        <v>0</v>
      </c>
    </row>
    <row r="115" spans="3:40" x14ac:dyDescent="0.3">
      <c r="C115" s="231">
        <v>27</v>
      </c>
      <c r="D115" s="231">
        <v>11</v>
      </c>
      <c r="E115" s="231">
        <v>1</v>
      </c>
      <c r="F115" s="231">
        <v>7.2</v>
      </c>
      <c r="G115" s="231">
        <v>0</v>
      </c>
      <c r="H115" s="231">
        <v>2.2000000000000002</v>
      </c>
      <c r="I115" s="231">
        <v>0</v>
      </c>
      <c r="J115" s="231">
        <v>0</v>
      </c>
      <c r="K115" s="231">
        <v>3.5</v>
      </c>
      <c r="L115" s="231">
        <v>0</v>
      </c>
      <c r="M115" s="231">
        <v>0</v>
      </c>
      <c r="N115" s="231">
        <v>0</v>
      </c>
      <c r="O115" s="231">
        <v>0</v>
      </c>
      <c r="P115" s="231">
        <v>0</v>
      </c>
      <c r="Q115" s="231">
        <v>0</v>
      </c>
      <c r="R115" s="231">
        <v>0</v>
      </c>
      <c r="S115" s="231">
        <v>0</v>
      </c>
      <c r="T115" s="231">
        <v>0</v>
      </c>
      <c r="U115" s="231">
        <v>0</v>
      </c>
      <c r="V115" s="231">
        <v>0</v>
      </c>
      <c r="W115" s="231">
        <v>0</v>
      </c>
      <c r="X115" s="231">
        <v>1</v>
      </c>
      <c r="Y115" s="231">
        <v>0</v>
      </c>
      <c r="Z115" s="231">
        <v>0</v>
      </c>
      <c r="AA115" s="231">
        <v>0</v>
      </c>
      <c r="AB115" s="231">
        <v>0</v>
      </c>
      <c r="AC115" s="231">
        <v>0</v>
      </c>
      <c r="AD115" s="231">
        <v>0</v>
      </c>
      <c r="AE115" s="231">
        <v>0</v>
      </c>
      <c r="AF115" s="231">
        <v>0</v>
      </c>
      <c r="AG115" s="231">
        <v>0</v>
      </c>
      <c r="AH115" s="231">
        <v>0</v>
      </c>
      <c r="AI115" s="231">
        <v>0</v>
      </c>
      <c r="AJ115" s="231">
        <v>0</v>
      </c>
      <c r="AK115" s="231">
        <v>0</v>
      </c>
      <c r="AL115" s="231">
        <v>0</v>
      </c>
      <c r="AM115" s="231">
        <v>0.5</v>
      </c>
      <c r="AN115" s="231">
        <v>0</v>
      </c>
    </row>
    <row r="116" spans="3:40" x14ac:dyDescent="0.3">
      <c r="C116" s="231">
        <v>27</v>
      </c>
      <c r="D116" s="231">
        <v>11</v>
      </c>
      <c r="E116" s="231">
        <v>2</v>
      </c>
      <c r="F116" s="231">
        <v>1047.5999999999999</v>
      </c>
      <c r="G116" s="231">
        <v>0</v>
      </c>
      <c r="H116" s="231">
        <v>345.6</v>
      </c>
      <c r="I116" s="231">
        <v>0</v>
      </c>
      <c r="J116" s="231">
        <v>0</v>
      </c>
      <c r="K116" s="231">
        <v>548</v>
      </c>
      <c r="L116" s="231">
        <v>0</v>
      </c>
      <c r="M116" s="231">
        <v>0</v>
      </c>
      <c r="N116" s="231">
        <v>0</v>
      </c>
      <c r="O116" s="231">
        <v>0</v>
      </c>
      <c r="P116" s="231">
        <v>0</v>
      </c>
      <c r="Q116" s="231">
        <v>0</v>
      </c>
      <c r="R116" s="231">
        <v>0</v>
      </c>
      <c r="S116" s="231">
        <v>0</v>
      </c>
      <c r="T116" s="231">
        <v>0</v>
      </c>
      <c r="U116" s="231">
        <v>0</v>
      </c>
      <c r="V116" s="231">
        <v>0</v>
      </c>
      <c r="W116" s="231">
        <v>0</v>
      </c>
      <c r="X116" s="231">
        <v>80</v>
      </c>
      <c r="Y116" s="231">
        <v>0</v>
      </c>
      <c r="Z116" s="231">
        <v>0</v>
      </c>
      <c r="AA116" s="231">
        <v>0</v>
      </c>
      <c r="AB116" s="231">
        <v>0</v>
      </c>
      <c r="AC116" s="231">
        <v>0</v>
      </c>
      <c r="AD116" s="231">
        <v>0</v>
      </c>
      <c r="AE116" s="231">
        <v>0</v>
      </c>
      <c r="AF116" s="231">
        <v>0</v>
      </c>
      <c r="AG116" s="231">
        <v>0</v>
      </c>
      <c r="AH116" s="231">
        <v>0</v>
      </c>
      <c r="AI116" s="231">
        <v>0</v>
      </c>
      <c r="AJ116" s="231">
        <v>0</v>
      </c>
      <c r="AK116" s="231">
        <v>0</v>
      </c>
      <c r="AL116" s="231">
        <v>0</v>
      </c>
      <c r="AM116" s="231">
        <v>74</v>
      </c>
      <c r="AN116" s="231">
        <v>0</v>
      </c>
    </row>
    <row r="117" spans="3:40" x14ac:dyDescent="0.3">
      <c r="C117" s="231">
        <v>27</v>
      </c>
      <c r="D117" s="231">
        <v>11</v>
      </c>
      <c r="E117" s="231">
        <v>3</v>
      </c>
      <c r="F117" s="231">
        <v>0</v>
      </c>
      <c r="G117" s="231">
        <v>0</v>
      </c>
      <c r="H117" s="231">
        <v>0</v>
      </c>
      <c r="I117" s="231">
        <v>0</v>
      </c>
      <c r="J117" s="231">
        <v>0</v>
      </c>
      <c r="K117" s="231">
        <v>0</v>
      </c>
      <c r="L117" s="231">
        <v>0</v>
      </c>
      <c r="M117" s="231">
        <v>0</v>
      </c>
      <c r="N117" s="231">
        <v>0</v>
      </c>
      <c r="O117" s="231">
        <v>0</v>
      </c>
      <c r="P117" s="231">
        <v>0</v>
      </c>
      <c r="Q117" s="231">
        <v>0</v>
      </c>
      <c r="R117" s="231">
        <v>0</v>
      </c>
      <c r="S117" s="231">
        <v>0</v>
      </c>
      <c r="T117" s="231">
        <v>0</v>
      </c>
      <c r="U117" s="231">
        <v>0</v>
      </c>
      <c r="V117" s="231">
        <v>0</v>
      </c>
      <c r="W117" s="231">
        <v>0</v>
      </c>
      <c r="X117" s="231">
        <v>0</v>
      </c>
      <c r="Y117" s="231">
        <v>0</v>
      </c>
      <c r="Z117" s="231">
        <v>0</v>
      </c>
      <c r="AA117" s="231">
        <v>0</v>
      </c>
      <c r="AB117" s="231">
        <v>0</v>
      </c>
      <c r="AC117" s="231">
        <v>0</v>
      </c>
      <c r="AD117" s="231">
        <v>0</v>
      </c>
      <c r="AE117" s="231">
        <v>0</v>
      </c>
      <c r="AF117" s="231">
        <v>0</v>
      </c>
      <c r="AG117" s="231">
        <v>0</v>
      </c>
      <c r="AH117" s="231">
        <v>0</v>
      </c>
      <c r="AI117" s="231">
        <v>0</v>
      </c>
      <c r="AJ117" s="231">
        <v>0</v>
      </c>
      <c r="AK117" s="231">
        <v>0</v>
      </c>
      <c r="AL117" s="231">
        <v>0</v>
      </c>
      <c r="AM117" s="231">
        <v>0</v>
      </c>
      <c r="AN117" s="231">
        <v>0</v>
      </c>
    </row>
    <row r="118" spans="3:40" x14ac:dyDescent="0.3">
      <c r="C118" s="231">
        <v>27</v>
      </c>
      <c r="D118" s="231">
        <v>11</v>
      </c>
      <c r="E118" s="231">
        <v>4</v>
      </c>
      <c r="F118" s="231">
        <v>0</v>
      </c>
      <c r="G118" s="231">
        <v>0</v>
      </c>
      <c r="H118" s="231">
        <v>0</v>
      </c>
      <c r="I118" s="231">
        <v>0</v>
      </c>
      <c r="J118" s="231">
        <v>0</v>
      </c>
      <c r="K118" s="231">
        <v>0</v>
      </c>
      <c r="L118" s="231">
        <v>0</v>
      </c>
      <c r="M118" s="231">
        <v>0</v>
      </c>
      <c r="N118" s="231">
        <v>0</v>
      </c>
      <c r="O118" s="231">
        <v>0</v>
      </c>
      <c r="P118" s="231">
        <v>0</v>
      </c>
      <c r="Q118" s="231">
        <v>0</v>
      </c>
      <c r="R118" s="231">
        <v>0</v>
      </c>
      <c r="S118" s="231">
        <v>0</v>
      </c>
      <c r="T118" s="231">
        <v>0</v>
      </c>
      <c r="U118" s="231">
        <v>0</v>
      </c>
      <c r="V118" s="231">
        <v>0</v>
      </c>
      <c r="W118" s="231">
        <v>0</v>
      </c>
      <c r="X118" s="231">
        <v>0</v>
      </c>
      <c r="Y118" s="231">
        <v>0</v>
      </c>
      <c r="Z118" s="231">
        <v>0</v>
      </c>
      <c r="AA118" s="231">
        <v>0</v>
      </c>
      <c r="AB118" s="231">
        <v>0</v>
      </c>
      <c r="AC118" s="231">
        <v>0</v>
      </c>
      <c r="AD118" s="231">
        <v>0</v>
      </c>
      <c r="AE118" s="231">
        <v>0</v>
      </c>
      <c r="AF118" s="231">
        <v>0</v>
      </c>
      <c r="AG118" s="231">
        <v>0</v>
      </c>
      <c r="AH118" s="231">
        <v>0</v>
      </c>
      <c r="AI118" s="231">
        <v>0</v>
      </c>
      <c r="AJ118" s="231">
        <v>0</v>
      </c>
      <c r="AK118" s="231">
        <v>0</v>
      </c>
      <c r="AL118" s="231">
        <v>0</v>
      </c>
      <c r="AM118" s="231">
        <v>0</v>
      </c>
      <c r="AN118" s="231">
        <v>0</v>
      </c>
    </row>
    <row r="119" spans="3:40" x14ac:dyDescent="0.3">
      <c r="C119" s="231">
        <v>27</v>
      </c>
      <c r="D119" s="231">
        <v>11</v>
      </c>
      <c r="E119" s="231">
        <v>5</v>
      </c>
      <c r="F119" s="231">
        <v>0</v>
      </c>
      <c r="G119" s="231">
        <v>0</v>
      </c>
      <c r="H119" s="231">
        <v>0</v>
      </c>
      <c r="I119" s="231">
        <v>0</v>
      </c>
      <c r="J119" s="231">
        <v>0</v>
      </c>
      <c r="K119" s="231">
        <v>0</v>
      </c>
      <c r="L119" s="231">
        <v>0</v>
      </c>
      <c r="M119" s="231">
        <v>0</v>
      </c>
      <c r="N119" s="231">
        <v>0</v>
      </c>
      <c r="O119" s="231">
        <v>0</v>
      </c>
      <c r="P119" s="231">
        <v>0</v>
      </c>
      <c r="Q119" s="231">
        <v>0</v>
      </c>
      <c r="R119" s="231">
        <v>0</v>
      </c>
      <c r="S119" s="231">
        <v>0</v>
      </c>
      <c r="T119" s="231">
        <v>0</v>
      </c>
      <c r="U119" s="231">
        <v>0</v>
      </c>
      <c r="V119" s="231">
        <v>0</v>
      </c>
      <c r="W119" s="231">
        <v>0</v>
      </c>
      <c r="X119" s="231">
        <v>0</v>
      </c>
      <c r="Y119" s="231">
        <v>0</v>
      </c>
      <c r="Z119" s="231">
        <v>0</v>
      </c>
      <c r="AA119" s="231">
        <v>0</v>
      </c>
      <c r="AB119" s="231">
        <v>0</v>
      </c>
      <c r="AC119" s="231">
        <v>0</v>
      </c>
      <c r="AD119" s="231">
        <v>0</v>
      </c>
      <c r="AE119" s="231">
        <v>0</v>
      </c>
      <c r="AF119" s="231">
        <v>0</v>
      </c>
      <c r="AG119" s="231">
        <v>0</v>
      </c>
      <c r="AH119" s="231">
        <v>0</v>
      </c>
      <c r="AI119" s="231">
        <v>0</v>
      </c>
      <c r="AJ119" s="231">
        <v>0</v>
      </c>
      <c r="AK119" s="231">
        <v>0</v>
      </c>
      <c r="AL119" s="231">
        <v>0</v>
      </c>
      <c r="AM119" s="231">
        <v>0</v>
      </c>
      <c r="AN119" s="231">
        <v>0</v>
      </c>
    </row>
    <row r="120" spans="3:40" x14ac:dyDescent="0.3">
      <c r="C120" s="231">
        <v>27</v>
      </c>
      <c r="D120" s="231">
        <v>11</v>
      </c>
      <c r="E120" s="231">
        <v>6</v>
      </c>
      <c r="F120" s="231">
        <v>395939</v>
      </c>
      <c r="G120" s="231">
        <v>0</v>
      </c>
      <c r="H120" s="231">
        <v>201835</v>
      </c>
      <c r="I120" s="231">
        <v>0</v>
      </c>
      <c r="J120" s="231">
        <v>0</v>
      </c>
      <c r="K120" s="231">
        <v>158478</v>
      </c>
      <c r="L120" s="231">
        <v>0</v>
      </c>
      <c r="M120" s="231">
        <v>0</v>
      </c>
      <c r="N120" s="231">
        <v>0</v>
      </c>
      <c r="O120" s="231">
        <v>0</v>
      </c>
      <c r="P120" s="231">
        <v>0</v>
      </c>
      <c r="Q120" s="231">
        <v>0</v>
      </c>
      <c r="R120" s="231">
        <v>0</v>
      </c>
      <c r="S120" s="231">
        <v>0</v>
      </c>
      <c r="T120" s="231">
        <v>0</v>
      </c>
      <c r="U120" s="231">
        <v>0</v>
      </c>
      <c r="V120" s="231">
        <v>0</v>
      </c>
      <c r="W120" s="231">
        <v>0</v>
      </c>
      <c r="X120" s="231">
        <v>23516</v>
      </c>
      <c r="Y120" s="231">
        <v>0</v>
      </c>
      <c r="Z120" s="231">
        <v>0</v>
      </c>
      <c r="AA120" s="231">
        <v>0</v>
      </c>
      <c r="AB120" s="231">
        <v>0</v>
      </c>
      <c r="AC120" s="231">
        <v>0</v>
      </c>
      <c r="AD120" s="231">
        <v>0</v>
      </c>
      <c r="AE120" s="231">
        <v>0</v>
      </c>
      <c r="AF120" s="231">
        <v>0</v>
      </c>
      <c r="AG120" s="231">
        <v>0</v>
      </c>
      <c r="AH120" s="231">
        <v>0</v>
      </c>
      <c r="AI120" s="231">
        <v>0</v>
      </c>
      <c r="AJ120" s="231">
        <v>0</v>
      </c>
      <c r="AK120" s="231">
        <v>0</v>
      </c>
      <c r="AL120" s="231">
        <v>0</v>
      </c>
      <c r="AM120" s="231">
        <v>12110</v>
      </c>
      <c r="AN120" s="231">
        <v>0</v>
      </c>
    </row>
    <row r="121" spans="3:40" x14ac:dyDescent="0.3">
      <c r="C121" s="231">
        <v>27</v>
      </c>
      <c r="D121" s="231">
        <v>11</v>
      </c>
      <c r="E121" s="231">
        <v>7</v>
      </c>
      <c r="F121" s="231">
        <v>0</v>
      </c>
      <c r="G121" s="231">
        <v>0</v>
      </c>
      <c r="H121" s="231">
        <v>0</v>
      </c>
      <c r="I121" s="231">
        <v>0</v>
      </c>
      <c r="J121" s="231">
        <v>0</v>
      </c>
      <c r="K121" s="231">
        <v>0</v>
      </c>
      <c r="L121" s="231">
        <v>0</v>
      </c>
      <c r="M121" s="231">
        <v>0</v>
      </c>
      <c r="N121" s="231">
        <v>0</v>
      </c>
      <c r="O121" s="231">
        <v>0</v>
      </c>
      <c r="P121" s="231">
        <v>0</v>
      </c>
      <c r="Q121" s="231">
        <v>0</v>
      </c>
      <c r="R121" s="231">
        <v>0</v>
      </c>
      <c r="S121" s="231">
        <v>0</v>
      </c>
      <c r="T121" s="231">
        <v>0</v>
      </c>
      <c r="U121" s="231">
        <v>0</v>
      </c>
      <c r="V121" s="231">
        <v>0</v>
      </c>
      <c r="W121" s="231">
        <v>0</v>
      </c>
      <c r="X121" s="231">
        <v>0</v>
      </c>
      <c r="Y121" s="231">
        <v>0</v>
      </c>
      <c r="Z121" s="231">
        <v>0</v>
      </c>
      <c r="AA121" s="231">
        <v>0</v>
      </c>
      <c r="AB121" s="231">
        <v>0</v>
      </c>
      <c r="AC121" s="231">
        <v>0</v>
      </c>
      <c r="AD121" s="231">
        <v>0</v>
      </c>
      <c r="AE121" s="231">
        <v>0</v>
      </c>
      <c r="AF121" s="231">
        <v>0</v>
      </c>
      <c r="AG121" s="231">
        <v>0</v>
      </c>
      <c r="AH121" s="231">
        <v>0</v>
      </c>
      <c r="AI121" s="231">
        <v>0</v>
      </c>
      <c r="AJ121" s="231">
        <v>0</v>
      </c>
      <c r="AK121" s="231">
        <v>0</v>
      </c>
      <c r="AL121" s="231">
        <v>0</v>
      </c>
      <c r="AM121" s="231">
        <v>0</v>
      </c>
      <c r="AN121" s="231">
        <v>0</v>
      </c>
    </row>
    <row r="122" spans="3:40" x14ac:dyDescent="0.3">
      <c r="C122" s="231">
        <v>27</v>
      </c>
      <c r="D122" s="231">
        <v>11</v>
      </c>
      <c r="E122" s="231">
        <v>8</v>
      </c>
      <c r="F122" s="231">
        <v>0</v>
      </c>
      <c r="G122" s="231">
        <v>0</v>
      </c>
      <c r="H122" s="231">
        <v>0</v>
      </c>
      <c r="I122" s="231">
        <v>0</v>
      </c>
      <c r="J122" s="231">
        <v>0</v>
      </c>
      <c r="K122" s="231">
        <v>0</v>
      </c>
      <c r="L122" s="231">
        <v>0</v>
      </c>
      <c r="M122" s="231">
        <v>0</v>
      </c>
      <c r="N122" s="231">
        <v>0</v>
      </c>
      <c r="O122" s="231">
        <v>0</v>
      </c>
      <c r="P122" s="231">
        <v>0</v>
      </c>
      <c r="Q122" s="231">
        <v>0</v>
      </c>
      <c r="R122" s="231">
        <v>0</v>
      </c>
      <c r="S122" s="231">
        <v>0</v>
      </c>
      <c r="T122" s="231">
        <v>0</v>
      </c>
      <c r="U122" s="231">
        <v>0</v>
      </c>
      <c r="V122" s="231">
        <v>0</v>
      </c>
      <c r="W122" s="231">
        <v>0</v>
      </c>
      <c r="X122" s="231">
        <v>0</v>
      </c>
      <c r="Y122" s="231">
        <v>0</v>
      </c>
      <c r="Z122" s="231">
        <v>0</v>
      </c>
      <c r="AA122" s="231">
        <v>0</v>
      </c>
      <c r="AB122" s="231">
        <v>0</v>
      </c>
      <c r="AC122" s="231">
        <v>0</v>
      </c>
      <c r="AD122" s="231">
        <v>0</v>
      </c>
      <c r="AE122" s="231">
        <v>0</v>
      </c>
      <c r="AF122" s="231">
        <v>0</v>
      </c>
      <c r="AG122" s="231">
        <v>0</v>
      </c>
      <c r="AH122" s="231">
        <v>0</v>
      </c>
      <c r="AI122" s="231">
        <v>0</v>
      </c>
      <c r="AJ122" s="231">
        <v>0</v>
      </c>
      <c r="AK122" s="231">
        <v>0</v>
      </c>
      <c r="AL122" s="231">
        <v>0</v>
      </c>
      <c r="AM122" s="231">
        <v>0</v>
      </c>
      <c r="AN122" s="231">
        <v>0</v>
      </c>
    </row>
    <row r="123" spans="3:40" x14ac:dyDescent="0.3">
      <c r="C123" s="231">
        <v>27</v>
      </c>
      <c r="D123" s="231">
        <v>11</v>
      </c>
      <c r="E123" s="231">
        <v>9</v>
      </c>
      <c r="F123" s="231">
        <v>166382</v>
      </c>
      <c r="G123" s="231">
        <v>0</v>
      </c>
      <c r="H123" s="231">
        <v>88700</v>
      </c>
      <c r="I123" s="231">
        <v>0</v>
      </c>
      <c r="J123" s="231">
        <v>0</v>
      </c>
      <c r="K123" s="231">
        <v>63251</v>
      </c>
      <c r="L123" s="231">
        <v>0</v>
      </c>
      <c r="M123" s="231">
        <v>0</v>
      </c>
      <c r="N123" s="231">
        <v>0</v>
      </c>
      <c r="O123" s="231">
        <v>0</v>
      </c>
      <c r="P123" s="231">
        <v>0</v>
      </c>
      <c r="Q123" s="231">
        <v>0</v>
      </c>
      <c r="R123" s="231">
        <v>0</v>
      </c>
      <c r="S123" s="231">
        <v>0</v>
      </c>
      <c r="T123" s="231">
        <v>0</v>
      </c>
      <c r="U123" s="231">
        <v>0</v>
      </c>
      <c r="V123" s="231">
        <v>0</v>
      </c>
      <c r="W123" s="231">
        <v>0</v>
      </c>
      <c r="X123" s="231">
        <v>10306</v>
      </c>
      <c r="Y123" s="231">
        <v>0</v>
      </c>
      <c r="Z123" s="231">
        <v>0</v>
      </c>
      <c r="AA123" s="231">
        <v>0</v>
      </c>
      <c r="AB123" s="231">
        <v>0</v>
      </c>
      <c r="AC123" s="231">
        <v>0</v>
      </c>
      <c r="AD123" s="231">
        <v>0</v>
      </c>
      <c r="AE123" s="231">
        <v>0</v>
      </c>
      <c r="AF123" s="231">
        <v>0</v>
      </c>
      <c r="AG123" s="231">
        <v>0</v>
      </c>
      <c r="AH123" s="231">
        <v>0</v>
      </c>
      <c r="AI123" s="231">
        <v>0</v>
      </c>
      <c r="AJ123" s="231">
        <v>0</v>
      </c>
      <c r="AK123" s="231">
        <v>0</v>
      </c>
      <c r="AL123" s="231">
        <v>0</v>
      </c>
      <c r="AM123" s="231">
        <v>4125</v>
      </c>
      <c r="AN123" s="231">
        <v>0</v>
      </c>
    </row>
    <row r="124" spans="3:40" x14ac:dyDescent="0.3">
      <c r="C124" s="231">
        <v>27</v>
      </c>
      <c r="D124" s="231">
        <v>11</v>
      </c>
      <c r="E124" s="231">
        <v>10</v>
      </c>
      <c r="F124" s="231">
        <v>0</v>
      </c>
      <c r="G124" s="231">
        <v>0</v>
      </c>
      <c r="H124" s="231">
        <v>0</v>
      </c>
      <c r="I124" s="231">
        <v>0</v>
      </c>
      <c r="J124" s="231">
        <v>0</v>
      </c>
      <c r="K124" s="231">
        <v>0</v>
      </c>
      <c r="L124" s="231">
        <v>0</v>
      </c>
      <c r="M124" s="231">
        <v>0</v>
      </c>
      <c r="N124" s="231">
        <v>0</v>
      </c>
      <c r="O124" s="231">
        <v>0</v>
      </c>
      <c r="P124" s="231">
        <v>0</v>
      </c>
      <c r="Q124" s="231">
        <v>0</v>
      </c>
      <c r="R124" s="231">
        <v>0</v>
      </c>
      <c r="S124" s="231">
        <v>0</v>
      </c>
      <c r="T124" s="231">
        <v>0</v>
      </c>
      <c r="U124" s="231">
        <v>0</v>
      </c>
      <c r="V124" s="231">
        <v>0</v>
      </c>
      <c r="W124" s="231">
        <v>0</v>
      </c>
      <c r="X124" s="231">
        <v>0</v>
      </c>
      <c r="Y124" s="231">
        <v>0</v>
      </c>
      <c r="Z124" s="231">
        <v>0</v>
      </c>
      <c r="AA124" s="231">
        <v>0</v>
      </c>
      <c r="AB124" s="231">
        <v>0</v>
      </c>
      <c r="AC124" s="231">
        <v>0</v>
      </c>
      <c r="AD124" s="231">
        <v>0</v>
      </c>
      <c r="AE124" s="231">
        <v>0</v>
      </c>
      <c r="AF124" s="231">
        <v>0</v>
      </c>
      <c r="AG124" s="231">
        <v>0</v>
      </c>
      <c r="AH124" s="231">
        <v>0</v>
      </c>
      <c r="AI124" s="231">
        <v>0</v>
      </c>
      <c r="AJ124" s="231">
        <v>0</v>
      </c>
      <c r="AK124" s="231">
        <v>0</v>
      </c>
      <c r="AL124" s="231">
        <v>0</v>
      </c>
      <c r="AM124" s="231">
        <v>0</v>
      </c>
      <c r="AN124" s="231">
        <v>0</v>
      </c>
    </row>
    <row r="125" spans="3:40" x14ac:dyDescent="0.3">
      <c r="C125" s="231">
        <v>27</v>
      </c>
      <c r="D125" s="231">
        <v>11</v>
      </c>
      <c r="E125" s="231">
        <v>11</v>
      </c>
      <c r="F125" s="231">
        <v>944.25</v>
      </c>
      <c r="G125" s="231">
        <v>0</v>
      </c>
      <c r="H125" s="231">
        <v>944.25</v>
      </c>
      <c r="I125" s="231">
        <v>0</v>
      </c>
      <c r="J125" s="231">
        <v>0</v>
      </c>
      <c r="K125" s="231">
        <v>0</v>
      </c>
      <c r="L125" s="231">
        <v>0</v>
      </c>
      <c r="M125" s="231">
        <v>0</v>
      </c>
      <c r="N125" s="231">
        <v>0</v>
      </c>
      <c r="O125" s="231">
        <v>0</v>
      </c>
      <c r="P125" s="231">
        <v>0</v>
      </c>
      <c r="Q125" s="231">
        <v>0</v>
      </c>
      <c r="R125" s="231">
        <v>0</v>
      </c>
      <c r="S125" s="231">
        <v>0</v>
      </c>
      <c r="T125" s="231">
        <v>0</v>
      </c>
      <c r="U125" s="231">
        <v>0</v>
      </c>
      <c r="V125" s="231">
        <v>0</v>
      </c>
      <c r="W125" s="231">
        <v>0</v>
      </c>
      <c r="X125" s="231">
        <v>0</v>
      </c>
      <c r="Y125" s="231">
        <v>0</v>
      </c>
      <c r="Z125" s="231">
        <v>0</v>
      </c>
      <c r="AA125" s="231">
        <v>0</v>
      </c>
      <c r="AB125" s="231">
        <v>0</v>
      </c>
      <c r="AC125" s="231">
        <v>0</v>
      </c>
      <c r="AD125" s="231">
        <v>0</v>
      </c>
      <c r="AE125" s="231">
        <v>0</v>
      </c>
      <c r="AF125" s="231">
        <v>0</v>
      </c>
      <c r="AG125" s="231">
        <v>0</v>
      </c>
      <c r="AH125" s="231">
        <v>0</v>
      </c>
      <c r="AI125" s="231">
        <v>0</v>
      </c>
      <c r="AJ125" s="231">
        <v>0</v>
      </c>
      <c r="AK125" s="231">
        <v>0</v>
      </c>
      <c r="AL125" s="231">
        <v>0</v>
      </c>
      <c r="AM125" s="231">
        <v>0</v>
      </c>
      <c r="AN125" s="231">
        <v>0</v>
      </c>
    </row>
    <row r="126" spans="3:40" x14ac:dyDescent="0.3">
      <c r="C126" s="231">
        <v>27</v>
      </c>
      <c r="D126" s="231">
        <v>12</v>
      </c>
      <c r="E126" s="231">
        <v>1</v>
      </c>
      <c r="F126" s="231">
        <v>7.2</v>
      </c>
      <c r="G126" s="231">
        <v>0</v>
      </c>
      <c r="H126" s="231">
        <v>2.2000000000000002</v>
      </c>
      <c r="I126" s="231">
        <v>0</v>
      </c>
      <c r="J126" s="231">
        <v>0</v>
      </c>
      <c r="K126" s="231">
        <v>3.5</v>
      </c>
      <c r="L126" s="231">
        <v>0</v>
      </c>
      <c r="M126" s="231">
        <v>0</v>
      </c>
      <c r="N126" s="231">
        <v>0</v>
      </c>
      <c r="O126" s="231">
        <v>0</v>
      </c>
      <c r="P126" s="231">
        <v>0</v>
      </c>
      <c r="Q126" s="231">
        <v>0</v>
      </c>
      <c r="R126" s="231">
        <v>0</v>
      </c>
      <c r="S126" s="231">
        <v>0</v>
      </c>
      <c r="T126" s="231">
        <v>0</v>
      </c>
      <c r="U126" s="231">
        <v>0</v>
      </c>
      <c r="V126" s="231">
        <v>0</v>
      </c>
      <c r="W126" s="231">
        <v>0</v>
      </c>
      <c r="X126" s="231">
        <v>1</v>
      </c>
      <c r="Y126" s="231">
        <v>0</v>
      </c>
      <c r="Z126" s="231">
        <v>0</v>
      </c>
      <c r="AA126" s="231">
        <v>0</v>
      </c>
      <c r="AB126" s="231">
        <v>0</v>
      </c>
      <c r="AC126" s="231">
        <v>0</v>
      </c>
      <c r="AD126" s="231">
        <v>0</v>
      </c>
      <c r="AE126" s="231">
        <v>0</v>
      </c>
      <c r="AF126" s="231">
        <v>0</v>
      </c>
      <c r="AG126" s="231">
        <v>0</v>
      </c>
      <c r="AH126" s="231">
        <v>0</v>
      </c>
      <c r="AI126" s="231">
        <v>0</v>
      </c>
      <c r="AJ126" s="231">
        <v>0</v>
      </c>
      <c r="AK126" s="231">
        <v>0</v>
      </c>
      <c r="AL126" s="231">
        <v>0</v>
      </c>
      <c r="AM126" s="231">
        <v>0.5</v>
      </c>
      <c r="AN126" s="231">
        <v>0</v>
      </c>
    </row>
    <row r="127" spans="3:40" x14ac:dyDescent="0.3">
      <c r="C127" s="231">
        <v>27</v>
      </c>
      <c r="D127" s="231">
        <v>12</v>
      </c>
      <c r="E127" s="231">
        <v>2</v>
      </c>
      <c r="F127" s="231">
        <v>1059.2</v>
      </c>
      <c r="G127" s="231">
        <v>0</v>
      </c>
      <c r="H127" s="231">
        <v>363.2</v>
      </c>
      <c r="I127" s="231">
        <v>0</v>
      </c>
      <c r="J127" s="231">
        <v>0</v>
      </c>
      <c r="K127" s="231">
        <v>460</v>
      </c>
      <c r="L127" s="231">
        <v>0</v>
      </c>
      <c r="M127" s="231">
        <v>0</v>
      </c>
      <c r="N127" s="231">
        <v>0</v>
      </c>
      <c r="O127" s="231">
        <v>0</v>
      </c>
      <c r="P127" s="231">
        <v>0</v>
      </c>
      <c r="Q127" s="231">
        <v>0</v>
      </c>
      <c r="R127" s="231">
        <v>0</v>
      </c>
      <c r="S127" s="231">
        <v>0</v>
      </c>
      <c r="T127" s="231">
        <v>0</v>
      </c>
      <c r="U127" s="231">
        <v>0</v>
      </c>
      <c r="V127" s="231">
        <v>0</v>
      </c>
      <c r="W127" s="231">
        <v>0</v>
      </c>
      <c r="X127" s="231">
        <v>164</v>
      </c>
      <c r="Y127" s="231">
        <v>0</v>
      </c>
      <c r="Z127" s="231">
        <v>0</v>
      </c>
      <c r="AA127" s="231">
        <v>0</v>
      </c>
      <c r="AB127" s="231">
        <v>0</v>
      </c>
      <c r="AC127" s="231">
        <v>0</v>
      </c>
      <c r="AD127" s="231">
        <v>0</v>
      </c>
      <c r="AE127" s="231">
        <v>0</v>
      </c>
      <c r="AF127" s="231">
        <v>0</v>
      </c>
      <c r="AG127" s="231">
        <v>0</v>
      </c>
      <c r="AH127" s="231">
        <v>0</v>
      </c>
      <c r="AI127" s="231">
        <v>0</v>
      </c>
      <c r="AJ127" s="231">
        <v>0</v>
      </c>
      <c r="AK127" s="231">
        <v>0</v>
      </c>
      <c r="AL127" s="231">
        <v>0</v>
      </c>
      <c r="AM127" s="231">
        <v>72</v>
      </c>
      <c r="AN127" s="231">
        <v>0</v>
      </c>
    </row>
    <row r="128" spans="3:40" x14ac:dyDescent="0.3">
      <c r="C128" s="231">
        <v>27</v>
      </c>
      <c r="D128" s="231">
        <v>12</v>
      </c>
      <c r="E128" s="231">
        <v>3</v>
      </c>
      <c r="F128" s="231">
        <v>0</v>
      </c>
      <c r="G128" s="231">
        <v>0</v>
      </c>
      <c r="H128" s="231">
        <v>0</v>
      </c>
      <c r="I128" s="231">
        <v>0</v>
      </c>
      <c r="J128" s="231">
        <v>0</v>
      </c>
      <c r="K128" s="231">
        <v>0</v>
      </c>
      <c r="L128" s="231">
        <v>0</v>
      </c>
      <c r="M128" s="231">
        <v>0</v>
      </c>
      <c r="N128" s="231">
        <v>0</v>
      </c>
      <c r="O128" s="231">
        <v>0</v>
      </c>
      <c r="P128" s="231">
        <v>0</v>
      </c>
      <c r="Q128" s="231">
        <v>0</v>
      </c>
      <c r="R128" s="231">
        <v>0</v>
      </c>
      <c r="S128" s="231">
        <v>0</v>
      </c>
      <c r="T128" s="231">
        <v>0</v>
      </c>
      <c r="U128" s="231">
        <v>0</v>
      </c>
      <c r="V128" s="231">
        <v>0</v>
      </c>
      <c r="W128" s="231">
        <v>0</v>
      </c>
      <c r="X128" s="231">
        <v>0</v>
      </c>
      <c r="Y128" s="231">
        <v>0</v>
      </c>
      <c r="Z128" s="231">
        <v>0</v>
      </c>
      <c r="AA128" s="231">
        <v>0</v>
      </c>
      <c r="AB128" s="231">
        <v>0</v>
      </c>
      <c r="AC128" s="231">
        <v>0</v>
      </c>
      <c r="AD128" s="231">
        <v>0</v>
      </c>
      <c r="AE128" s="231">
        <v>0</v>
      </c>
      <c r="AF128" s="231">
        <v>0</v>
      </c>
      <c r="AG128" s="231">
        <v>0</v>
      </c>
      <c r="AH128" s="231">
        <v>0</v>
      </c>
      <c r="AI128" s="231">
        <v>0</v>
      </c>
      <c r="AJ128" s="231">
        <v>0</v>
      </c>
      <c r="AK128" s="231">
        <v>0</v>
      </c>
      <c r="AL128" s="231">
        <v>0</v>
      </c>
      <c r="AM128" s="231">
        <v>0</v>
      </c>
      <c r="AN128" s="231">
        <v>0</v>
      </c>
    </row>
    <row r="129" spans="3:40" x14ac:dyDescent="0.3">
      <c r="C129" s="231">
        <v>27</v>
      </c>
      <c r="D129" s="231">
        <v>12</v>
      </c>
      <c r="E129" s="231">
        <v>4</v>
      </c>
      <c r="F129" s="231">
        <v>0</v>
      </c>
      <c r="G129" s="231">
        <v>0</v>
      </c>
      <c r="H129" s="231">
        <v>0</v>
      </c>
      <c r="I129" s="231">
        <v>0</v>
      </c>
      <c r="J129" s="231">
        <v>0</v>
      </c>
      <c r="K129" s="231">
        <v>0</v>
      </c>
      <c r="L129" s="231">
        <v>0</v>
      </c>
      <c r="M129" s="231">
        <v>0</v>
      </c>
      <c r="N129" s="231">
        <v>0</v>
      </c>
      <c r="O129" s="231">
        <v>0</v>
      </c>
      <c r="P129" s="231">
        <v>0</v>
      </c>
      <c r="Q129" s="231">
        <v>0</v>
      </c>
      <c r="R129" s="231">
        <v>0</v>
      </c>
      <c r="S129" s="231">
        <v>0</v>
      </c>
      <c r="T129" s="231">
        <v>0</v>
      </c>
      <c r="U129" s="231">
        <v>0</v>
      </c>
      <c r="V129" s="231">
        <v>0</v>
      </c>
      <c r="W129" s="231">
        <v>0</v>
      </c>
      <c r="X129" s="231">
        <v>0</v>
      </c>
      <c r="Y129" s="231">
        <v>0</v>
      </c>
      <c r="Z129" s="231">
        <v>0</v>
      </c>
      <c r="AA129" s="231">
        <v>0</v>
      </c>
      <c r="AB129" s="231">
        <v>0</v>
      </c>
      <c r="AC129" s="231">
        <v>0</v>
      </c>
      <c r="AD129" s="231">
        <v>0</v>
      </c>
      <c r="AE129" s="231">
        <v>0</v>
      </c>
      <c r="AF129" s="231">
        <v>0</v>
      </c>
      <c r="AG129" s="231">
        <v>0</v>
      </c>
      <c r="AH129" s="231">
        <v>0</v>
      </c>
      <c r="AI129" s="231">
        <v>0</v>
      </c>
      <c r="AJ129" s="231">
        <v>0</v>
      </c>
      <c r="AK129" s="231">
        <v>0</v>
      </c>
      <c r="AL129" s="231">
        <v>0</v>
      </c>
      <c r="AM129" s="231">
        <v>0</v>
      </c>
      <c r="AN129" s="231">
        <v>0</v>
      </c>
    </row>
    <row r="130" spans="3:40" x14ac:dyDescent="0.3">
      <c r="C130" s="231">
        <v>27</v>
      </c>
      <c r="D130" s="231">
        <v>12</v>
      </c>
      <c r="E130" s="231">
        <v>5</v>
      </c>
      <c r="F130" s="231">
        <v>0</v>
      </c>
      <c r="G130" s="231">
        <v>0</v>
      </c>
      <c r="H130" s="231">
        <v>0</v>
      </c>
      <c r="I130" s="231">
        <v>0</v>
      </c>
      <c r="J130" s="231">
        <v>0</v>
      </c>
      <c r="K130" s="231">
        <v>0</v>
      </c>
      <c r="L130" s="231">
        <v>0</v>
      </c>
      <c r="M130" s="231">
        <v>0</v>
      </c>
      <c r="N130" s="231">
        <v>0</v>
      </c>
      <c r="O130" s="231">
        <v>0</v>
      </c>
      <c r="P130" s="231">
        <v>0</v>
      </c>
      <c r="Q130" s="231">
        <v>0</v>
      </c>
      <c r="R130" s="231">
        <v>0</v>
      </c>
      <c r="S130" s="231">
        <v>0</v>
      </c>
      <c r="T130" s="231">
        <v>0</v>
      </c>
      <c r="U130" s="231">
        <v>0</v>
      </c>
      <c r="V130" s="231">
        <v>0</v>
      </c>
      <c r="W130" s="231">
        <v>0</v>
      </c>
      <c r="X130" s="231">
        <v>0</v>
      </c>
      <c r="Y130" s="231">
        <v>0</v>
      </c>
      <c r="Z130" s="231">
        <v>0</v>
      </c>
      <c r="AA130" s="231">
        <v>0</v>
      </c>
      <c r="AB130" s="231">
        <v>0</v>
      </c>
      <c r="AC130" s="231">
        <v>0</v>
      </c>
      <c r="AD130" s="231">
        <v>0</v>
      </c>
      <c r="AE130" s="231">
        <v>0</v>
      </c>
      <c r="AF130" s="231">
        <v>0</v>
      </c>
      <c r="AG130" s="231">
        <v>0</v>
      </c>
      <c r="AH130" s="231">
        <v>0</v>
      </c>
      <c r="AI130" s="231">
        <v>0</v>
      </c>
      <c r="AJ130" s="231">
        <v>0</v>
      </c>
      <c r="AK130" s="231">
        <v>0</v>
      </c>
      <c r="AL130" s="231">
        <v>0</v>
      </c>
      <c r="AM130" s="231">
        <v>0</v>
      </c>
      <c r="AN130" s="231">
        <v>0</v>
      </c>
    </row>
    <row r="131" spans="3:40" x14ac:dyDescent="0.3">
      <c r="C131" s="231">
        <v>27</v>
      </c>
      <c r="D131" s="231">
        <v>12</v>
      </c>
      <c r="E131" s="231">
        <v>6</v>
      </c>
      <c r="F131" s="231">
        <v>414923</v>
      </c>
      <c r="G131" s="231">
        <v>0</v>
      </c>
      <c r="H131" s="231">
        <v>218379</v>
      </c>
      <c r="I131" s="231">
        <v>0</v>
      </c>
      <c r="J131" s="231">
        <v>0</v>
      </c>
      <c r="K131" s="231">
        <v>146239</v>
      </c>
      <c r="L131" s="231">
        <v>0</v>
      </c>
      <c r="M131" s="231">
        <v>0</v>
      </c>
      <c r="N131" s="231">
        <v>0</v>
      </c>
      <c r="O131" s="231">
        <v>0</v>
      </c>
      <c r="P131" s="231">
        <v>0</v>
      </c>
      <c r="Q131" s="231">
        <v>0</v>
      </c>
      <c r="R131" s="231">
        <v>0</v>
      </c>
      <c r="S131" s="231">
        <v>0</v>
      </c>
      <c r="T131" s="231">
        <v>0</v>
      </c>
      <c r="U131" s="231">
        <v>0</v>
      </c>
      <c r="V131" s="231">
        <v>0</v>
      </c>
      <c r="W131" s="231">
        <v>0</v>
      </c>
      <c r="X131" s="231">
        <v>37807</v>
      </c>
      <c r="Y131" s="231">
        <v>0</v>
      </c>
      <c r="Z131" s="231">
        <v>0</v>
      </c>
      <c r="AA131" s="231">
        <v>0</v>
      </c>
      <c r="AB131" s="231">
        <v>0</v>
      </c>
      <c r="AC131" s="231">
        <v>0</v>
      </c>
      <c r="AD131" s="231">
        <v>0</v>
      </c>
      <c r="AE131" s="231">
        <v>0</v>
      </c>
      <c r="AF131" s="231">
        <v>0</v>
      </c>
      <c r="AG131" s="231">
        <v>0</v>
      </c>
      <c r="AH131" s="231">
        <v>0</v>
      </c>
      <c r="AI131" s="231">
        <v>0</v>
      </c>
      <c r="AJ131" s="231">
        <v>0</v>
      </c>
      <c r="AK131" s="231">
        <v>0</v>
      </c>
      <c r="AL131" s="231">
        <v>0</v>
      </c>
      <c r="AM131" s="231">
        <v>12498</v>
      </c>
      <c r="AN131" s="231">
        <v>0</v>
      </c>
    </row>
    <row r="132" spans="3:40" x14ac:dyDescent="0.3">
      <c r="C132" s="231">
        <v>27</v>
      </c>
      <c r="D132" s="231">
        <v>12</v>
      </c>
      <c r="E132" s="231">
        <v>7</v>
      </c>
      <c r="F132" s="231">
        <v>0</v>
      </c>
      <c r="G132" s="231">
        <v>0</v>
      </c>
      <c r="H132" s="231">
        <v>0</v>
      </c>
      <c r="I132" s="231">
        <v>0</v>
      </c>
      <c r="J132" s="231">
        <v>0</v>
      </c>
      <c r="K132" s="231">
        <v>0</v>
      </c>
      <c r="L132" s="231">
        <v>0</v>
      </c>
      <c r="M132" s="231">
        <v>0</v>
      </c>
      <c r="N132" s="231">
        <v>0</v>
      </c>
      <c r="O132" s="231">
        <v>0</v>
      </c>
      <c r="P132" s="231">
        <v>0</v>
      </c>
      <c r="Q132" s="231">
        <v>0</v>
      </c>
      <c r="R132" s="231">
        <v>0</v>
      </c>
      <c r="S132" s="231">
        <v>0</v>
      </c>
      <c r="T132" s="231">
        <v>0</v>
      </c>
      <c r="U132" s="231">
        <v>0</v>
      </c>
      <c r="V132" s="231">
        <v>0</v>
      </c>
      <c r="W132" s="231">
        <v>0</v>
      </c>
      <c r="X132" s="231">
        <v>0</v>
      </c>
      <c r="Y132" s="231">
        <v>0</v>
      </c>
      <c r="Z132" s="231">
        <v>0</v>
      </c>
      <c r="AA132" s="231">
        <v>0</v>
      </c>
      <c r="AB132" s="231">
        <v>0</v>
      </c>
      <c r="AC132" s="231">
        <v>0</v>
      </c>
      <c r="AD132" s="231">
        <v>0</v>
      </c>
      <c r="AE132" s="231">
        <v>0</v>
      </c>
      <c r="AF132" s="231">
        <v>0</v>
      </c>
      <c r="AG132" s="231">
        <v>0</v>
      </c>
      <c r="AH132" s="231">
        <v>0</v>
      </c>
      <c r="AI132" s="231">
        <v>0</v>
      </c>
      <c r="AJ132" s="231">
        <v>0</v>
      </c>
      <c r="AK132" s="231">
        <v>0</v>
      </c>
      <c r="AL132" s="231">
        <v>0</v>
      </c>
      <c r="AM132" s="231">
        <v>0</v>
      </c>
      <c r="AN132" s="231">
        <v>0</v>
      </c>
    </row>
    <row r="133" spans="3:40" x14ac:dyDescent="0.3">
      <c r="C133" s="231">
        <v>27</v>
      </c>
      <c r="D133" s="231">
        <v>12</v>
      </c>
      <c r="E133" s="231">
        <v>8</v>
      </c>
      <c r="F133" s="231">
        <v>0</v>
      </c>
      <c r="G133" s="231">
        <v>0</v>
      </c>
      <c r="H133" s="231">
        <v>0</v>
      </c>
      <c r="I133" s="231">
        <v>0</v>
      </c>
      <c r="J133" s="231">
        <v>0</v>
      </c>
      <c r="K133" s="231">
        <v>0</v>
      </c>
      <c r="L133" s="231">
        <v>0</v>
      </c>
      <c r="M133" s="231">
        <v>0</v>
      </c>
      <c r="N133" s="231">
        <v>0</v>
      </c>
      <c r="O133" s="231">
        <v>0</v>
      </c>
      <c r="P133" s="231">
        <v>0</v>
      </c>
      <c r="Q133" s="231">
        <v>0</v>
      </c>
      <c r="R133" s="231">
        <v>0</v>
      </c>
      <c r="S133" s="231">
        <v>0</v>
      </c>
      <c r="T133" s="231">
        <v>0</v>
      </c>
      <c r="U133" s="231">
        <v>0</v>
      </c>
      <c r="V133" s="231">
        <v>0</v>
      </c>
      <c r="W133" s="231">
        <v>0</v>
      </c>
      <c r="X133" s="231">
        <v>0</v>
      </c>
      <c r="Y133" s="231">
        <v>0</v>
      </c>
      <c r="Z133" s="231">
        <v>0</v>
      </c>
      <c r="AA133" s="231">
        <v>0</v>
      </c>
      <c r="AB133" s="231">
        <v>0</v>
      </c>
      <c r="AC133" s="231">
        <v>0</v>
      </c>
      <c r="AD133" s="231">
        <v>0</v>
      </c>
      <c r="AE133" s="231">
        <v>0</v>
      </c>
      <c r="AF133" s="231">
        <v>0</v>
      </c>
      <c r="AG133" s="231">
        <v>0</v>
      </c>
      <c r="AH133" s="231">
        <v>0</v>
      </c>
      <c r="AI133" s="231">
        <v>0</v>
      </c>
      <c r="AJ133" s="231">
        <v>0</v>
      </c>
      <c r="AK133" s="231">
        <v>0</v>
      </c>
      <c r="AL133" s="231">
        <v>0</v>
      </c>
      <c r="AM133" s="231">
        <v>0</v>
      </c>
      <c r="AN133" s="231">
        <v>0</v>
      </c>
    </row>
    <row r="134" spans="3:40" x14ac:dyDescent="0.3">
      <c r="C134" s="231">
        <v>27</v>
      </c>
      <c r="D134" s="231">
        <v>12</v>
      </c>
      <c r="E134" s="231">
        <v>9</v>
      </c>
      <c r="F134" s="231">
        <v>164226</v>
      </c>
      <c r="G134" s="231">
        <v>0</v>
      </c>
      <c r="H134" s="231">
        <v>101939</v>
      </c>
      <c r="I134" s="231">
        <v>0</v>
      </c>
      <c r="J134" s="231">
        <v>0</v>
      </c>
      <c r="K134" s="231">
        <v>47000</v>
      </c>
      <c r="L134" s="231">
        <v>0</v>
      </c>
      <c r="M134" s="231">
        <v>0</v>
      </c>
      <c r="N134" s="231">
        <v>0</v>
      </c>
      <c r="O134" s="231">
        <v>0</v>
      </c>
      <c r="P134" s="231">
        <v>0</v>
      </c>
      <c r="Q134" s="231">
        <v>0</v>
      </c>
      <c r="R134" s="231">
        <v>0</v>
      </c>
      <c r="S134" s="231">
        <v>0</v>
      </c>
      <c r="T134" s="231">
        <v>0</v>
      </c>
      <c r="U134" s="231">
        <v>0</v>
      </c>
      <c r="V134" s="231">
        <v>0</v>
      </c>
      <c r="W134" s="231">
        <v>0</v>
      </c>
      <c r="X134" s="231">
        <v>11000</v>
      </c>
      <c r="Y134" s="231">
        <v>0</v>
      </c>
      <c r="Z134" s="231">
        <v>0</v>
      </c>
      <c r="AA134" s="231">
        <v>0</v>
      </c>
      <c r="AB134" s="231">
        <v>0</v>
      </c>
      <c r="AC134" s="231">
        <v>0</v>
      </c>
      <c r="AD134" s="231">
        <v>0</v>
      </c>
      <c r="AE134" s="231">
        <v>0</v>
      </c>
      <c r="AF134" s="231">
        <v>0</v>
      </c>
      <c r="AG134" s="231">
        <v>0</v>
      </c>
      <c r="AH134" s="231">
        <v>0</v>
      </c>
      <c r="AI134" s="231">
        <v>0</v>
      </c>
      <c r="AJ134" s="231">
        <v>0</v>
      </c>
      <c r="AK134" s="231">
        <v>0</v>
      </c>
      <c r="AL134" s="231">
        <v>0</v>
      </c>
      <c r="AM134" s="231">
        <v>4287</v>
      </c>
      <c r="AN134" s="231">
        <v>0</v>
      </c>
    </row>
    <row r="135" spans="3:40" x14ac:dyDescent="0.3">
      <c r="C135" s="231">
        <v>27</v>
      </c>
      <c r="D135" s="231">
        <v>12</v>
      </c>
      <c r="E135" s="231">
        <v>10</v>
      </c>
      <c r="F135" s="231">
        <v>0</v>
      </c>
      <c r="G135" s="231">
        <v>0</v>
      </c>
      <c r="H135" s="231">
        <v>0</v>
      </c>
      <c r="I135" s="231">
        <v>0</v>
      </c>
      <c r="J135" s="231">
        <v>0</v>
      </c>
      <c r="K135" s="231">
        <v>0</v>
      </c>
      <c r="L135" s="231">
        <v>0</v>
      </c>
      <c r="M135" s="231">
        <v>0</v>
      </c>
      <c r="N135" s="231">
        <v>0</v>
      </c>
      <c r="O135" s="231">
        <v>0</v>
      </c>
      <c r="P135" s="231">
        <v>0</v>
      </c>
      <c r="Q135" s="231">
        <v>0</v>
      </c>
      <c r="R135" s="231">
        <v>0</v>
      </c>
      <c r="S135" s="231">
        <v>0</v>
      </c>
      <c r="T135" s="231">
        <v>0</v>
      </c>
      <c r="U135" s="231">
        <v>0</v>
      </c>
      <c r="V135" s="231">
        <v>0</v>
      </c>
      <c r="W135" s="231">
        <v>0</v>
      </c>
      <c r="X135" s="231">
        <v>0</v>
      </c>
      <c r="Y135" s="231">
        <v>0</v>
      </c>
      <c r="Z135" s="231">
        <v>0</v>
      </c>
      <c r="AA135" s="231">
        <v>0</v>
      </c>
      <c r="AB135" s="231">
        <v>0</v>
      </c>
      <c r="AC135" s="231">
        <v>0</v>
      </c>
      <c r="AD135" s="231">
        <v>0</v>
      </c>
      <c r="AE135" s="231">
        <v>0</v>
      </c>
      <c r="AF135" s="231">
        <v>0</v>
      </c>
      <c r="AG135" s="231">
        <v>0</v>
      </c>
      <c r="AH135" s="231">
        <v>0</v>
      </c>
      <c r="AI135" s="231">
        <v>0</v>
      </c>
      <c r="AJ135" s="231">
        <v>0</v>
      </c>
      <c r="AK135" s="231">
        <v>0</v>
      </c>
      <c r="AL135" s="231">
        <v>0</v>
      </c>
      <c r="AM135" s="231">
        <v>0</v>
      </c>
      <c r="AN135" s="231">
        <v>0</v>
      </c>
    </row>
    <row r="136" spans="3:40" x14ac:dyDescent="0.3">
      <c r="C136" s="231">
        <v>27</v>
      </c>
      <c r="D136" s="231">
        <v>12</v>
      </c>
      <c r="E136" s="231">
        <v>11</v>
      </c>
      <c r="F136" s="231">
        <v>944.25</v>
      </c>
      <c r="G136" s="231">
        <v>0</v>
      </c>
      <c r="H136" s="231">
        <v>944.25</v>
      </c>
      <c r="I136" s="231">
        <v>0</v>
      </c>
      <c r="J136" s="231">
        <v>0</v>
      </c>
      <c r="K136" s="231">
        <v>0</v>
      </c>
      <c r="L136" s="231">
        <v>0</v>
      </c>
      <c r="M136" s="231">
        <v>0</v>
      </c>
      <c r="N136" s="231">
        <v>0</v>
      </c>
      <c r="O136" s="231">
        <v>0</v>
      </c>
      <c r="P136" s="231">
        <v>0</v>
      </c>
      <c r="Q136" s="231">
        <v>0</v>
      </c>
      <c r="R136" s="231">
        <v>0</v>
      </c>
      <c r="S136" s="231">
        <v>0</v>
      </c>
      <c r="T136" s="231">
        <v>0</v>
      </c>
      <c r="U136" s="231">
        <v>0</v>
      </c>
      <c r="V136" s="231">
        <v>0</v>
      </c>
      <c r="W136" s="231">
        <v>0</v>
      </c>
      <c r="X136" s="231">
        <v>0</v>
      </c>
      <c r="Y136" s="231">
        <v>0</v>
      </c>
      <c r="Z136" s="231">
        <v>0</v>
      </c>
      <c r="AA136" s="231">
        <v>0</v>
      </c>
      <c r="AB136" s="231">
        <v>0</v>
      </c>
      <c r="AC136" s="231">
        <v>0</v>
      </c>
      <c r="AD136" s="231">
        <v>0</v>
      </c>
      <c r="AE136" s="231">
        <v>0</v>
      </c>
      <c r="AF136" s="231">
        <v>0</v>
      </c>
      <c r="AG136" s="231">
        <v>0</v>
      </c>
      <c r="AH136" s="231">
        <v>0</v>
      </c>
      <c r="AI136" s="231">
        <v>0</v>
      </c>
      <c r="AJ136" s="231">
        <v>0</v>
      </c>
      <c r="AK136" s="231">
        <v>0</v>
      </c>
      <c r="AL136" s="231">
        <v>0</v>
      </c>
      <c r="AM136" s="231">
        <v>0</v>
      </c>
      <c r="AN136" s="23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4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397" t="s">
        <v>1254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5" t="s">
        <v>281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1" t="s">
        <v>129</v>
      </c>
      <c r="B3" s="222">
        <f>SUBTOTAL(9,B6:B1048576)</f>
        <v>1567102</v>
      </c>
      <c r="C3" s="223">
        <f t="shared" ref="C3:R3" si="0">SUBTOTAL(9,C6:C1048576)</f>
        <v>5</v>
      </c>
      <c r="D3" s="223">
        <f t="shared" si="0"/>
        <v>1896951</v>
      </c>
      <c r="E3" s="223">
        <f t="shared" si="0"/>
        <v>6.0143859309984036</v>
      </c>
      <c r="F3" s="223">
        <f t="shared" si="0"/>
        <v>2082566</v>
      </c>
      <c r="G3" s="224">
        <f>IF(B3&lt;&gt;0,F3/B3,"")</f>
        <v>1.3289281744264254</v>
      </c>
      <c r="H3" s="225">
        <f t="shared" si="0"/>
        <v>0</v>
      </c>
      <c r="I3" s="223">
        <f t="shared" si="0"/>
        <v>0</v>
      </c>
      <c r="J3" s="223">
        <f t="shared" si="0"/>
        <v>0</v>
      </c>
      <c r="K3" s="223">
        <f t="shared" si="0"/>
        <v>0</v>
      </c>
      <c r="L3" s="223">
        <f t="shared" si="0"/>
        <v>0</v>
      </c>
      <c r="M3" s="226" t="str">
        <f>IF(H3&lt;&gt;0,L3/H3,"")</f>
        <v/>
      </c>
      <c r="N3" s="222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398" t="s">
        <v>99</v>
      </c>
      <c r="B4" s="399" t="s">
        <v>100</v>
      </c>
      <c r="C4" s="400"/>
      <c r="D4" s="400"/>
      <c r="E4" s="400"/>
      <c r="F4" s="400"/>
      <c r="G4" s="401"/>
      <c r="H4" s="399" t="s">
        <v>101</v>
      </c>
      <c r="I4" s="400"/>
      <c r="J4" s="400"/>
      <c r="K4" s="400"/>
      <c r="L4" s="400"/>
      <c r="M4" s="401"/>
      <c r="N4" s="399" t="s">
        <v>102</v>
      </c>
      <c r="O4" s="400"/>
      <c r="P4" s="400"/>
      <c r="Q4" s="400"/>
      <c r="R4" s="400"/>
      <c r="S4" s="401"/>
    </row>
    <row r="5" spans="1:19" ht="14.4" customHeight="1" thickBot="1" x14ac:dyDescent="0.35">
      <c r="A5" s="605"/>
      <c r="B5" s="606">
        <v>2012</v>
      </c>
      <c r="C5" s="607"/>
      <c r="D5" s="607">
        <v>2013</v>
      </c>
      <c r="E5" s="607"/>
      <c r="F5" s="607">
        <v>2014</v>
      </c>
      <c r="G5" s="608" t="s">
        <v>2</v>
      </c>
      <c r="H5" s="606">
        <v>2012</v>
      </c>
      <c r="I5" s="607"/>
      <c r="J5" s="607">
        <v>2013</v>
      </c>
      <c r="K5" s="607"/>
      <c r="L5" s="607">
        <v>2014</v>
      </c>
      <c r="M5" s="608" t="s">
        <v>2</v>
      </c>
      <c r="N5" s="606">
        <v>2012</v>
      </c>
      <c r="O5" s="607"/>
      <c r="P5" s="607">
        <v>2013</v>
      </c>
      <c r="Q5" s="607"/>
      <c r="R5" s="607">
        <v>2014</v>
      </c>
      <c r="S5" s="608" t="s">
        <v>2</v>
      </c>
    </row>
    <row r="6" spans="1:19" ht="14.4" customHeight="1" x14ac:dyDescent="0.3">
      <c r="A6" s="566" t="s">
        <v>1245</v>
      </c>
      <c r="B6" s="609">
        <v>572984</v>
      </c>
      <c r="C6" s="535">
        <v>1</v>
      </c>
      <c r="D6" s="609">
        <v>664709</v>
      </c>
      <c r="E6" s="535">
        <v>1.1600830040629406</v>
      </c>
      <c r="F6" s="609">
        <v>714982</v>
      </c>
      <c r="G6" s="540">
        <v>1.2478219287100512</v>
      </c>
      <c r="H6" s="609"/>
      <c r="I6" s="535"/>
      <c r="J6" s="609"/>
      <c r="K6" s="535"/>
      <c r="L6" s="609"/>
      <c r="M6" s="540"/>
      <c r="N6" s="609"/>
      <c r="O6" s="535"/>
      <c r="P6" s="609"/>
      <c r="Q6" s="535"/>
      <c r="R6" s="609"/>
      <c r="S6" s="122"/>
    </row>
    <row r="7" spans="1:19" ht="14.4" customHeight="1" x14ac:dyDescent="0.3">
      <c r="A7" s="567" t="s">
        <v>1246</v>
      </c>
      <c r="B7" s="610">
        <v>399572</v>
      </c>
      <c r="C7" s="542">
        <v>1</v>
      </c>
      <c r="D7" s="610">
        <v>457026</v>
      </c>
      <c r="E7" s="542">
        <v>1.143788854073859</v>
      </c>
      <c r="F7" s="610">
        <v>439807</v>
      </c>
      <c r="G7" s="547">
        <v>1.1006952439109847</v>
      </c>
      <c r="H7" s="610"/>
      <c r="I7" s="542"/>
      <c r="J7" s="610"/>
      <c r="K7" s="542"/>
      <c r="L7" s="610"/>
      <c r="M7" s="547"/>
      <c r="N7" s="610"/>
      <c r="O7" s="542"/>
      <c r="P7" s="610"/>
      <c r="Q7" s="542"/>
      <c r="R7" s="610"/>
      <c r="S7" s="548"/>
    </row>
    <row r="8" spans="1:19" ht="14.4" customHeight="1" x14ac:dyDescent="0.3">
      <c r="A8" s="567" t="s">
        <v>1247</v>
      </c>
      <c r="B8" s="610">
        <v>161061</v>
      </c>
      <c r="C8" s="542">
        <v>1</v>
      </c>
      <c r="D8" s="610">
        <v>200477</v>
      </c>
      <c r="E8" s="542">
        <v>1.2447271530662296</v>
      </c>
      <c r="F8" s="610">
        <v>335682</v>
      </c>
      <c r="G8" s="547">
        <v>2.0841917037644122</v>
      </c>
      <c r="H8" s="610"/>
      <c r="I8" s="542"/>
      <c r="J8" s="610"/>
      <c r="K8" s="542"/>
      <c r="L8" s="610"/>
      <c r="M8" s="547"/>
      <c r="N8" s="610"/>
      <c r="O8" s="542"/>
      <c r="P8" s="610"/>
      <c r="Q8" s="542"/>
      <c r="R8" s="610"/>
      <c r="S8" s="548"/>
    </row>
    <row r="9" spans="1:19" ht="14.4" customHeight="1" x14ac:dyDescent="0.3">
      <c r="A9" s="567" t="s">
        <v>1248</v>
      </c>
      <c r="B9" s="610"/>
      <c r="C9" s="542"/>
      <c r="D9" s="610"/>
      <c r="E9" s="542"/>
      <c r="F9" s="610">
        <v>1599</v>
      </c>
      <c r="G9" s="547"/>
      <c r="H9" s="610"/>
      <c r="I9" s="542"/>
      <c r="J9" s="610"/>
      <c r="K9" s="542"/>
      <c r="L9" s="610"/>
      <c r="M9" s="547"/>
      <c r="N9" s="610"/>
      <c r="O9" s="542"/>
      <c r="P9" s="610"/>
      <c r="Q9" s="542"/>
      <c r="R9" s="610"/>
      <c r="S9" s="548"/>
    </row>
    <row r="10" spans="1:19" ht="14.4" customHeight="1" x14ac:dyDescent="0.3">
      <c r="A10" s="567" t="s">
        <v>1249</v>
      </c>
      <c r="B10" s="610">
        <v>127881</v>
      </c>
      <c r="C10" s="542">
        <v>1</v>
      </c>
      <c r="D10" s="610">
        <v>128667</v>
      </c>
      <c r="E10" s="542">
        <v>1.0061463391747014</v>
      </c>
      <c r="F10" s="610">
        <v>118003</v>
      </c>
      <c r="G10" s="547">
        <v>0.92275631250928603</v>
      </c>
      <c r="H10" s="610"/>
      <c r="I10" s="542"/>
      <c r="J10" s="610"/>
      <c r="K10" s="542"/>
      <c r="L10" s="610"/>
      <c r="M10" s="547"/>
      <c r="N10" s="610"/>
      <c r="O10" s="542"/>
      <c r="P10" s="610"/>
      <c r="Q10" s="542"/>
      <c r="R10" s="610"/>
      <c r="S10" s="548"/>
    </row>
    <row r="11" spans="1:19" ht="14.4" customHeight="1" thickBot="1" x14ac:dyDescent="0.35">
      <c r="A11" s="612" t="s">
        <v>1250</v>
      </c>
      <c r="B11" s="611">
        <v>305604</v>
      </c>
      <c r="C11" s="550">
        <v>1</v>
      </c>
      <c r="D11" s="611">
        <v>446072</v>
      </c>
      <c r="E11" s="550">
        <v>1.4596405806206725</v>
      </c>
      <c r="F11" s="611">
        <v>472493</v>
      </c>
      <c r="G11" s="555">
        <v>1.546095600842921</v>
      </c>
      <c r="H11" s="611"/>
      <c r="I11" s="550"/>
      <c r="J11" s="611"/>
      <c r="K11" s="550"/>
      <c r="L11" s="611"/>
      <c r="M11" s="555"/>
      <c r="N11" s="611"/>
      <c r="O11" s="550"/>
      <c r="P11" s="611"/>
      <c r="Q11" s="550"/>
      <c r="R11" s="611"/>
      <c r="S11" s="556"/>
    </row>
    <row r="12" spans="1:19" ht="14.4" customHeight="1" x14ac:dyDescent="0.3">
      <c r="A12" s="613" t="s">
        <v>1251</v>
      </c>
    </row>
    <row r="13" spans="1:19" ht="14.4" customHeight="1" x14ac:dyDescent="0.3">
      <c r="A13" s="614" t="s">
        <v>1252</v>
      </c>
    </row>
    <row r="14" spans="1:19" ht="14.4" customHeight="1" x14ac:dyDescent="0.3">
      <c r="A14" s="613" t="s">
        <v>1253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6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8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397" t="s">
        <v>1258</v>
      </c>
      <c r="B1" s="325"/>
      <c r="C1" s="325"/>
      <c r="D1" s="325"/>
      <c r="E1" s="325"/>
      <c r="F1" s="325"/>
      <c r="G1" s="325"/>
    </row>
    <row r="2" spans="1:7" ht="14.4" customHeight="1" thickBot="1" x14ac:dyDescent="0.35">
      <c r="A2" s="235" t="s">
        <v>281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1" t="s">
        <v>129</v>
      </c>
      <c r="B3" s="315">
        <f t="shared" ref="B3:G3" si="0">SUBTOTAL(9,B6:B1048576)</f>
        <v>7272</v>
      </c>
      <c r="C3" s="316">
        <f t="shared" si="0"/>
        <v>9110</v>
      </c>
      <c r="D3" s="316">
        <f t="shared" si="0"/>
        <v>9981</v>
      </c>
      <c r="E3" s="225">
        <f t="shared" si="0"/>
        <v>1567102</v>
      </c>
      <c r="F3" s="223">
        <f t="shared" si="0"/>
        <v>1896951</v>
      </c>
      <c r="G3" s="317">
        <f t="shared" si="0"/>
        <v>2082566</v>
      </c>
    </row>
    <row r="4" spans="1:7" ht="14.4" customHeight="1" x14ac:dyDescent="0.3">
      <c r="A4" s="398" t="s">
        <v>137</v>
      </c>
      <c r="B4" s="399" t="s">
        <v>279</v>
      </c>
      <c r="C4" s="400"/>
      <c r="D4" s="400"/>
      <c r="E4" s="402" t="s">
        <v>100</v>
      </c>
      <c r="F4" s="403"/>
      <c r="G4" s="404"/>
    </row>
    <row r="5" spans="1:7" ht="14.4" customHeight="1" thickBot="1" x14ac:dyDescent="0.35">
      <c r="A5" s="605"/>
      <c r="B5" s="606">
        <v>2012</v>
      </c>
      <c r="C5" s="607">
        <v>2013</v>
      </c>
      <c r="D5" s="607">
        <v>2014</v>
      </c>
      <c r="E5" s="606">
        <v>2012</v>
      </c>
      <c r="F5" s="607">
        <v>2013</v>
      </c>
      <c r="G5" s="615">
        <v>2014</v>
      </c>
    </row>
    <row r="6" spans="1:7" ht="14.4" customHeight="1" x14ac:dyDescent="0.3">
      <c r="A6" s="566" t="s">
        <v>1255</v>
      </c>
      <c r="B6" s="116">
        <v>1175</v>
      </c>
      <c r="C6" s="116">
        <v>821</v>
      </c>
      <c r="D6" s="116">
        <v>121</v>
      </c>
      <c r="E6" s="609">
        <v>398773</v>
      </c>
      <c r="F6" s="609">
        <v>268926</v>
      </c>
      <c r="G6" s="616">
        <v>20127</v>
      </c>
    </row>
    <row r="7" spans="1:7" ht="14.4" customHeight="1" x14ac:dyDescent="0.3">
      <c r="A7" s="567" t="s">
        <v>516</v>
      </c>
      <c r="B7" s="559">
        <v>305</v>
      </c>
      <c r="C7" s="559">
        <v>300</v>
      </c>
      <c r="D7" s="559">
        <v>568</v>
      </c>
      <c r="E7" s="610">
        <v>103508</v>
      </c>
      <c r="F7" s="610">
        <v>97842</v>
      </c>
      <c r="G7" s="617">
        <v>199029</v>
      </c>
    </row>
    <row r="8" spans="1:7" ht="14.4" customHeight="1" x14ac:dyDescent="0.3">
      <c r="A8" s="567" t="s">
        <v>1256</v>
      </c>
      <c r="B8" s="559">
        <v>5</v>
      </c>
      <c r="C8" s="559"/>
      <c r="D8" s="559">
        <v>52</v>
      </c>
      <c r="E8" s="610">
        <v>1539</v>
      </c>
      <c r="F8" s="610"/>
      <c r="G8" s="617">
        <v>16646</v>
      </c>
    </row>
    <row r="9" spans="1:7" ht="14.4" customHeight="1" x14ac:dyDescent="0.3">
      <c r="A9" s="567" t="s">
        <v>517</v>
      </c>
      <c r="B9" s="559">
        <v>385</v>
      </c>
      <c r="C9" s="559">
        <v>661</v>
      </c>
      <c r="D9" s="559">
        <v>763</v>
      </c>
      <c r="E9" s="610">
        <v>142343</v>
      </c>
      <c r="F9" s="610">
        <v>247299</v>
      </c>
      <c r="G9" s="617">
        <v>280828</v>
      </c>
    </row>
    <row r="10" spans="1:7" ht="14.4" customHeight="1" x14ac:dyDescent="0.3">
      <c r="A10" s="567" t="s">
        <v>518</v>
      </c>
      <c r="B10" s="559">
        <v>664</v>
      </c>
      <c r="C10" s="559">
        <v>674</v>
      </c>
      <c r="D10" s="559">
        <v>859</v>
      </c>
      <c r="E10" s="610">
        <v>173121</v>
      </c>
      <c r="F10" s="610">
        <v>186197</v>
      </c>
      <c r="G10" s="617">
        <v>210313</v>
      </c>
    </row>
    <row r="11" spans="1:7" ht="14.4" customHeight="1" x14ac:dyDescent="0.3">
      <c r="A11" s="567" t="s">
        <v>519</v>
      </c>
      <c r="B11" s="559">
        <v>1236</v>
      </c>
      <c r="C11" s="559">
        <v>1512</v>
      </c>
      <c r="D11" s="559">
        <v>2159</v>
      </c>
      <c r="E11" s="610">
        <v>348696</v>
      </c>
      <c r="F11" s="610">
        <v>447474</v>
      </c>
      <c r="G11" s="617">
        <v>658624</v>
      </c>
    </row>
    <row r="12" spans="1:7" ht="14.4" customHeight="1" x14ac:dyDescent="0.3">
      <c r="A12" s="567" t="s">
        <v>1257</v>
      </c>
      <c r="B12" s="559">
        <v>3276</v>
      </c>
      <c r="C12" s="559">
        <v>4660</v>
      </c>
      <c r="D12" s="559">
        <v>4694</v>
      </c>
      <c r="E12" s="610">
        <v>305604</v>
      </c>
      <c r="F12" s="610">
        <v>446072</v>
      </c>
      <c r="G12" s="617">
        <v>460980</v>
      </c>
    </row>
    <row r="13" spans="1:7" ht="14.4" customHeight="1" thickBot="1" x14ac:dyDescent="0.35">
      <c r="A13" s="612" t="s">
        <v>520</v>
      </c>
      <c r="B13" s="561">
        <v>226</v>
      </c>
      <c r="C13" s="561">
        <v>482</v>
      </c>
      <c r="D13" s="561">
        <v>765</v>
      </c>
      <c r="E13" s="611">
        <v>93518</v>
      </c>
      <c r="F13" s="611">
        <v>203141</v>
      </c>
      <c r="G13" s="618">
        <v>236019</v>
      </c>
    </row>
    <row r="14" spans="1:7" ht="14.4" customHeight="1" x14ac:dyDescent="0.3">
      <c r="A14" s="613" t="s">
        <v>1251</v>
      </c>
    </row>
    <row r="15" spans="1:7" ht="14.4" customHeight="1" x14ac:dyDescent="0.3">
      <c r="A15" s="614" t="s">
        <v>1252</v>
      </c>
    </row>
    <row r="16" spans="1:7" ht="14.4" customHeight="1" x14ac:dyDescent="0.3">
      <c r="A16" s="613" t="s">
        <v>1253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97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30" bestFit="1" customWidth="1"/>
    <col min="2" max="2" width="2.109375" style="130" bestFit="1" customWidth="1"/>
    <col min="3" max="3" width="8" style="130" customWidth="1"/>
    <col min="4" max="4" width="50.88671875" style="130" bestFit="1" customWidth="1"/>
    <col min="5" max="6" width="11.109375" style="208" customWidth="1"/>
    <col min="7" max="8" width="9.33203125" style="130" hidden="1" customWidth="1"/>
    <col min="9" max="10" width="11.109375" style="208" customWidth="1"/>
    <col min="11" max="12" width="9.33203125" style="130" hidden="1" customWidth="1"/>
    <col min="13" max="14" width="11.109375" style="208" customWidth="1"/>
    <col min="15" max="15" width="11.109375" style="211" customWidth="1"/>
    <col min="16" max="16" width="11.109375" style="208" customWidth="1"/>
    <col min="17" max="16384" width="8.88671875" style="130"/>
  </cols>
  <sheetData>
    <row r="1" spans="1:16" ht="18.600000000000001" customHeight="1" thickBot="1" x14ac:dyDescent="0.4">
      <c r="A1" s="325" t="s">
        <v>1365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</row>
    <row r="2" spans="1:16" ht="14.4" customHeight="1" thickBot="1" x14ac:dyDescent="0.35">
      <c r="A2" s="235" t="s">
        <v>281</v>
      </c>
      <c r="B2" s="131"/>
      <c r="C2" s="314"/>
      <c r="D2" s="131"/>
      <c r="E2" s="229"/>
      <c r="F2" s="229"/>
      <c r="G2" s="131"/>
      <c r="H2" s="131"/>
      <c r="I2" s="229"/>
      <c r="J2" s="229"/>
      <c r="K2" s="131"/>
      <c r="L2" s="131"/>
      <c r="M2" s="229"/>
      <c r="N2" s="229"/>
      <c r="O2" s="230"/>
      <c r="P2" s="229"/>
    </row>
    <row r="3" spans="1:16" ht="14.4" customHeight="1" thickBot="1" x14ac:dyDescent="0.35">
      <c r="D3" s="87" t="s">
        <v>129</v>
      </c>
      <c r="E3" s="102">
        <f t="shared" ref="E3:N3" si="0">SUBTOTAL(9,E6:E1048576)</f>
        <v>7272</v>
      </c>
      <c r="F3" s="103">
        <f t="shared" si="0"/>
        <v>1567102</v>
      </c>
      <c r="G3" s="74"/>
      <c r="H3" s="74"/>
      <c r="I3" s="103">
        <f t="shared" si="0"/>
        <v>9110</v>
      </c>
      <c r="J3" s="103">
        <f t="shared" si="0"/>
        <v>1896951</v>
      </c>
      <c r="K3" s="74"/>
      <c r="L3" s="74"/>
      <c r="M3" s="103">
        <f t="shared" si="0"/>
        <v>9981</v>
      </c>
      <c r="N3" s="103">
        <f t="shared" si="0"/>
        <v>2082566</v>
      </c>
      <c r="O3" s="75">
        <f>IF(F3=0,0,N3/F3)</f>
        <v>1.3289281744264254</v>
      </c>
      <c r="P3" s="104">
        <f>IF(M3=0,0,N3/M3)</f>
        <v>208.6530407774772</v>
      </c>
    </row>
    <row r="4" spans="1:16" ht="14.4" customHeight="1" x14ac:dyDescent="0.3">
      <c r="A4" s="406" t="s">
        <v>95</v>
      </c>
      <c r="B4" s="407" t="s">
        <v>96</v>
      </c>
      <c r="C4" s="412" t="s">
        <v>71</v>
      </c>
      <c r="D4" s="408" t="s">
        <v>70</v>
      </c>
      <c r="E4" s="409">
        <v>2012</v>
      </c>
      <c r="F4" s="410"/>
      <c r="G4" s="101"/>
      <c r="H4" s="101"/>
      <c r="I4" s="409">
        <v>2013</v>
      </c>
      <c r="J4" s="410"/>
      <c r="K4" s="101"/>
      <c r="L4" s="101"/>
      <c r="M4" s="409">
        <v>2014</v>
      </c>
      <c r="N4" s="410"/>
      <c r="O4" s="411" t="s">
        <v>2</v>
      </c>
      <c r="P4" s="405" t="s">
        <v>98</v>
      </c>
    </row>
    <row r="5" spans="1:16" ht="14.4" customHeight="1" thickBot="1" x14ac:dyDescent="0.35">
      <c r="A5" s="619"/>
      <c r="B5" s="620"/>
      <c r="C5" s="621"/>
      <c r="D5" s="622"/>
      <c r="E5" s="623" t="s">
        <v>72</v>
      </c>
      <c r="F5" s="624" t="s">
        <v>14</v>
      </c>
      <c r="G5" s="625"/>
      <c r="H5" s="625"/>
      <c r="I5" s="623" t="s">
        <v>72</v>
      </c>
      <c r="J5" s="624" t="s">
        <v>14</v>
      </c>
      <c r="K5" s="625"/>
      <c r="L5" s="625"/>
      <c r="M5" s="623" t="s">
        <v>72</v>
      </c>
      <c r="N5" s="624" t="s">
        <v>14</v>
      </c>
      <c r="O5" s="626"/>
      <c r="P5" s="627"/>
    </row>
    <row r="6" spans="1:16" ht="14.4" customHeight="1" x14ac:dyDescent="0.3">
      <c r="A6" s="534" t="s">
        <v>192</v>
      </c>
      <c r="B6" s="535" t="s">
        <v>1259</v>
      </c>
      <c r="C6" s="535" t="s">
        <v>1260</v>
      </c>
      <c r="D6" s="535" t="s">
        <v>1261</v>
      </c>
      <c r="E6" s="116">
        <v>2</v>
      </c>
      <c r="F6" s="116">
        <v>68</v>
      </c>
      <c r="G6" s="535">
        <v>1</v>
      </c>
      <c r="H6" s="535">
        <v>34</v>
      </c>
      <c r="I6" s="116">
        <v>2</v>
      </c>
      <c r="J6" s="116">
        <v>68</v>
      </c>
      <c r="K6" s="535">
        <v>1</v>
      </c>
      <c r="L6" s="535">
        <v>34</v>
      </c>
      <c r="M6" s="116">
        <v>1</v>
      </c>
      <c r="N6" s="116">
        <v>35</v>
      </c>
      <c r="O6" s="540">
        <v>0.51470588235294112</v>
      </c>
      <c r="P6" s="558">
        <v>35</v>
      </c>
    </row>
    <row r="7" spans="1:16" ht="14.4" customHeight="1" x14ac:dyDescent="0.3">
      <c r="A7" s="541" t="s">
        <v>192</v>
      </c>
      <c r="B7" s="542" t="s">
        <v>1259</v>
      </c>
      <c r="C7" s="542" t="s">
        <v>1262</v>
      </c>
      <c r="D7" s="542" t="s">
        <v>1263</v>
      </c>
      <c r="E7" s="559">
        <v>250</v>
      </c>
      <c r="F7" s="559">
        <v>32250</v>
      </c>
      <c r="G7" s="542">
        <v>1</v>
      </c>
      <c r="H7" s="542">
        <v>129</v>
      </c>
      <c r="I7" s="559">
        <v>311</v>
      </c>
      <c r="J7" s="559">
        <v>40430</v>
      </c>
      <c r="K7" s="542">
        <v>1.2536434108527132</v>
      </c>
      <c r="L7" s="542">
        <v>130</v>
      </c>
      <c r="M7" s="559">
        <v>334</v>
      </c>
      <c r="N7" s="559">
        <v>44143</v>
      </c>
      <c r="O7" s="547">
        <v>1.3687751937984496</v>
      </c>
      <c r="P7" s="560">
        <v>132.16467065868264</v>
      </c>
    </row>
    <row r="8" spans="1:16" ht="14.4" customHeight="1" x14ac:dyDescent="0.3">
      <c r="A8" s="541" t="s">
        <v>192</v>
      </c>
      <c r="B8" s="542" t="s">
        <v>1259</v>
      </c>
      <c r="C8" s="542" t="s">
        <v>1264</v>
      </c>
      <c r="D8" s="542" t="s">
        <v>1265</v>
      </c>
      <c r="E8" s="559">
        <v>169</v>
      </c>
      <c r="F8" s="559">
        <v>287131</v>
      </c>
      <c r="G8" s="542">
        <v>1</v>
      </c>
      <c r="H8" s="542">
        <v>1699</v>
      </c>
      <c r="I8" s="559">
        <v>232</v>
      </c>
      <c r="J8" s="559">
        <v>395560</v>
      </c>
      <c r="K8" s="542">
        <v>1.3776290264722375</v>
      </c>
      <c r="L8" s="542">
        <v>1705</v>
      </c>
      <c r="M8" s="559">
        <v>246</v>
      </c>
      <c r="N8" s="559">
        <v>421454</v>
      </c>
      <c r="O8" s="547">
        <v>1.4678108598514268</v>
      </c>
      <c r="P8" s="560">
        <v>1713.2276422764228</v>
      </c>
    </row>
    <row r="9" spans="1:16" ht="14.4" customHeight="1" x14ac:dyDescent="0.3">
      <c r="A9" s="541" t="s">
        <v>192</v>
      </c>
      <c r="B9" s="542" t="s">
        <v>1259</v>
      </c>
      <c r="C9" s="542" t="s">
        <v>1266</v>
      </c>
      <c r="D9" s="542" t="s">
        <v>1267</v>
      </c>
      <c r="E9" s="559"/>
      <c r="F9" s="559"/>
      <c r="G9" s="542"/>
      <c r="H9" s="542"/>
      <c r="I9" s="559"/>
      <c r="J9" s="559"/>
      <c r="K9" s="542"/>
      <c r="L9" s="542"/>
      <c r="M9" s="559">
        <v>1</v>
      </c>
      <c r="N9" s="559">
        <v>100</v>
      </c>
      <c r="O9" s="547"/>
      <c r="P9" s="560">
        <v>100</v>
      </c>
    </row>
    <row r="10" spans="1:16" ht="14.4" customHeight="1" x14ac:dyDescent="0.3">
      <c r="A10" s="541" t="s">
        <v>192</v>
      </c>
      <c r="B10" s="542" t="s">
        <v>1259</v>
      </c>
      <c r="C10" s="542" t="s">
        <v>1268</v>
      </c>
      <c r="D10" s="542" t="s">
        <v>1269</v>
      </c>
      <c r="E10" s="559">
        <v>33</v>
      </c>
      <c r="F10" s="559">
        <v>19140</v>
      </c>
      <c r="G10" s="542">
        <v>1</v>
      </c>
      <c r="H10" s="542">
        <v>580</v>
      </c>
      <c r="I10" s="559">
        <v>26</v>
      </c>
      <c r="J10" s="559">
        <v>15132</v>
      </c>
      <c r="K10" s="542">
        <v>0.79059561128526645</v>
      </c>
      <c r="L10" s="542">
        <v>582</v>
      </c>
      <c r="M10" s="559">
        <v>8</v>
      </c>
      <c r="N10" s="559">
        <v>4676</v>
      </c>
      <c r="O10" s="547">
        <v>0.24430512016718914</v>
      </c>
      <c r="P10" s="560">
        <v>584.5</v>
      </c>
    </row>
    <row r="11" spans="1:16" ht="14.4" customHeight="1" x14ac:dyDescent="0.3">
      <c r="A11" s="541" t="s">
        <v>192</v>
      </c>
      <c r="B11" s="542" t="s">
        <v>1259</v>
      </c>
      <c r="C11" s="542" t="s">
        <v>1270</v>
      </c>
      <c r="D11" s="542" t="s">
        <v>1271</v>
      </c>
      <c r="E11" s="559">
        <v>127</v>
      </c>
      <c r="F11" s="559">
        <v>54991</v>
      </c>
      <c r="G11" s="542">
        <v>1</v>
      </c>
      <c r="H11" s="542">
        <v>433</v>
      </c>
      <c r="I11" s="559">
        <v>135</v>
      </c>
      <c r="J11" s="559">
        <v>44145</v>
      </c>
      <c r="K11" s="542">
        <v>0.80276772562783005</v>
      </c>
      <c r="L11" s="542">
        <v>327</v>
      </c>
      <c r="M11" s="559">
        <v>154</v>
      </c>
      <c r="N11" s="559">
        <v>50706</v>
      </c>
      <c r="O11" s="547">
        <v>0.92207815824407635</v>
      </c>
      <c r="P11" s="560">
        <v>329.25974025974028</v>
      </c>
    </row>
    <row r="12" spans="1:16" ht="14.4" customHeight="1" x14ac:dyDescent="0.3">
      <c r="A12" s="541" t="s">
        <v>192</v>
      </c>
      <c r="B12" s="542" t="s">
        <v>1259</v>
      </c>
      <c r="C12" s="542" t="s">
        <v>1272</v>
      </c>
      <c r="D12" s="542" t="s">
        <v>1273</v>
      </c>
      <c r="E12" s="559">
        <v>54</v>
      </c>
      <c r="F12" s="559">
        <v>0</v>
      </c>
      <c r="G12" s="542"/>
      <c r="H12" s="542">
        <v>0</v>
      </c>
      <c r="I12" s="559">
        <v>42</v>
      </c>
      <c r="J12" s="559">
        <v>0</v>
      </c>
      <c r="K12" s="542"/>
      <c r="L12" s="542">
        <v>0</v>
      </c>
      <c r="M12" s="559">
        <v>19</v>
      </c>
      <c r="N12" s="559">
        <v>0</v>
      </c>
      <c r="O12" s="547"/>
      <c r="P12" s="560">
        <v>0</v>
      </c>
    </row>
    <row r="13" spans="1:16" ht="14.4" customHeight="1" x14ac:dyDescent="0.3">
      <c r="A13" s="541" t="s">
        <v>192</v>
      </c>
      <c r="B13" s="542" t="s">
        <v>1259</v>
      </c>
      <c r="C13" s="542" t="s">
        <v>1274</v>
      </c>
      <c r="D13" s="542" t="s">
        <v>1275</v>
      </c>
      <c r="E13" s="559">
        <v>1</v>
      </c>
      <c r="F13" s="559">
        <v>25</v>
      </c>
      <c r="G13" s="542">
        <v>1</v>
      </c>
      <c r="H13" s="542">
        <v>25</v>
      </c>
      <c r="I13" s="559"/>
      <c r="J13" s="559"/>
      <c r="K13" s="542"/>
      <c r="L13" s="542"/>
      <c r="M13" s="559">
        <v>5</v>
      </c>
      <c r="N13" s="559">
        <v>179</v>
      </c>
      <c r="O13" s="547">
        <v>7.16</v>
      </c>
      <c r="P13" s="560">
        <v>35.799999999999997</v>
      </c>
    </row>
    <row r="14" spans="1:16" ht="14.4" customHeight="1" x14ac:dyDescent="0.3">
      <c r="A14" s="541" t="s">
        <v>192</v>
      </c>
      <c r="B14" s="542" t="s">
        <v>1259</v>
      </c>
      <c r="C14" s="542" t="s">
        <v>1276</v>
      </c>
      <c r="D14" s="542" t="s">
        <v>1277</v>
      </c>
      <c r="E14" s="559">
        <v>64</v>
      </c>
      <c r="F14" s="559">
        <v>7872</v>
      </c>
      <c r="G14" s="542">
        <v>1</v>
      </c>
      <c r="H14" s="542">
        <v>123</v>
      </c>
      <c r="I14" s="559">
        <v>66</v>
      </c>
      <c r="J14" s="559">
        <v>8184</v>
      </c>
      <c r="K14" s="542">
        <v>1.0396341463414633</v>
      </c>
      <c r="L14" s="542">
        <v>124</v>
      </c>
      <c r="M14" s="559">
        <v>218</v>
      </c>
      <c r="N14" s="559">
        <v>27189</v>
      </c>
      <c r="O14" s="547">
        <v>3.4538871951219514</v>
      </c>
      <c r="P14" s="560">
        <v>124.72018348623853</v>
      </c>
    </row>
    <row r="15" spans="1:16" ht="14.4" customHeight="1" x14ac:dyDescent="0.3">
      <c r="A15" s="541" t="s">
        <v>192</v>
      </c>
      <c r="B15" s="542" t="s">
        <v>1259</v>
      </c>
      <c r="C15" s="542" t="s">
        <v>1278</v>
      </c>
      <c r="D15" s="542" t="s">
        <v>1279</v>
      </c>
      <c r="E15" s="559">
        <v>1</v>
      </c>
      <c r="F15" s="559">
        <v>533</v>
      </c>
      <c r="G15" s="542">
        <v>1</v>
      </c>
      <c r="H15" s="542">
        <v>533</v>
      </c>
      <c r="I15" s="559"/>
      <c r="J15" s="559"/>
      <c r="K15" s="542"/>
      <c r="L15" s="542"/>
      <c r="M15" s="559"/>
      <c r="N15" s="559"/>
      <c r="O15" s="547"/>
      <c r="P15" s="560"/>
    </row>
    <row r="16" spans="1:16" ht="14.4" customHeight="1" x14ac:dyDescent="0.3">
      <c r="A16" s="541" t="s">
        <v>192</v>
      </c>
      <c r="B16" s="542" t="s">
        <v>1259</v>
      </c>
      <c r="C16" s="542" t="s">
        <v>1280</v>
      </c>
      <c r="D16" s="542" t="s">
        <v>1281</v>
      </c>
      <c r="E16" s="559">
        <v>197</v>
      </c>
      <c r="F16" s="559">
        <v>126868</v>
      </c>
      <c r="G16" s="542">
        <v>1</v>
      </c>
      <c r="H16" s="542">
        <v>644</v>
      </c>
      <c r="I16" s="559">
        <v>214</v>
      </c>
      <c r="J16" s="559">
        <v>138030</v>
      </c>
      <c r="K16" s="542">
        <v>1.0879812088154617</v>
      </c>
      <c r="L16" s="542">
        <v>645</v>
      </c>
      <c r="M16" s="559">
        <v>247</v>
      </c>
      <c r="N16" s="559">
        <v>160413</v>
      </c>
      <c r="O16" s="547">
        <v>1.2644086767348741</v>
      </c>
      <c r="P16" s="560">
        <v>649.44534412955466</v>
      </c>
    </row>
    <row r="17" spans="1:16" ht="14.4" customHeight="1" x14ac:dyDescent="0.3">
      <c r="A17" s="541" t="s">
        <v>192</v>
      </c>
      <c r="B17" s="542" t="s">
        <v>1259</v>
      </c>
      <c r="C17" s="542" t="s">
        <v>1282</v>
      </c>
      <c r="D17" s="542" t="s">
        <v>1283</v>
      </c>
      <c r="E17" s="559">
        <v>2</v>
      </c>
      <c r="F17" s="559">
        <v>432</v>
      </c>
      <c r="G17" s="542">
        <v>1</v>
      </c>
      <c r="H17" s="542">
        <v>216</v>
      </c>
      <c r="I17" s="559">
        <v>3</v>
      </c>
      <c r="J17" s="559">
        <v>489</v>
      </c>
      <c r="K17" s="542">
        <v>1.1319444444444444</v>
      </c>
      <c r="L17" s="542">
        <v>163</v>
      </c>
      <c r="M17" s="559">
        <v>5</v>
      </c>
      <c r="N17" s="559">
        <v>819</v>
      </c>
      <c r="O17" s="547">
        <v>1.8958333333333333</v>
      </c>
      <c r="P17" s="560">
        <v>163.80000000000001</v>
      </c>
    </row>
    <row r="18" spans="1:16" ht="14.4" customHeight="1" x14ac:dyDescent="0.3">
      <c r="A18" s="541" t="s">
        <v>192</v>
      </c>
      <c r="B18" s="542" t="s">
        <v>1259</v>
      </c>
      <c r="C18" s="542" t="s">
        <v>1284</v>
      </c>
      <c r="D18" s="542" t="s">
        <v>1285</v>
      </c>
      <c r="E18" s="559">
        <v>13</v>
      </c>
      <c r="F18" s="559">
        <v>7514</v>
      </c>
      <c r="G18" s="542">
        <v>1</v>
      </c>
      <c r="H18" s="542">
        <v>578</v>
      </c>
      <c r="I18" s="559"/>
      <c r="J18" s="559"/>
      <c r="K18" s="542"/>
      <c r="L18" s="542"/>
      <c r="M18" s="559"/>
      <c r="N18" s="559"/>
      <c r="O18" s="547"/>
      <c r="P18" s="560"/>
    </row>
    <row r="19" spans="1:16" ht="14.4" customHeight="1" x14ac:dyDescent="0.3">
      <c r="A19" s="541" t="s">
        <v>192</v>
      </c>
      <c r="B19" s="542" t="s">
        <v>1259</v>
      </c>
      <c r="C19" s="542" t="s">
        <v>1286</v>
      </c>
      <c r="D19" s="542" t="s">
        <v>1287</v>
      </c>
      <c r="E19" s="559">
        <v>1</v>
      </c>
      <c r="F19" s="559">
        <v>68</v>
      </c>
      <c r="G19" s="542">
        <v>1</v>
      </c>
      <c r="H19" s="542">
        <v>68</v>
      </c>
      <c r="I19" s="559">
        <v>1</v>
      </c>
      <c r="J19" s="559">
        <v>69</v>
      </c>
      <c r="K19" s="542">
        <v>1.0147058823529411</v>
      </c>
      <c r="L19" s="542">
        <v>69</v>
      </c>
      <c r="M19" s="559">
        <v>1</v>
      </c>
      <c r="N19" s="559">
        <v>69</v>
      </c>
      <c r="O19" s="547">
        <v>1.0147058823529411</v>
      </c>
      <c r="P19" s="560">
        <v>69</v>
      </c>
    </row>
    <row r="20" spans="1:16" ht="14.4" customHeight="1" x14ac:dyDescent="0.3">
      <c r="A20" s="541" t="s">
        <v>192</v>
      </c>
      <c r="B20" s="542" t="s">
        <v>1259</v>
      </c>
      <c r="C20" s="542" t="s">
        <v>1288</v>
      </c>
      <c r="D20" s="542" t="s">
        <v>1289</v>
      </c>
      <c r="E20" s="559">
        <v>9</v>
      </c>
      <c r="F20" s="559">
        <v>1845</v>
      </c>
      <c r="G20" s="542">
        <v>1</v>
      </c>
      <c r="H20" s="542">
        <v>205</v>
      </c>
      <c r="I20" s="559">
        <v>7</v>
      </c>
      <c r="J20" s="559">
        <v>1442</v>
      </c>
      <c r="K20" s="542">
        <v>0.78157181571815715</v>
      </c>
      <c r="L20" s="542">
        <v>206</v>
      </c>
      <c r="M20" s="559">
        <v>15</v>
      </c>
      <c r="N20" s="559">
        <v>3111</v>
      </c>
      <c r="O20" s="547">
        <v>1.686178861788618</v>
      </c>
      <c r="P20" s="560">
        <v>207.4</v>
      </c>
    </row>
    <row r="21" spans="1:16" ht="14.4" customHeight="1" x14ac:dyDescent="0.3">
      <c r="A21" s="541" t="s">
        <v>192</v>
      </c>
      <c r="B21" s="542" t="s">
        <v>1259</v>
      </c>
      <c r="C21" s="542" t="s">
        <v>1290</v>
      </c>
      <c r="D21" s="542" t="s">
        <v>1291</v>
      </c>
      <c r="E21" s="559">
        <v>436</v>
      </c>
      <c r="F21" s="559">
        <v>33136</v>
      </c>
      <c r="G21" s="542">
        <v>1</v>
      </c>
      <c r="H21" s="542">
        <v>76</v>
      </c>
      <c r="I21" s="559">
        <v>273</v>
      </c>
      <c r="J21" s="559">
        <v>20748</v>
      </c>
      <c r="K21" s="542">
        <v>0.62614678899082565</v>
      </c>
      <c r="L21" s="542">
        <v>76</v>
      </c>
      <c r="M21" s="559">
        <v>25</v>
      </c>
      <c r="N21" s="559">
        <v>1918</v>
      </c>
      <c r="O21" s="547">
        <v>5.7882665379043942E-2</v>
      </c>
      <c r="P21" s="560">
        <v>76.72</v>
      </c>
    </row>
    <row r="22" spans="1:16" ht="14.4" customHeight="1" x14ac:dyDescent="0.3">
      <c r="A22" s="541" t="s">
        <v>192</v>
      </c>
      <c r="B22" s="542" t="s">
        <v>1259</v>
      </c>
      <c r="C22" s="542" t="s">
        <v>1292</v>
      </c>
      <c r="D22" s="542" t="s">
        <v>1251</v>
      </c>
      <c r="E22" s="559">
        <v>1</v>
      </c>
      <c r="F22" s="559">
        <v>418</v>
      </c>
      <c r="G22" s="542">
        <v>1</v>
      </c>
      <c r="H22" s="542">
        <v>418</v>
      </c>
      <c r="I22" s="559"/>
      <c r="J22" s="559"/>
      <c r="K22" s="542"/>
      <c r="L22" s="542"/>
      <c r="M22" s="559"/>
      <c r="N22" s="559"/>
      <c r="O22" s="547"/>
      <c r="P22" s="560"/>
    </row>
    <row r="23" spans="1:16" ht="14.4" customHeight="1" x14ac:dyDescent="0.3">
      <c r="A23" s="541" t="s">
        <v>192</v>
      </c>
      <c r="B23" s="542" t="s">
        <v>1259</v>
      </c>
      <c r="C23" s="542" t="s">
        <v>1293</v>
      </c>
      <c r="D23" s="542" t="s">
        <v>1251</v>
      </c>
      <c r="E23" s="559">
        <v>1</v>
      </c>
      <c r="F23" s="559">
        <v>283</v>
      </c>
      <c r="G23" s="542">
        <v>1</v>
      </c>
      <c r="H23" s="542">
        <v>283</v>
      </c>
      <c r="I23" s="559"/>
      <c r="J23" s="559"/>
      <c r="K23" s="542"/>
      <c r="L23" s="542"/>
      <c r="M23" s="559"/>
      <c r="N23" s="559"/>
      <c r="O23" s="547"/>
      <c r="P23" s="560"/>
    </row>
    <row r="24" spans="1:16" ht="14.4" customHeight="1" x14ac:dyDescent="0.3">
      <c r="A24" s="541" t="s">
        <v>192</v>
      </c>
      <c r="B24" s="542" t="s">
        <v>1259</v>
      </c>
      <c r="C24" s="542" t="s">
        <v>1294</v>
      </c>
      <c r="D24" s="542" t="s">
        <v>1295</v>
      </c>
      <c r="E24" s="559">
        <v>2</v>
      </c>
      <c r="F24" s="559">
        <v>410</v>
      </c>
      <c r="G24" s="542">
        <v>1</v>
      </c>
      <c r="H24" s="542">
        <v>205</v>
      </c>
      <c r="I24" s="559">
        <v>2</v>
      </c>
      <c r="J24" s="559">
        <v>412</v>
      </c>
      <c r="K24" s="542">
        <v>1.0048780487804878</v>
      </c>
      <c r="L24" s="542">
        <v>206</v>
      </c>
      <c r="M24" s="559"/>
      <c r="N24" s="559"/>
      <c r="O24" s="547"/>
      <c r="P24" s="560"/>
    </row>
    <row r="25" spans="1:16" ht="14.4" customHeight="1" x14ac:dyDescent="0.3">
      <c r="A25" s="541" t="s">
        <v>192</v>
      </c>
      <c r="B25" s="542" t="s">
        <v>1259</v>
      </c>
      <c r="C25" s="542" t="s">
        <v>1296</v>
      </c>
      <c r="D25" s="542" t="s">
        <v>1297</v>
      </c>
      <c r="E25" s="559"/>
      <c r="F25" s="559"/>
      <c r="G25" s="542"/>
      <c r="H25" s="542"/>
      <c r="I25" s="559"/>
      <c r="J25" s="559"/>
      <c r="K25" s="542"/>
      <c r="L25" s="542"/>
      <c r="M25" s="559">
        <v>3</v>
      </c>
      <c r="N25" s="559">
        <v>170</v>
      </c>
      <c r="O25" s="547"/>
      <c r="P25" s="560">
        <v>56.666666666666664</v>
      </c>
    </row>
    <row r="26" spans="1:16" ht="14.4" customHeight="1" x14ac:dyDescent="0.3">
      <c r="A26" s="541" t="s">
        <v>1298</v>
      </c>
      <c r="B26" s="542" t="s">
        <v>1259</v>
      </c>
      <c r="C26" s="542" t="s">
        <v>1260</v>
      </c>
      <c r="D26" s="542" t="s">
        <v>1261</v>
      </c>
      <c r="E26" s="559">
        <v>2</v>
      </c>
      <c r="F26" s="559">
        <v>68</v>
      </c>
      <c r="G26" s="542">
        <v>1</v>
      </c>
      <c r="H26" s="542">
        <v>34</v>
      </c>
      <c r="I26" s="559">
        <v>29</v>
      </c>
      <c r="J26" s="559">
        <v>986</v>
      </c>
      <c r="K26" s="542">
        <v>14.5</v>
      </c>
      <c r="L26" s="542">
        <v>34</v>
      </c>
      <c r="M26" s="559"/>
      <c r="N26" s="559"/>
      <c r="O26" s="547"/>
      <c r="P26" s="560"/>
    </row>
    <row r="27" spans="1:16" ht="14.4" customHeight="1" x14ac:dyDescent="0.3">
      <c r="A27" s="541" t="s">
        <v>1298</v>
      </c>
      <c r="B27" s="542" t="s">
        <v>1259</v>
      </c>
      <c r="C27" s="542" t="s">
        <v>1262</v>
      </c>
      <c r="D27" s="542" t="s">
        <v>1263</v>
      </c>
      <c r="E27" s="559">
        <v>0</v>
      </c>
      <c r="F27" s="559">
        <v>0</v>
      </c>
      <c r="G27" s="542"/>
      <c r="H27" s="542"/>
      <c r="I27" s="559">
        <v>1</v>
      </c>
      <c r="J27" s="559">
        <v>130</v>
      </c>
      <c r="K27" s="542"/>
      <c r="L27" s="542">
        <v>130</v>
      </c>
      <c r="M27" s="559">
        <v>1</v>
      </c>
      <c r="N27" s="559">
        <v>133</v>
      </c>
      <c r="O27" s="547"/>
      <c r="P27" s="560">
        <v>133</v>
      </c>
    </row>
    <row r="28" spans="1:16" ht="14.4" customHeight="1" x14ac:dyDescent="0.3">
      <c r="A28" s="541" t="s">
        <v>1298</v>
      </c>
      <c r="B28" s="542" t="s">
        <v>1259</v>
      </c>
      <c r="C28" s="542" t="s">
        <v>1264</v>
      </c>
      <c r="D28" s="542" t="s">
        <v>1265</v>
      </c>
      <c r="E28" s="559">
        <v>1</v>
      </c>
      <c r="F28" s="559">
        <v>1699</v>
      </c>
      <c r="G28" s="542">
        <v>1</v>
      </c>
      <c r="H28" s="542">
        <v>1699</v>
      </c>
      <c r="I28" s="559">
        <v>1</v>
      </c>
      <c r="J28" s="559">
        <v>1705</v>
      </c>
      <c r="K28" s="542">
        <v>1.0035314891112419</v>
      </c>
      <c r="L28" s="542">
        <v>1705</v>
      </c>
      <c r="M28" s="559">
        <v>1</v>
      </c>
      <c r="N28" s="559">
        <v>1716</v>
      </c>
      <c r="O28" s="547">
        <v>1.0100058858151855</v>
      </c>
      <c r="P28" s="560">
        <v>1716</v>
      </c>
    </row>
    <row r="29" spans="1:16" ht="14.4" customHeight="1" x14ac:dyDescent="0.3">
      <c r="A29" s="541" t="s">
        <v>1298</v>
      </c>
      <c r="B29" s="542" t="s">
        <v>1259</v>
      </c>
      <c r="C29" s="542" t="s">
        <v>1299</v>
      </c>
      <c r="D29" s="542" t="s">
        <v>1300</v>
      </c>
      <c r="E29" s="559">
        <v>31</v>
      </c>
      <c r="F29" s="559">
        <v>20801</v>
      </c>
      <c r="G29" s="542">
        <v>1</v>
      </c>
      <c r="H29" s="542">
        <v>671</v>
      </c>
      <c r="I29" s="559">
        <v>33</v>
      </c>
      <c r="J29" s="559">
        <v>21285</v>
      </c>
      <c r="K29" s="542">
        <v>1.0232681121099947</v>
      </c>
      <c r="L29" s="542">
        <v>645</v>
      </c>
      <c r="M29" s="559">
        <v>19</v>
      </c>
      <c r="N29" s="559">
        <v>12345</v>
      </c>
      <c r="O29" s="547">
        <v>0.59348108264025767</v>
      </c>
      <c r="P29" s="560">
        <v>649.73684210526312</v>
      </c>
    </row>
    <row r="30" spans="1:16" ht="14.4" customHeight="1" x14ac:dyDescent="0.3">
      <c r="A30" s="541" t="s">
        <v>1298</v>
      </c>
      <c r="B30" s="542" t="s">
        <v>1259</v>
      </c>
      <c r="C30" s="542" t="s">
        <v>1266</v>
      </c>
      <c r="D30" s="542" t="s">
        <v>1267</v>
      </c>
      <c r="E30" s="559"/>
      <c r="F30" s="559"/>
      <c r="G30" s="542"/>
      <c r="H30" s="542"/>
      <c r="I30" s="559"/>
      <c r="J30" s="559"/>
      <c r="K30" s="542"/>
      <c r="L30" s="542"/>
      <c r="M30" s="559">
        <v>26</v>
      </c>
      <c r="N30" s="559">
        <v>2599</v>
      </c>
      <c r="O30" s="547"/>
      <c r="P30" s="560">
        <v>99.961538461538467</v>
      </c>
    </row>
    <row r="31" spans="1:16" ht="14.4" customHeight="1" x14ac:dyDescent="0.3">
      <c r="A31" s="541" t="s">
        <v>1298</v>
      </c>
      <c r="B31" s="542" t="s">
        <v>1259</v>
      </c>
      <c r="C31" s="542" t="s">
        <v>1268</v>
      </c>
      <c r="D31" s="542" t="s">
        <v>1269</v>
      </c>
      <c r="E31" s="559">
        <v>2</v>
      </c>
      <c r="F31" s="559">
        <v>1160</v>
      </c>
      <c r="G31" s="542">
        <v>1</v>
      </c>
      <c r="H31" s="542">
        <v>580</v>
      </c>
      <c r="I31" s="559">
        <v>1</v>
      </c>
      <c r="J31" s="559">
        <v>582</v>
      </c>
      <c r="K31" s="542">
        <v>0.50172413793103443</v>
      </c>
      <c r="L31" s="542">
        <v>582</v>
      </c>
      <c r="M31" s="559"/>
      <c r="N31" s="559"/>
      <c r="O31" s="547"/>
      <c r="P31" s="560"/>
    </row>
    <row r="32" spans="1:16" ht="14.4" customHeight="1" x14ac:dyDescent="0.3">
      <c r="A32" s="541" t="s">
        <v>1298</v>
      </c>
      <c r="B32" s="542" t="s">
        <v>1259</v>
      </c>
      <c r="C32" s="542" t="s">
        <v>1301</v>
      </c>
      <c r="D32" s="542" t="s">
        <v>1302</v>
      </c>
      <c r="E32" s="559">
        <v>157</v>
      </c>
      <c r="F32" s="559">
        <v>147109</v>
      </c>
      <c r="G32" s="542">
        <v>1</v>
      </c>
      <c r="H32" s="542">
        <v>937</v>
      </c>
      <c r="I32" s="559">
        <v>127</v>
      </c>
      <c r="J32" s="559">
        <v>119380</v>
      </c>
      <c r="K32" s="542">
        <v>0.81150711377278073</v>
      </c>
      <c r="L32" s="542">
        <v>940</v>
      </c>
      <c r="M32" s="559">
        <v>87</v>
      </c>
      <c r="N32" s="559">
        <v>82164</v>
      </c>
      <c r="O32" s="547">
        <v>0.5585246313957678</v>
      </c>
      <c r="P32" s="560">
        <v>944.41379310344826</v>
      </c>
    </row>
    <row r="33" spans="1:16" ht="14.4" customHeight="1" x14ac:dyDescent="0.3">
      <c r="A33" s="541" t="s">
        <v>1298</v>
      </c>
      <c r="B33" s="542" t="s">
        <v>1259</v>
      </c>
      <c r="C33" s="542" t="s">
        <v>1270</v>
      </c>
      <c r="D33" s="542" t="s">
        <v>1271</v>
      </c>
      <c r="E33" s="559">
        <v>1</v>
      </c>
      <c r="F33" s="559">
        <v>433</v>
      </c>
      <c r="G33" s="542">
        <v>1</v>
      </c>
      <c r="H33" s="542">
        <v>433</v>
      </c>
      <c r="I33" s="559">
        <v>1</v>
      </c>
      <c r="J33" s="559">
        <v>327</v>
      </c>
      <c r="K33" s="542">
        <v>0.75519630484988454</v>
      </c>
      <c r="L33" s="542">
        <v>327</v>
      </c>
      <c r="M33" s="559"/>
      <c r="N33" s="559"/>
      <c r="O33" s="547"/>
      <c r="P33" s="560"/>
    </row>
    <row r="34" spans="1:16" ht="14.4" customHeight="1" x14ac:dyDescent="0.3">
      <c r="A34" s="541" t="s">
        <v>1298</v>
      </c>
      <c r="B34" s="542" t="s">
        <v>1259</v>
      </c>
      <c r="C34" s="542" t="s">
        <v>1272</v>
      </c>
      <c r="D34" s="542" t="s">
        <v>1273</v>
      </c>
      <c r="E34" s="559">
        <v>8</v>
      </c>
      <c r="F34" s="559">
        <v>0</v>
      </c>
      <c r="G34" s="542"/>
      <c r="H34" s="542">
        <v>0</v>
      </c>
      <c r="I34" s="559">
        <v>40</v>
      </c>
      <c r="J34" s="559">
        <v>0</v>
      </c>
      <c r="K34" s="542"/>
      <c r="L34" s="542">
        <v>0</v>
      </c>
      <c r="M34" s="559">
        <v>5</v>
      </c>
      <c r="N34" s="559">
        <v>0</v>
      </c>
      <c r="O34" s="547"/>
      <c r="P34" s="560">
        <v>0</v>
      </c>
    </row>
    <row r="35" spans="1:16" ht="14.4" customHeight="1" x14ac:dyDescent="0.3">
      <c r="A35" s="541" t="s">
        <v>1298</v>
      </c>
      <c r="B35" s="542" t="s">
        <v>1259</v>
      </c>
      <c r="C35" s="542" t="s">
        <v>1274</v>
      </c>
      <c r="D35" s="542" t="s">
        <v>1275</v>
      </c>
      <c r="E35" s="559"/>
      <c r="F35" s="559"/>
      <c r="G35" s="542"/>
      <c r="H35" s="542"/>
      <c r="I35" s="559"/>
      <c r="J35" s="559"/>
      <c r="K35" s="542"/>
      <c r="L35" s="542"/>
      <c r="M35" s="559">
        <v>1</v>
      </c>
      <c r="N35" s="559">
        <v>35</v>
      </c>
      <c r="O35" s="547"/>
      <c r="P35" s="560">
        <v>35</v>
      </c>
    </row>
    <row r="36" spans="1:16" ht="14.4" customHeight="1" x14ac:dyDescent="0.3">
      <c r="A36" s="541" t="s">
        <v>1298</v>
      </c>
      <c r="B36" s="542" t="s">
        <v>1259</v>
      </c>
      <c r="C36" s="542" t="s">
        <v>1276</v>
      </c>
      <c r="D36" s="542" t="s">
        <v>1277</v>
      </c>
      <c r="E36" s="559">
        <v>2</v>
      </c>
      <c r="F36" s="559">
        <v>246</v>
      </c>
      <c r="G36" s="542">
        <v>1</v>
      </c>
      <c r="H36" s="542">
        <v>123</v>
      </c>
      <c r="I36" s="559"/>
      <c r="J36" s="559"/>
      <c r="K36" s="542"/>
      <c r="L36" s="542"/>
      <c r="M36" s="559">
        <v>1</v>
      </c>
      <c r="N36" s="559">
        <v>125</v>
      </c>
      <c r="O36" s="547">
        <v>0.50813008130081305</v>
      </c>
      <c r="P36" s="560">
        <v>125</v>
      </c>
    </row>
    <row r="37" spans="1:16" ht="14.4" customHeight="1" x14ac:dyDescent="0.3">
      <c r="A37" s="541" t="s">
        <v>1298</v>
      </c>
      <c r="B37" s="542" t="s">
        <v>1259</v>
      </c>
      <c r="C37" s="542" t="s">
        <v>1278</v>
      </c>
      <c r="D37" s="542" t="s">
        <v>1279</v>
      </c>
      <c r="E37" s="559">
        <v>116</v>
      </c>
      <c r="F37" s="559">
        <v>61828</v>
      </c>
      <c r="G37" s="542">
        <v>1</v>
      </c>
      <c r="H37" s="542">
        <v>533</v>
      </c>
      <c r="I37" s="559">
        <v>189</v>
      </c>
      <c r="J37" s="559">
        <v>101304</v>
      </c>
      <c r="K37" s="542">
        <v>1.638480947143689</v>
      </c>
      <c r="L37" s="542">
        <v>536</v>
      </c>
      <c r="M37" s="559">
        <v>249</v>
      </c>
      <c r="N37" s="559">
        <v>101548</v>
      </c>
      <c r="O37" s="547">
        <v>1.6424273791809536</v>
      </c>
      <c r="P37" s="560">
        <v>407.82329317269074</v>
      </c>
    </row>
    <row r="38" spans="1:16" ht="14.4" customHeight="1" x14ac:dyDescent="0.3">
      <c r="A38" s="541" t="s">
        <v>1298</v>
      </c>
      <c r="B38" s="542" t="s">
        <v>1259</v>
      </c>
      <c r="C38" s="542" t="s">
        <v>1280</v>
      </c>
      <c r="D38" s="542" t="s">
        <v>1281</v>
      </c>
      <c r="E38" s="559">
        <v>2</v>
      </c>
      <c r="F38" s="559">
        <v>1288</v>
      </c>
      <c r="G38" s="542">
        <v>1</v>
      </c>
      <c r="H38" s="542">
        <v>644</v>
      </c>
      <c r="I38" s="559"/>
      <c r="J38" s="559"/>
      <c r="K38" s="542"/>
      <c r="L38" s="542"/>
      <c r="M38" s="559">
        <v>1</v>
      </c>
      <c r="N38" s="559">
        <v>651</v>
      </c>
      <c r="O38" s="547">
        <v>0.50543478260869568</v>
      </c>
      <c r="P38" s="560">
        <v>651</v>
      </c>
    </row>
    <row r="39" spans="1:16" ht="14.4" customHeight="1" x14ac:dyDescent="0.3">
      <c r="A39" s="541" t="s">
        <v>1298</v>
      </c>
      <c r="B39" s="542" t="s">
        <v>1259</v>
      </c>
      <c r="C39" s="542" t="s">
        <v>1284</v>
      </c>
      <c r="D39" s="542" t="s">
        <v>1285</v>
      </c>
      <c r="E39" s="559">
        <v>279</v>
      </c>
      <c r="F39" s="559">
        <v>161262</v>
      </c>
      <c r="G39" s="542">
        <v>1</v>
      </c>
      <c r="H39" s="542">
        <v>578</v>
      </c>
      <c r="I39" s="559">
        <v>351</v>
      </c>
      <c r="J39" s="559">
        <v>203580</v>
      </c>
      <c r="K39" s="542">
        <v>1.2624176805447036</v>
      </c>
      <c r="L39" s="542">
        <v>580</v>
      </c>
      <c r="M39" s="559">
        <v>401</v>
      </c>
      <c r="N39" s="559">
        <v>233764</v>
      </c>
      <c r="O39" s="547">
        <v>1.449591348240751</v>
      </c>
      <c r="P39" s="560">
        <v>582.95261845386528</v>
      </c>
    </row>
    <row r="40" spans="1:16" ht="14.4" customHeight="1" x14ac:dyDescent="0.3">
      <c r="A40" s="541" t="s">
        <v>1298</v>
      </c>
      <c r="B40" s="542" t="s">
        <v>1259</v>
      </c>
      <c r="C40" s="542" t="s">
        <v>1303</v>
      </c>
      <c r="D40" s="542" t="s">
        <v>1304</v>
      </c>
      <c r="E40" s="559">
        <v>4</v>
      </c>
      <c r="F40" s="559">
        <v>1420</v>
      </c>
      <c r="G40" s="542">
        <v>1</v>
      </c>
      <c r="H40" s="542">
        <v>355</v>
      </c>
      <c r="I40" s="559">
        <v>5</v>
      </c>
      <c r="J40" s="559">
        <v>1635</v>
      </c>
      <c r="K40" s="542">
        <v>1.1514084507042253</v>
      </c>
      <c r="L40" s="542">
        <v>327</v>
      </c>
      <c r="M40" s="559">
        <v>3</v>
      </c>
      <c r="N40" s="559">
        <v>987</v>
      </c>
      <c r="O40" s="547">
        <v>0.69507042253521123</v>
      </c>
      <c r="P40" s="560">
        <v>329</v>
      </c>
    </row>
    <row r="41" spans="1:16" ht="14.4" customHeight="1" x14ac:dyDescent="0.3">
      <c r="A41" s="541" t="s">
        <v>1298</v>
      </c>
      <c r="B41" s="542" t="s">
        <v>1259</v>
      </c>
      <c r="C41" s="542" t="s">
        <v>1288</v>
      </c>
      <c r="D41" s="542" t="s">
        <v>1289</v>
      </c>
      <c r="E41" s="559">
        <v>2</v>
      </c>
      <c r="F41" s="559">
        <v>410</v>
      </c>
      <c r="G41" s="542">
        <v>1</v>
      </c>
      <c r="H41" s="542">
        <v>205</v>
      </c>
      <c r="I41" s="559">
        <v>4</v>
      </c>
      <c r="J41" s="559">
        <v>824</v>
      </c>
      <c r="K41" s="542">
        <v>2.0097560975609756</v>
      </c>
      <c r="L41" s="542">
        <v>206</v>
      </c>
      <c r="M41" s="559"/>
      <c r="N41" s="559"/>
      <c r="O41" s="547"/>
      <c r="P41" s="560"/>
    </row>
    <row r="42" spans="1:16" ht="14.4" customHeight="1" x14ac:dyDescent="0.3">
      <c r="A42" s="541" t="s">
        <v>1298</v>
      </c>
      <c r="B42" s="542" t="s">
        <v>1259</v>
      </c>
      <c r="C42" s="542" t="s">
        <v>1290</v>
      </c>
      <c r="D42" s="542" t="s">
        <v>1291</v>
      </c>
      <c r="E42" s="559">
        <v>15</v>
      </c>
      <c r="F42" s="559">
        <v>1140</v>
      </c>
      <c r="G42" s="542">
        <v>1</v>
      </c>
      <c r="H42" s="542">
        <v>76</v>
      </c>
      <c r="I42" s="559">
        <v>40</v>
      </c>
      <c r="J42" s="559">
        <v>3040</v>
      </c>
      <c r="K42" s="542">
        <v>2.6666666666666665</v>
      </c>
      <c r="L42" s="542">
        <v>76</v>
      </c>
      <c r="M42" s="559">
        <v>6</v>
      </c>
      <c r="N42" s="559">
        <v>462</v>
      </c>
      <c r="O42" s="547">
        <v>0.40526315789473683</v>
      </c>
      <c r="P42" s="560">
        <v>77</v>
      </c>
    </row>
    <row r="43" spans="1:16" ht="14.4" customHeight="1" x14ac:dyDescent="0.3">
      <c r="A43" s="541" t="s">
        <v>1298</v>
      </c>
      <c r="B43" s="542" t="s">
        <v>1259</v>
      </c>
      <c r="C43" s="542" t="s">
        <v>1305</v>
      </c>
      <c r="D43" s="542" t="s">
        <v>1306</v>
      </c>
      <c r="E43" s="559">
        <v>4</v>
      </c>
      <c r="F43" s="559">
        <v>708</v>
      </c>
      <c r="G43" s="542">
        <v>1</v>
      </c>
      <c r="H43" s="542">
        <v>177</v>
      </c>
      <c r="I43" s="559">
        <v>10</v>
      </c>
      <c r="J43" s="559">
        <v>1630</v>
      </c>
      <c r="K43" s="542">
        <v>2.3022598870056497</v>
      </c>
      <c r="L43" s="542">
        <v>163</v>
      </c>
      <c r="M43" s="559">
        <v>20</v>
      </c>
      <c r="N43" s="559">
        <v>3278</v>
      </c>
      <c r="O43" s="547">
        <v>4.629943502824859</v>
      </c>
      <c r="P43" s="560">
        <v>163.9</v>
      </c>
    </row>
    <row r="44" spans="1:16" ht="14.4" customHeight="1" x14ac:dyDescent="0.3">
      <c r="A44" s="541" t="s">
        <v>1298</v>
      </c>
      <c r="B44" s="542" t="s">
        <v>1259</v>
      </c>
      <c r="C44" s="542" t="s">
        <v>1294</v>
      </c>
      <c r="D44" s="542" t="s">
        <v>1295</v>
      </c>
      <c r="E44" s="559"/>
      <c r="F44" s="559"/>
      <c r="G44" s="542"/>
      <c r="H44" s="542"/>
      <c r="I44" s="559">
        <v>3</v>
      </c>
      <c r="J44" s="559">
        <v>618</v>
      </c>
      <c r="K44" s="542"/>
      <c r="L44" s="542">
        <v>206</v>
      </c>
      <c r="M44" s="559"/>
      <c r="N44" s="559"/>
      <c r="O44" s="547"/>
      <c r="P44" s="560"/>
    </row>
    <row r="45" spans="1:16" ht="14.4" customHeight="1" x14ac:dyDescent="0.3">
      <c r="A45" s="541" t="s">
        <v>1307</v>
      </c>
      <c r="B45" s="542" t="s">
        <v>1259</v>
      </c>
      <c r="C45" s="542" t="s">
        <v>1308</v>
      </c>
      <c r="D45" s="542" t="s">
        <v>1309</v>
      </c>
      <c r="E45" s="559">
        <v>1</v>
      </c>
      <c r="F45" s="559">
        <v>20</v>
      </c>
      <c r="G45" s="542">
        <v>1</v>
      </c>
      <c r="H45" s="542">
        <v>20</v>
      </c>
      <c r="I45" s="559"/>
      <c r="J45" s="559"/>
      <c r="K45" s="542"/>
      <c r="L45" s="542"/>
      <c r="M45" s="559"/>
      <c r="N45" s="559"/>
      <c r="O45" s="547"/>
      <c r="P45" s="560"/>
    </row>
    <row r="46" spans="1:16" ht="14.4" customHeight="1" x14ac:dyDescent="0.3">
      <c r="A46" s="541" t="s">
        <v>1307</v>
      </c>
      <c r="B46" s="542" t="s">
        <v>1259</v>
      </c>
      <c r="C46" s="542" t="s">
        <v>1310</v>
      </c>
      <c r="D46" s="542" t="s">
        <v>1311</v>
      </c>
      <c r="E46" s="559">
        <v>1</v>
      </c>
      <c r="F46" s="559">
        <v>63</v>
      </c>
      <c r="G46" s="542">
        <v>1</v>
      </c>
      <c r="H46" s="542">
        <v>63</v>
      </c>
      <c r="I46" s="559"/>
      <c r="J46" s="559"/>
      <c r="K46" s="542"/>
      <c r="L46" s="542"/>
      <c r="M46" s="559"/>
      <c r="N46" s="559"/>
      <c r="O46" s="547"/>
      <c r="P46" s="560"/>
    </row>
    <row r="47" spans="1:16" ht="14.4" customHeight="1" x14ac:dyDescent="0.3">
      <c r="A47" s="541" t="s">
        <v>1307</v>
      </c>
      <c r="B47" s="542" t="s">
        <v>1259</v>
      </c>
      <c r="C47" s="542" t="s">
        <v>1312</v>
      </c>
      <c r="D47" s="542" t="s">
        <v>1313</v>
      </c>
      <c r="E47" s="559"/>
      <c r="F47" s="559"/>
      <c r="G47" s="542"/>
      <c r="H47" s="542"/>
      <c r="I47" s="559"/>
      <c r="J47" s="559"/>
      <c r="K47" s="542"/>
      <c r="L47" s="542"/>
      <c r="M47" s="559">
        <v>4</v>
      </c>
      <c r="N47" s="559">
        <v>598</v>
      </c>
      <c r="O47" s="547"/>
      <c r="P47" s="560">
        <v>149.5</v>
      </c>
    </row>
    <row r="48" spans="1:16" ht="14.4" customHeight="1" x14ac:dyDescent="0.3">
      <c r="A48" s="541" t="s">
        <v>1307</v>
      </c>
      <c r="B48" s="542" t="s">
        <v>1259</v>
      </c>
      <c r="C48" s="542" t="s">
        <v>1260</v>
      </c>
      <c r="D48" s="542" t="s">
        <v>1261</v>
      </c>
      <c r="E48" s="559">
        <v>370</v>
      </c>
      <c r="F48" s="559">
        <v>12580</v>
      </c>
      <c r="G48" s="542">
        <v>1</v>
      </c>
      <c r="H48" s="542">
        <v>34</v>
      </c>
      <c r="I48" s="559">
        <v>313</v>
      </c>
      <c r="J48" s="559">
        <v>10642</v>
      </c>
      <c r="K48" s="542">
        <v>0.84594594594594597</v>
      </c>
      <c r="L48" s="542">
        <v>34</v>
      </c>
      <c r="M48" s="559">
        <v>298</v>
      </c>
      <c r="N48" s="559">
        <v>10343</v>
      </c>
      <c r="O48" s="547">
        <v>0.82217806041335451</v>
      </c>
      <c r="P48" s="560">
        <v>34.708053691275168</v>
      </c>
    </row>
    <row r="49" spans="1:16" ht="14.4" customHeight="1" x14ac:dyDescent="0.3">
      <c r="A49" s="541" t="s">
        <v>1307</v>
      </c>
      <c r="B49" s="542" t="s">
        <v>1259</v>
      </c>
      <c r="C49" s="542" t="s">
        <v>1314</v>
      </c>
      <c r="D49" s="542" t="s">
        <v>1315</v>
      </c>
      <c r="E49" s="559"/>
      <c r="F49" s="559"/>
      <c r="G49" s="542"/>
      <c r="H49" s="542"/>
      <c r="I49" s="559"/>
      <c r="J49" s="559"/>
      <c r="K49" s="542"/>
      <c r="L49" s="542"/>
      <c r="M49" s="559">
        <v>1</v>
      </c>
      <c r="N49" s="559">
        <v>5</v>
      </c>
      <c r="O49" s="547"/>
      <c r="P49" s="560">
        <v>5</v>
      </c>
    </row>
    <row r="50" spans="1:16" ht="14.4" customHeight="1" x14ac:dyDescent="0.3">
      <c r="A50" s="541" t="s">
        <v>1307</v>
      </c>
      <c r="B50" s="542" t="s">
        <v>1259</v>
      </c>
      <c r="C50" s="542" t="s">
        <v>1262</v>
      </c>
      <c r="D50" s="542" t="s">
        <v>1263</v>
      </c>
      <c r="E50" s="559">
        <v>6</v>
      </c>
      <c r="F50" s="559">
        <v>774</v>
      </c>
      <c r="G50" s="542">
        <v>1</v>
      </c>
      <c r="H50" s="542">
        <v>129</v>
      </c>
      <c r="I50" s="559"/>
      <c r="J50" s="559"/>
      <c r="K50" s="542"/>
      <c r="L50" s="542"/>
      <c r="M50" s="559">
        <v>25</v>
      </c>
      <c r="N50" s="559">
        <v>3325</v>
      </c>
      <c r="O50" s="547">
        <v>4.2958656330749356</v>
      </c>
      <c r="P50" s="560">
        <v>133</v>
      </c>
    </row>
    <row r="51" spans="1:16" ht="14.4" customHeight="1" x14ac:dyDescent="0.3">
      <c r="A51" s="541" t="s">
        <v>1307</v>
      </c>
      <c r="B51" s="542" t="s">
        <v>1259</v>
      </c>
      <c r="C51" s="542" t="s">
        <v>1264</v>
      </c>
      <c r="D51" s="542" t="s">
        <v>1265</v>
      </c>
      <c r="E51" s="559"/>
      <c r="F51" s="559"/>
      <c r="G51" s="542"/>
      <c r="H51" s="542"/>
      <c r="I51" s="559"/>
      <c r="J51" s="559"/>
      <c r="K51" s="542"/>
      <c r="L51" s="542"/>
      <c r="M51" s="559">
        <v>7</v>
      </c>
      <c r="N51" s="559">
        <v>12012</v>
      </c>
      <c r="O51" s="547"/>
      <c r="P51" s="560">
        <v>1716</v>
      </c>
    </row>
    <row r="52" spans="1:16" ht="14.4" customHeight="1" x14ac:dyDescent="0.3">
      <c r="A52" s="541" t="s">
        <v>1307</v>
      </c>
      <c r="B52" s="542" t="s">
        <v>1259</v>
      </c>
      <c r="C52" s="542" t="s">
        <v>1268</v>
      </c>
      <c r="D52" s="542" t="s">
        <v>1269</v>
      </c>
      <c r="E52" s="559"/>
      <c r="F52" s="559"/>
      <c r="G52" s="542"/>
      <c r="H52" s="542"/>
      <c r="I52" s="559"/>
      <c r="J52" s="559"/>
      <c r="K52" s="542"/>
      <c r="L52" s="542"/>
      <c r="M52" s="559">
        <v>1</v>
      </c>
      <c r="N52" s="559">
        <v>586</v>
      </c>
      <c r="O52" s="547"/>
      <c r="P52" s="560">
        <v>586</v>
      </c>
    </row>
    <row r="53" spans="1:16" ht="14.4" customHeight="1" x14ac:dyDescent="0.3">
      <c r="A53" s="541" t="s">
        <v>1307</v>
      </c>
      <c r="B53" s="542" t="s">
        <v>1259</v>
      </c>
      <c r="C53" s="542" t="s">
        <v>1301</v>
      </c>
      <c r="D53" s="542" t="s">
        <v>1302</v>
      </c>
      <c r="E53" s="559"/>
      <c r="F53" s="559"/>
      <c r="G53" s="542"/>
      <c r="H53" s="542"/>
      <c r="I53" s="559"/>
      <c r="J53" s="559"/>
      <c r="K53" s="542"/>
      <c r="L53" s="542"/>
      <c r="M53" s="559">
        <v>0</v>
      </c>
      <c r="N53" s="559">
        <v>0</v>
      </c>
      <c r="O53" s="547"/>
      <c r="P53" s="560"/>
    </row>
    <row r="54" spans="1:16" ht="14.4" customHeight="1" x14ac:dyDescent="0.3">
      <c r="A54" s="541" t="s">
        <v>1307</v>
      </c>
      <c r="B54" s="542" t="s">
        <v>1259</v>
      </c>
      <c r="C54" s="542" t="s">
        <v>1316</v>
      </c>
      <c r="D54" s="542" t="s">
        <v>1317</v>
      </c>
      <c r="E54" s="559">
        <v>3</v>
      </c>
      <c r="F54" s="559">
        <v>489</v>
      </c>
      <c r="G54" s="542">
        <v>1</v>
      </c>
      <c r="H54" s="542">
        <v>163</v>
      </c>
      <c r="I54" s="559"/>
      <c r="J54" s="559"/>
      <c r="K54" s="542"/>
      <c r="L54" s="542"/>
      <c r="M54" s="559"/>
      <c r="N54" s="559"/>
      <c r="O54" s="547"/>
      <c r="P54" s="560"/>
    </row>
    <row r="55" spans="1:16" ht="14.4" customHeight="1" x14ac:dyDescent="0.3">
      <c r="A55" s="541" t="s">
        <v>1307</v>
      </c>
      <c r="B55" s="542" t="s">
        <v>1259</v>
      </c>
      <c r="C55" s="542" t="s">
        <v>1318</v>
      </c>
      <c r="D55" s="542" t="s">
        <v>1319</v>
      </c>
      <c r="E55" s="559"/>
      <c r="F55" s="559"/>
      <c r="G55" s="542"/>
      <c r="H55" s="542"/>
      <c r="I55" s="559">
        <v>3</v>
      </c>
      <c r="J55" s="559">
        <v>2829</v>
      </c>
      <c r="K55" s="542"/>
      <c r="L55" s="542">
        <v>943</v>
      </c>
      <c r="M55" s="559">
        <v>6</v>
      </c>
      <c r="N55" s="559">
        <v>5706</v>
      </c>
      <c r="O55" s="547"/>
      <c r="P55" s="560">
        <v>951</v>
      </c>
    </row>
    <row r="56" spans="1:16" ht="14.4" customHeight="1" x14ac:dyDescent="0.3">
      <c r="A56" s="541" t="s">
        <v>1307</v>
      </c>
      <c r="B56" s="542" t="s">
        <v>1259</v>
      </c>
      <c r="C56" s="542" t="s">
        <v>1270</v>
      </c>
      <c r="D56" s="542" t="s">
        <v>1271</v>
      </c>
      <c r="E56" s="559">
        <v>4</v>
      </c>
      <c r="F56" s="559">
        <v>1732</v>
      </c>
      <c r="G56" s="542">
        <v>1</v>
      </c>
      <c r="H56" s="542">
        <v>433</v>
      </c>
      <c r="I56" s="559"/>
      <c r="J56" s="559"/>
      <c r="K56" s="542"/>
      <c r="L56" s="542"/>
      <c r="M56" s="559">
        <v>9</v>
      </c>
      <c r="N56" s="559">
        <v>2970</v>
      </c>
      <c r="O56" s="547">
        <v>1.7147806004618937</v>
      </c>
      <c r="P56" s="560">
        <v>330</v>
      </c>
    </row>
    <row r="57" spans="1:16" ht="14.4" customHeight="1" x14ac:dyDescent="0.3">
      <c r="A57" s="541" t="s">
        <v>1307</v>
      </c>
      <c r="B57" s="542" t="s">
        <v>1259</v>
      </c>
      <c r="C57" s="542" t="s">
        <v>1272</v>
      </c>
      <c r="D57" s="542" t="s">
        <v>1273</v>
      </c>
      <c r="E57" s="559">
        <v>181</v>
      </c>
      <c r="F57" s="559">
        <v>0</v>
      </c>
      <c r="G57" s="542"/>
      <c r="H57" s="542">
        <v>0</v>
      </c>
      <c r="I57" s="559">
        <v>166</v>
      </c>
      <c r="J57" s="559">
        <v>0</v>
      </c>
      <c r="K57" s="542"/>
      <c r="L57" s="542">
        <v>0</v>
      </c>
      <c r="M57" s="559">
        <v>247</v>
      </c>
      <c r="N57" s="559">
        <v>0</v>
      </c>
      <c r="O57" s="547"/>
      <c r="P57" s="560">
        <v>0</v>
      </c>
    </row>
    <row r="58" spans="1:16" ht="14.4" customHeight="1" x14ac:dyDescent="0.3">
      <c r="A58" s="541" t="s">
        <v>1307</v>
      </c>
      <c r="B58" s="542" t="s">
        <v>1259</v>
      </c>
      <c r="C58" s="542" t="s">
        <v>1274</v>
      </c>
      <c r="D58" s="542" t="s">
        <v>1275</v>
      </c>
      <c r="E58" s="559">
        <v>56</v>
      </c>
      <c r="F58" s="559">
        <v>1400</v>
      </c>
      <c r="G58" s="542">
        <v>1</v>
      </c>
      <c r="H58" s="542">
        <v>25</v>
      </c>
      <c r="I58" s="559">
        <v>67</v>
      </c>
      <c r="J58" s="559">
        <v>2345</v>
      </c>
      <c r="K58" s="542">
        <v>1.675</v>
      </c>
      <c r="L58" s="542">
        <v>35</v>
      </c>
      <c r="M58" s="559">
        <v>74</v>
      </c>
      <c r="N58" s="559">
        <v>2636</v>
      </c>
      <c r="O58" s="547">
        <v>1.8828571428571428</v>
      </c>
      <c r="P58" s="560">
        <v>35.621621621621621</v>
      </c>
    </row>
    <row r="59" spans="1:16" ht="14.4" customHeight="1" x14ac:dyDescent="0.3">
      <c r="A59" s="541" t="s">
        <v>1307</v>
      </c>
      <c r="B59" s="542" t="s">
        <v>1259</v>
      </c>
      <c r="C59" s="542" t="s">
        <v>1276</v>
      </c>
      <c r="D59" s="542" t="s">
        <v>1277</v>
      </c>
      <c r="E59" s="559"/>
      <c r="F59" s="559"/>
      <c r="G59" s="542"/>
      <c r="H59" s="542"/>
      <c r="I59" s="559"/>
      <c r="J59" s="559"/>
      <c r="K59" s="542"/>
      <c r="L59" s="542"/>
      <c r="M59" s="559">
        <v>3</v>
      </c>
      <c r="N59" s="559">
        <v>375</v>
      </c>
      <c r="O59" s="547"/>
      <c r="P59" s="560">
        <v>125</v>
      </c>
    </row>
    <row r="60" spans="1:16" ht="14.4" customHeight="1" x14ac:dyDescent="0.3">
      <c r="A60" s="541" t="s">
        <v>1307</v>
      </c>
      <c r="B60" s="542" t="s">
        <v>1259</v>
      </c>
      <c r="C60" s="542" t="s">
        <v>1320</v>
      </c>
      <c r="D60" s="542" t="s">
        <v>1321</v>
      </c>
      <c r="E60" s="559">
        <v>3</v>
      </c>
      <c r="F60" s="559">
        <v>57</v>
      </c>
      <c r="G60" s="542">
        <v>1</v>
      </c>
      <c r="H60" s="542">
        <v>19</v>
      </c>
      <c r="I60" s="559"/>
      <c r="J60" s="559"/>
      <c r="K60" s="542"/>
      <c r="L60" s="542"/>
      <c r="M60" s="559">
        <v>1</v>
      </c>
      <c r="N60" s="559">
        <v>30</v>
      </c>
      <c r="O60" s="547">
        <v>0.52631578947368418</v>
      </c>
      <c r="P60" s="560">
        <v>30</v>
      </c>
    </row>
    <row r="61" spans="1:16" ht="14.4" customHeight="1" x14ac:dyDescent="0.3">
      <c r="A61" s="541" t="s">
        <v>1307</v>
      </c>
      <c r="B61" s="542" t="s">
        <v>1259</v>
      </c>
      <c r="C61" s="542" t="s">
        <v>1278</v>
      </c>
      <c r="D61" s="542" t="s">
        <v>1279</v>
      </c>
      <c r="E61" s="559">
        <v>9</v>
      </c>
      <c r="F61" s="559">
        <v>4797</v>
      </c>
      <c r="G61" s="542">
        <v>1</v>
      </c>
      <c r="H61" s="542">
        <v>533</v>
      </c>
      <c r="I61" s="559"/>
      <c r="J61" s="559"/>
      <c r="K61" s="542"/>
      <c r="L61" s="542"/>
      <c r="M61" s="559"/>
      <c r="N61" s="559"/>
      <c r="O61" s="547"/>
      <c r="P61" s="560"/>
    </row>
    <row r="62" spans="1:16" ht="14.4" customHeight="1" x14ac:dyDescent="0.3">
      <c r="A62" s="541" t="s">
        <v>1307</v>
      </c>
      <c r="B62" s="542" t="s">
        <v>1259</v>
      </c>
      <c r="C62" s="542" t="s">
        <v>1280</v>
      </c>
      <c r="D62" s="542" t="s">
        <v>1281</v>
      </c>
      <c r="E62" s="559">
        <v>2</v>
      </c>
      <c r="F62" s="559">
        <v>1288</v>
      </c>
      <c r="G62" s="542">
        <v>1</v>
      </c>
      <c r="H62" s="542">
        <v>644</v>
      </c>
      <c r="I62" s="559"/>
      <c r="J62" s="559"/>
      <c r="K62" s="542"/>
      <c r="L62" s="542"/>
      <c r="M62" s="559">
        <v>21</v>
      </c>
      <c r="N62" s="559">
        <v>13671</v>
      </c>
      <c r="O62" s="547">
        <v>10.614130434782609</v>
      </c>
      <c r="P62" s="560">
        <v>651</v>
      </c>
    </row>
    <row r="63" spans="1:16" ht="14.4" customHeight="1" x14ac:dyDescent="0.3">
      <c r="A63" s="541" t="s">
        <v>1307</v>
      </c>
      <c r="B63" s="542" t="s">
        <v>1259</v>
      </c>
      <c r="C63" s="542" t="s">
        <v>1322</v>
      </c>
      <c r="D63" s="542" t="s">
        <v>1323</v>
      </c>
      <c r="E63" s="559">
        <v>46</v>
      </c>
      <c r="F63" s="559">
        <v>7498</v>
      </c>
      <c r="G63" s="542">
        <v>1</v>
      </c>
      <c r="H63" s="542">
        <v>163</v>
      </c>
      <c r="I63" s="559">
        <v>87</v>
      </c>
      <c r="J63" s="559">
        <v>14181</v>
      </c>
      <c r="K63" s="542">
        <v>1.8913043478260869</v>
      </c>
      <c r="L63" s="542">
        <v>163</v>
      </c>
      <c r="M63" s="559">
        <v>73</v>
      </c>
      <c r="N63" s="559">
        <v>11955</v>
      </c>
      <c r="O63" s="547">
        <v>1.5944251800480127</v>
      </c>
      <c r="P63" s="560">
        <v>163.76712328767124</v>
      </c>
    </row>
    <row r="64" spans="1:16" ht="14.4" customHeight="1" x14ac:dyDescent="0.3">
      <c r="A64" s="541" t="s">
        <v>1307</v>
      </c>
      <c r="B64" s="542" t="s">
        <v>1259</v>
      </c>
      <c r="C64" s="542" t="s">
        <v>1284</v>
      </c>
      <c r="D64" s="542" t="s">
        <v>1285</v>
      </c>
      <c r="E64" s="559">
        <v>9</v>
      </c>
      <c r="F64" s="559">
        <v>5202</v>
      </c>
      <c r="G64" s="542">
        <v>1</v>
      </c>
      <c r="H64" s="542">
        <v>578</v>
      </c>
      <c r="I64" s="559"/>
      <c r="J64" s="559"/>
      <c r="K64" s="542"/>
      <c r="L64" s="542"/>
      <c r="M64" s="559">
        <v>28</v>
      </c>
      <c r="N64" s="559">
        <v>16352</v>
      </c>
      <c r="O64" s="547">
        <v>3.1434063821607072</v>
      </c>
      <c r="P64" s="560">
        <v>584</v>
      </c>
    </row>
    <row r="65" spans="1:16" ht="14.4" customHeight="1" x14ac:dyDescent="0.3">
      <c r="A65" s="541" t="s">
        <v>1307</v>
      </c>
      <c r="B65" s="542" t="s">
        <v>1259</v>
      </c>
      <c r="C65" s="542" t="s">
        <v>1286</v>
      </c>
      <c r="D65" s="542" t="s">
        <v>1287</v>
      </c>
      <c r="E65" s="559">
        <v>24</v>
      </c>
      <c r="F65" s="559">
        <v>1632</v>
      </c>
      <c r="G65" s="542">
        <v>1</v>
      </c>
      <c r="H65" s="542">
        <v>68</v>
      </c>
      <c r="I65" s="559">
        <v>34</v>
      </c>
      <c r="J65" s="559">
        <v>2346</v>
      </c>
      <c r="K65" s="542">
        <v>1.4375</v>
      </c>
      <c r="L65" s="542">
        <v>69</v>
      </c>
      <c r="M65" s="559">
        <v>14</v>
      </c>
      <c r="N65" s="559">
        <v>971</v>
      </c>
      <c r="O65" s="547">
        <v>0.59497549019607843</v>
      </c>
      <c r="P65" s="560">
        <v>69.357142857142861</v>
      </c>
    </row>
    <row r="66" spans="1:16" ht="14.4" customHeight="1" x14ac:dyDescent="0.3">
      <c r="A66" s="541" t="s">
        <v>1307</v>
      </c>
      <c r="B66" s="542" t="s">
        <v>1259</v>
      </c>
      <c r="C66" s="542" t="s">
        <v>1324</v>
      </c>
      <c r="D66" s="542" t="s">
        <v>1325</v>
      </c>
      <c r="E66" s="559">
        <v>1</v>
      </c>
      <c r="F66" s="559">
        <v>326</v>
      </c>
      <c r="G66" s="542">
        <v>1</v>
      </c>
      <c r="H66" s="542">
        <v>326</v>
      </c>
      <c r="I66" s="559"/>
      <c r="J66" s="559"/>
      <c r="K66" s="542"/>
      <c r="L66" s="542"/>
      <c r="M66" s="559"/>
      <c r="N66" s="559"/>
      <c r="O66" s="547"/>
      <c r="P66" s="560"/>
    </row>
    <row r="67" spans="1:16" ht="14.4" customHeight="1" x14ac:dyDescent="0.3">
      <c r="A67" s="541" t="s">
        <v>1307</v>
      </c>
      <c r="B67" s="542" t="s">
        <v>1259</v>
      </c>
      <c r="C67" s="542" t="s">
        <v>1326</v>
      </c>
      <c r="D67" s="542" t="s">
        <v>1327</v>
      </c>
      <c r="E67" s="559"/>
      <c r="F67" s="559"/>
      <c r="G67" s="542"/>
      <c r="H67" s="542"/>
      <c r="I67" s="559">
        <v>1</v>
      </c>
      <c r="J67" s="559">
        <v>114</v>
      </c>
      <c r="K67" s="542"/>
      <c r="L67" s="542">
        <v>114</v>
      </c>
      <c r="M67" s="559"/>
      <c r="N67" s="559"/>
      <c r="O67" s="547"/>
      <c r="P67" s="560"/>
    </row>
    <row r="68" spans="1:16" ht="14.4" customHeight="1" x14ac:dyDescent="0.3">
      <c r="A68" s="541" t="s">
        <v>1307</v>
      </c>
      <c r="B68" s="542" t="s">
        <v>1259</v>
      </c>
      <c r="C68" s="542" t="s">
        <v>1328</v>
      </c>
      <c r="D68" s="542" t="s">
        <v>1329</v>
      </c>
      <c r="E68" s="559">
        <v>7</v>
      </c>
      <c r="F68" s="559">
        <v>4508</v>
      </c>
      <c r="G68" s="542">
        <v>1</v>
      </c>
      <c r="H68" s="542">
        <v>644</v>
      </c>
      <c r="I68" s="559"/>
      <c r="J68" s="559"/>
      <c r="K68" s="542"/>
      <c r="L68" s="542"/>
      <c r="M68" s="559"/>
      <c r="N68" s="559"/>
      <c r="O68" s="547"/>
      <c r="P68" s="560"/>
    </row>
    <row r="69" spans="1:16" ht="14.4" customHeight="1" x14ac:dyDescent="0.3">
      <c r="A69" s="541" t="s">
        <v>1307</v>
      </c>
      <c r="B69" s="542" t="s">
        <v>1259</v>
      </c>
      <c r="C69" s="542" t="s">
        <v>1288</v>
      </c>
      <c r="D69" s="542" t="s">
        <v>1289</v>
      </c>
      <c r="E69" s="559">
        <v>95</v>
      </c>
      <c r="F69" s="559">
        <v>19475</v>
      </c>
      <c r="G69" s="542">
        <v>1</v>
      </c>
      <c r="H69" s="542">
        <v>205</v>
      </c>
      <c r="I69" s="559">
        <v>209</v>
      </c>
      <c r="J69" s="559">
        <v>43054</v>
      </c>
      <c r="K69" s="542">
        <v>2.2107317073170734</v>
      </c>
      <c r="L69" s="542">
        <v>206</v>
      </c>
      <c r="M69" s="559">
        <v>296</v>
      </c>
      <c r="N69" s="559">
        <v>61591</v>
      </c>
      <c r="O69" s="547">
        <v>3.1625673940949937</v>
      </c>
      <c r="P69" s="560">
        <v>208.07770270270271</v>
      </c>
    </row>
    <row r="70" spans="1:16" ht="14.4" customHeight="1" x14ac:dyDescent="0.3">
      <c r="A70" s="541" t="s">
        <v>1307</v>
      </c>
      <c r="B70" s="542" t="s">
        <v>1259</v>
      </c>
      <c r="C70" s="542" t="s">
        <v>1290</v>
      </c>
      <c r="D70" s="542" t="s">
        <v>1291</v>
      </c>
      <c r="E70" s="559">
        <v>468</v>
      </c>
      <c r="F70" s="559">
        <v>35568</v>
      </c>
      <c r="G70" s="542">
        <v>1</v>
      </c>
      <c r="H70" s="542">
        <v>76</v>
      </c>
      <c r="I70" s="559">
        <v>676</v>
      </c>
      <c r="J70" s="559">
        <v>51376</v>
      </c>
      <c r="K70" s="542">
        <v>1.4444444444444444</v>
      </c>
      <c r="L70" s="542">
        <v>76</v>
      </c>
      <c r="M70" s="559">
        <v>1124</v>
      </c>
      <c r="N70" s="559">
        <v>86303</v>
      </c>
      <c r="O70" s="547">
        <v>2.4264226270805218</v>
      </c>
      <c r="P70" s="560">
        <v>76.782028469750884</v>
      </c>
    </row>
    <row r="71" spans="1:16" ht="14.4" customHeight="1" x14ac:dyDescent="0.3">
      <c r="A71" s="541" t="s">
        <v>1307</v>
      </c>
      <c r="B71" s="542" t="s">
        <v>1259</v>
      </c>
      <c r="C71" s="542" t="s">
        <v>1330</v>
      </c>
      <c r="D71" s="542" t="s">
        <v>1331</v>
      </c>
      <c r="E71" s="559"/>
      <c r="F71" s="559"/>
      <c r="G71" s="542"/>
      <c r="H71" s="542"/>
      <c r="I71" s="559"/>
      <c r="J71" s="559"/>
      <c r="K71" s="542"/>
      <c r="L71" s="542"/>
      <c r="M71" s="559">
        <v>1</v>
      </c>
      <c r="N71" s="559">
        <v>56</v>
      </c>
      <c r="O71" s="547"/>
      <c r="P71" s="560">
        <v>56</v>
      </c>
    </row>
    <row r="72" spans="1:16" ht="14.4" customHeight="1" x14ac:dyDescent="0.3">
      <c r="A72" s="541" t="s">
        <v>1307</v>
      </c>
      <c r="B72" s="542" t="s">
        <v>1259</v>
      </c>
      <c r="C72" s="542" t="s">
        <v>1294</v>
      </c>
      <c r="D72" s="542" t="s">
        <v>1295</v>
      </c>
      <c r="E72" s="559">
        <v>48</v>
      </c>
      <c r="F72" s="559">
        <v>9840</v>
      </c>
      <c r="G72" s="542">
        <v>1</v>
      </c>
      <c r="H72" s="542">
        <v>205</v>
      </c>
      <c r="I72" s="559">
        <v>86</v>
      </c>
      <c r="J72" s="559">
        <v>17716</v>
      </c>
      <c r="K72" s="542">
        <v>1.8004065040650405</v>
      </c>
      <c r="L72" s="542">
        <v>206</v>
      </c>
      <c r="M72" s="559">
        <v>198</v>
      </c>
      <c r="N72" s="559">
        <v>41229</v>
      </c>
      <c r="O72" s="547">
        <v>4.1899390243902435</v>
      </c>
      <c r="P72" s="560">
        <v>208.22727272727272</v>
      </c>
    </row>
    <row r="73" spans="1:16" ht="14.4" customHeight="1" x14ac:dyDescent="0.3">
      <c r="A73" s="541" t="s">
        <v>1307</v>
      </c>
      <c r="B73" s="542" t="s">
        <v>1259</v>
      </c>
      <c r="C73" s="542" t="s">
        <v>1296</v>
      </c>
      <c r="D73" s="542" t="s">
        <v>1297</v>
      </c>
      <c r="E73" s="559">
        <v>8</v>
      </c>
      <c r="F73" s="559">
        <v>456</v>
      </c>
      <c r="G73" s="542">
        <v>1</v>
      </c>
      <c r="H73" s="542">
        <v>57</v>
      </c>
      <c r="I73" s="559">
        <v>25</v>
      </c>
      <c r="J73" s="559">
        <v>1400</v>
      </c>
      <c r="K73" s="542">
        <v>3.0701754385964914</v>
      </c>
      <c r="L73" s="542">
        <v>56</v>
      </c>
      <c r="M73" s="559">
        <v>29</v>
      </c>
      <c r="N73" s="559">
        <v>1644</v>
      </c>
      <c r="O73" s="547">
        <v>3.6052631578947367</v>
      </c>
      <c r="P73" s="560">
        <v>56.689655172413794</v>
      </c>
    </row>
    <row r="74" spans="1:16" ht="14.4" customHeight="1" x14ac:dyDescent="0.3">
      <c r="A74" s="541" t="s">
        <v>1307</v>
      </c>
      <c r="B74" s="542" t="s">
        <v>1259</v>
      </c>
      <c r="C74" s="542" t="s">
        <v>1332</v>
      </c>
      <c r="D74" s="542" t="s">
        <v>1333</v>
      </c>
      <c r="E74" s="559">
        <v>145</v>
      </c>
      <c r="F74" s="559">
        <v>47560</v>
      </c>
      <c r="G74" s="542">
        <v>1</v>
      </c>
      <c r="H74" s="542">
        <v>328</v>
      </c>
      <c r="I74" s="559">
        <v>137</v>
      </c>
      <c r="J74" s="559">
        <v>44799</v>
      </c>
      <c r="K74" s="542">
        <v>0.9419470142977292</v>
      </c>
      <c r="L74" s="542">
        <v>327</v>
      </c>
      <c r="M74" s="559">
        <v>159</v>
      </c>
      <c r="N74" s="559">
        <v>52299</v>
      </c>
      <c r="O74" s="547">
        <v>1.0996425567703954</v>
      </c>
      <c r="P74" s="560">
        <v>328.92452830188677</v>
      </c>
    </row>
    <row r="75" spans="1:16" ht="14.4" customHeight="1" x14ac:dyDescent="0.3">
      <c r="A75" s="541" t="s">
        <v>1307</v>
      </c>
      <c r="B75" s="542" t="s">
        <v>1259</v>
      </c>
      <c r="C75" s="542" t="s">
        <v>1334</v>
      </c>
      <c r="D75" s="542" t="s">
        <v>1335</v>
      </c>
      <c r="E75" s="559">
        <v>9</v>
      </c>
      <c r="F75" s="559">
        <v>5796</v>
      </c>
      <c r="G75" s="542">
        <v>1</v>
      </c>
      <c r="H75" s="542">
        <v>644</v>
      </c>
      <c r="I75" s="559">
        <v>15</v>
      </c>
      <c r="J75" s="559">
        <v>9675</v>
      </c>
      <c r="K75" s="542">
        <v>1.6692546583850931</v>
      </c>
      <c r="L75" s="542">
        <v>645</v>
      </c>
      <c r="M75" s="559">
        <v>17</v>
      </c>
      <c r="N75" s="559">
        <v>11025</v>
      </c>
      <c r="O75" s="547">
        <v>1.9021739130434783</v>
      </c>
      <c r="P75" s="560">
        <v>648.52941176470586</v>
      </c>
    </row>
    <row r="76" spans="1:16" ht="14.4" customHeight="1" x14ac:dyDescent="0.3">
      <c r="A76" s="541" t="s">
        <v>1336</v>
      </c>
      <c r="B76" s="542" t="s">
        <v>1259</v>
      </c>
      <c r="C76" s="542" t="s">
        <v>1262</v>
      </c>
      <c r="D76" s="542" t="s">
        <v>1263</v>
      </c>
      <c r="E76" s="559"/>
      <c r="F76" s="559"/>
      <c r="G76" s="542"/>
      <c r="H76" s="542"/>
      <c r="I76" s="559"/>
      <c r="J76" s="559"/>
      <c r="K76" s="542"/>
      <c r="L76" s="542"/>
      <c r="M76" s="559">
        <v>1</v>
      </c>
      <c r="N76" s="559">
        <v>133</v>
      </c>
      <c r="O76" s="547"/>
      <c r="P76" s="560">
        <v>133</v>
      </c>
    </row>
    <row r="77" spans="1:16" ht="14.4" customHeight="1" x14ac:dyDescent="0.3">
      <c r="A77" s="541" t="s">
        <v>1336</v>
      </c>
      <c r="B77" s="542" t="s">
        <v>1259</v>
      </c>
      <c r="C77" s="542" t="s">
        <v>1280</v>
      </c>
      <c r="D77" s="542" t="s">
        <v>1281</v>
      </c>
      <c r="E77" s="559"/>
      <c r="F77" s="559"/>
      <c r="G77" s="542"/>
      <c r="H77" s="542"/>
      <c r="I77" s="559"/>
      <c r="J77" s="559"/>
      <c r="K77" s="542"/>
      <c r="L77" s="542"/>
      <c r="M77" s="559">
        <v>1</v>
      </c>
      <c r="N77" s="559">
        <v>651</v>
      </c>
      <c r="O77" s="547"/>
      <c r="P77" s="560">
        <v>651</v>
      </c>
    </row>
    <row r="78" spans="1:16" ht="14.4" customHeight="1" x14ac:dyDescent="0.3">
      <c r="A78" s="541" t="s">
        <v>1336</v>
      </c>
      <c r="B78" s="542" t="s">
        <v>1259</v>
      </c>
      <c r="C78" s="542" t="s">
        <v>1284</v>
      </c>
      <c r="D78" s="542" t="s">
        <v>1285</v>
      </c>
      <c r="E78" s="559"/>
      <c r="F78" s="559"/>
      <c r="G78" s="542"/>
      <c r="H78" s="542"/>
      <c r="I78" s="559"/>
      <c r="J78" s="559"/>
      <c r="K78" s="542"/>
      <c r="L78" s="542"/>
      <c r="M78" s="559">
        <v>1</v>
      </c>
      <c r="N78" s="559">
        <v>584</v>
      </c>
      <c r="O78" s="547"/>
      <c r="P78" s="560">
        <v>584</v>
      </c>
    </row>
    <row r="79" spans="1:16" ht="14.4" customHeight="1" x14ac:dyDescent="0.3">
      <c r="A79" s="541" t="s">
        <v>1336</v>
      </c>
      <c r="B79" s="542" t="s">
        <v>1259</v>
      </c>
      <c r="C79" s="542" t="s">
        <v>1290</v>
      </c>
      <c r="D79" s="542" t="s">
        <v>1291</v>
      </c>
      <c r="E79" s="559"/>
      <c r="F79" s="559"/>
      <c r="G79" s="542"/>
      <c r="H79" s="542"/>
      <c r="I79" s="559"/>
      <c r="J79" s="559"/>
      <c r="K79" s="542"/>
      <c r="L79" s="542"/>
      <c r="M79" s="559">
        <v>3</v>
      </c>
      <c r="N79" s="559">
        <v>231</v>
      </c>
      <c r="O79" s="547"/>
      <c r="P79" s="560">
        <v>77</v>
      </c>
    </row>
    <row r="80" spans="1:16" ht="14.4" customHeight="1" x14ac:dyDescent="0.3">
      <c r="A80" s="541" t="s">
        <v>1337</v>
      </c>
      <c r="B80" s="542" t="s">
        <v>1259</v>
      </c>
      <c r="C80" s="542" t="s">
        <v>1316</v>
      </c>
      <c r="D80" s="542" t="s">
        <v>1317</v>
      </c>
      <c r="E80" s="559">
        <v>406</v>
      </c>
      <c r="F80" s="559">
        <v>66178</v>
      </c>
      <c r="G80" s="542">
        <v>1</v>
      </c>
      <c r="H80" s="542">
        <v>163</v>
      </c>
      <c r="I80" s="559">
        <v>303</v>
      </c>
      <c r="J80" s="559">
        <v>49389</v>
      </c>
      <c r="K80" s="542">
        <v>0.74630541871921185</v>
      </c>
      <c r="L80" s="542">
        <v>163</v>
      </c>
      <c r="M80" s="559">
        <v>233</v>
      </c>
      <c r="N80" s="559">
        <v>38146</v>
      </c>
      <c r="O80" s="547">
        <v>0.57641512285049412</v>
      </c>
      <c r="P80" s="560">
        <v>163.71673819742489</v>
      </c>
    </row>
    <row r="81" spans="1:16" ht="14.4" customHeight="1" x14ac:dyDescent="0.3">
      <c r="A81" s="541" t="s">
        <v>1337</v>
      </c>
      <c r="B81" s="542" t="s">
        <v>1259</v>
      </c>
      <c r="C81" s="542" t="s">
        <v>1272</v>
      </c>
      <c r="D81" s="542" t="s">
        <v>1273</v>
      </c>
      <c r="E81" s="559"/>
      <c r="F81" s="559"/>
      <c r="G81" s="542"/>
      <c r="H81" s="542"/>
      <c r="I81" s="559">
        <v>1</v>
      </c>
      <c r="J81" s="559">
        <v>0</v>
      </c>
      <c r="K81" s="542"/>
      <c r="L81" s="542">
        <v>0</v>
      </c>
      <c r="M81" s="559"/>
      <c r="N81" s="559"/>
      <c r="O81" s="547"/>
      <c r="P81" s="560"/>
    </row>
    <row r="82" spans="1:16" ht="14.4" customHeight="1" x14ac:dyDescent="0.3">
      <c r="A82" s="541" t="s">
        <v>1337</v>
      </c>
      <c r="B82" s="542" t="s">
        <v>1259</v>
      </c>
      <c r="C82" s="542" t="s">
        <v>1338</v>
      </c>
      <c r="D82" s="542" t="s">
        <v>1339</v>
      </c>
      <c r="E82" s="559"/>
      <c r="F82" s="559"/>
      <c r="G82" s="542"/>
      <c r="H82" s="542"/>
      <c r="I82" s="559">
        <v>33</v>
      </c>
      <c r="J82" s="559">
        <v>1166</v>
      </c>
      <c r="K82" s="542"/>
      <c r="L82" s="542">
        <v>35.333333333333336</v>
      </c>
      <c r="M82" s="559">
        <v>17</v>
      </c>
      <c r="N82" s="559">
        <v>1828</v>
      </c>
      <c r="O82" s="547"/>
      <c r="P82" s="560">
        <v>107.52941176470588</v>
      </c>
    </row>
    <row r="83" spans="1:16" ht="14.4" customHeight="1" x14ac:dyDescent="0.3">
      <c r="A83" s="541" t="s">
        <v>1337</v>
      </c>
      <c r="B83" s="542" t="s">
        <v>1259</v>
      </c>
      <c r="C83" s="542" t="s">
        <v>1340</v>
      </c>
      <c r="D83" s="542" t="s">
        <v>1341</v>
      </c>
      <c r="E83" s="559">
        <v>9</v>
      </c>
      <c r="F83" s="559">
        <v>2952</v>
      </c>
      <c r="G83" s="542">
        <v>1</v>
      </c>
      <c r="H83" s="542">
        <v>328</v>
      </c>
      <c r="I83" s="559">
        <v>25</v>
      </c>
      <c r="J83" s="559">
        <v>8175</v>
      </c>
      <c r="K83" s="542">
        <v>2.7693089430894311</v>
      </c>
      <c r="L83" s="542">
        <v>327</v>
      </c>
      <c r="M83" s="559">
        <v>24</v>
      </c>
      <c r="N83" s="559">
        <v>7893</v>
      </c>
      <c r="O83" s="547">
        <v>2.6737804878048781</v>
      </c>
      <c r="P83" s="560">
        <v>328.875</v>
      </c>
    </row>
    <row r="84" spans="1:16" ht="14.4" customHeight="1" x14ac:dyDescent="0.3">
      <c r="A84" s="541" t="s">
        <v>1337</v>
      </c>
      <c r="B84" s="542" t="s">
        <v>1259</v>
      </c>
      <c r="C84" s="542" t="s">
        <v>1328</v>
      </c>
      <c r="D84" s="542" t="s">
        <v>1329</v>
      </c>
      <c r="E84" s="559">
        <v>89</v>
      </c>
      <c r="F84" s="559">
        <v>57316</v>
      </c>
      <c r="G84" s="542">
        <v>1</v>
      </c>
      <c r="H84" s="542">
        <v>644</v>
      </c>
      <c r="I84" s="559">
        <v>103</v>
      </c>
      <c r="J84" s="559">
        <v>66435</v>
      </c>
      <c r="K84" s="542">
        <v>1.1591004257100983</v>
      </c>
      <c r="L84" s="542">
        <v>645</v>
      </c>
      <c r="M84" s="559">
        <v>101</v>
      </c>
      <c r="N84" s="559">
        <v>65565</v>
      </c>
      <c r="O84" s="547">
        <v>1.1439214181031474</v>
      </c>
      <c r="P84" s="560">
        <v>649.1584158415842</v>
      </c>
    </row>
    <row r="85" spans="1:16" ht="14.4" customHeight="1" x14ac:dyDescent="0.3">
      <c r="A85" s="541" t="s">
        <v>1337</v>
      </c>
      <c r="B85" s="542" t="s">
        <v>1259</v>
      </c>
      <c r="C85" s="542" t="s">
        <v>1288</v>
      </c>
      <c r="D85" s="542" t="s">
        <v>1289</v>
      </c>
      <c r="E85" s="559">
        <v>4</v>
      </c>
      <c r="F85" s="559">
        <v>820</v>
      </c>
      <c r="G85" s="542">
        <v>1</v>
      </c>
      <c r="H85" s="542">
        <v>205</v>
      </c>
      <c r="I85" s="559">
        <v>17</v>
      </c>
      <c r="J85" s="559">
        <v>3502</v>
      </c>
      <c r="K85" s="542">
        <v>4.270731707317073</v>
      </c>
      <c r="L85" s="542">
        <v>206</v>
      </c>
      <c r="M85" s="559">
        <v>19</v>
      </c>
      <c r="N85" s="559">
        <v>3944</v>
      </c>
      <c r="O85" s="547">
        <v>4.8097560975609754</v>
      </c>
      <c r="P85" s="560">
        <v>207.57894736842104</v>
      </c>
    </row>
    <row r="86" spans="1:16" ht="14.4" customHeight="1" x14ac:dyDescent="0.3">
      <c r="A86" s="541" t="s">
        <v>1337</v>
      </c>
      <c r="B86" s="542" t="s">
        <v>1259</v>
      </c>
      <c r="C86" s="542" t="s">
        <v>1294</v>
      </c>
      <c r="D86" s="542" t="s">
        <v>1295</v>
      </c>
      <c r="E86" s="559">
        <v>3</v>
      </c>
      <c r="F86" s="559">
        <v>615</v>
      </c>
      <c r="G86" s="542">
        <v>1</v>
      </c>
      <c r="H86" s="542">
        <v>205</v>
      </c>
      <c r="I86" s="559"/>
      <c r="J86" s="559"/>
      <c r="K86" s="542"/>
      <c r="L86" s="542"/>
      <c r="M86" s="559">
        <v>3</v>
      </c>
      <c r="N86" s="559">
        <v>627</v>
      </c>
      <c r="O86" s="547">
        <v>1.0195121951219512</v>
      </c>
      <c r="P86" s="560">
        <v>209</v>
      </c>
    </row>
    <row r="87" spans="1:16" ht="14.4" customHeight="1" x14ac:dyDescent="0.3">
      <c r="A87" s="541" t="s">
        <v>1342</v>
      </c>
      <c r="B87" s="542" t="s">
        <v>1259</v>
      </c>
      <c r="C87" s="542" t="s">
        <v>1343</v>
      </c>
      <c r="D87" s="542" t="s">
        <v>1344</v>
      </c>
      <c r="E87" s="559"/>
      <c r="F87" s="559"/>
      <c r="G87" s="542"/>
      <c r="H87" s="542"/>
      <c r="I87" s="559">
        <v>1</v>
      </c>
      <c r="J87" s="559">
        <v>117</v>
      </c>
      <c r="K87" s="542"/>
      <c r="L87" s="542">
        <v>117</v>
      </c>
      <c r="M87" s="559"/>
      <c r="N87" s="559"/>
      <c r="O87" s="547"/>
      <c r="P87" s="560"/>
    </row>
    <row r="88" spans="1:16" ht="14.4" customHeight="1" x14ac:dyDescent="0.3">
      <c r="A88" s="541" t="s">
        <v>1342</v>
      </c>
      <c r="B88" s="542" t="s">
        <v>1259</v>
      </c>
      <c r="C88" s="542" t="s">
        <v>1345</v>
      </c>
      <c r="D88" s="542" t="s">
        <v>1346</v>
      </c>
      <c r="E88" s="559">
        <v>103</v>
      </c>
      <c r="F88" s="559">
        <v>15553</v>
      </c>
      <c r="G88" s="542">
        <v>1</v>
      </c>
      <c r="H88" s="542">
        <v>151</v>
      </c>
      <c r="I88" s="559">
        <v>117</v>
      </c>
      <c r="J88" s="559">
        <v>17784</v>
      </c>
      <c r="K88" s="542">
        <v>1.1434449945348164</v>
      </c>
      <c r="L88" s="542">
        <v>152</v>
      </c>
      <c r="M88" s="559">
        <v>108</v>
      </c>
      <c r="N88" s="559">
        <v>16677</v>
      </c>
      <c r="O88" s="547">
        <v>1.0722690156239953</v>
      </c>
      <c r="P88" s="560">
        <v>154.41666666666666</v>
      </c>
    </row>
    <row r="89" spans="1:16" ht="14.4" customHeight="1" x14ac:dyDescent="0.3">
      <c r="A89" s="541" t="s">
        <v>1342</v>
      </c>
      <c r="B89" s="542" t="s">
        <v>1259</v>
      </c>
      <c r="C89" s="542" t="s">
        <v>1347</v>
      </c>
      <c r="D89" s="542" t="s">
        <v>1348</v>
      </c>
      <c r="E89" s="559">
        <v>2058</v>
      </c>
      <c r="F89" s="559">
        <v>160524</v>
      </c>
      <c r="G89" s="542">
        <v>1</v>
      </c>
      <c r="H89" s="542">
        <v>78</v>
      </c>
      <c r="I89" s="559">
        <v>2652</v>
      </c>
      <c r="J89" s="559">
        <v>209508</v>
      </c>
      <c r="K89" s="542">
        <v>1.305150631681244</v>
      </c>
      <c r="L89" s="542">
        <v>79</v>
      </c>
      <c r="M89" s="559">
        <v>2240</v>
      </c>
      <c r="N89" s="559">
        <v>178392</v>
      </c>
      <c r="O89" s="547">
        <v>1.1113104582492337</v>
      </c>
      <c r="P89" s="560">
        <v>79.63928571428572</v>
      </c>
    </row>
    <row r="90" spans="1:16" ht="14.4" customHeight="1" x14ac:dyDescent="0.3">
      <c r="A90" s="541" t="s">
        <v>1342</v>
      </c>
      <c r="B90" s="542" t="s">
        <v>1259</v>
      </c>
      <c r="C90" s="542" t="s">
        <v>1349</v>
      </c>
      <c r="D90" s="542" t="s">
        <v>1350</v>
      </c>
      <c r="E90" s="559">
        <v>708</v>
      </c>
      <c r="F90" s="559">
        <v>53100</v>
      </c>
      <c r="G90" s="542">
        <v>1</v>
      </c>
      <c r="H90" s="542">
        <v>75</v>
      </c>
      <c r="I90" s="559">
        <v>1117</v>
      </c>
      <c r="J90" s="559">
        <v>84892</v>
      </c>
      <c r="K90" s="542">
        <v>1.5987193973634652</v>
      </c>
      <c r="L90" s="542">
        <v>76</v>
      </c>
      <c r="M90" s="559">
        <v>1243</v>
      </c>
      <c r="N90" s="559">
        <v>95309</v>
      </c>
      <c r="O90" s="547">
        <v>1.7948964218455743</v>
      </c>
      <c r="P90" s="560">
        <v>76.676588897827841</v>
      </c>
    </row>
    <row r="91" spans="1:16" ht="14.4" customHeight="1" x14ac:dyDescent="0.3">
      <c r="A91" s="541" t="s">
        <v>1342</v>
      </c>
      <c r="B91" s="542" t="s">
        <v>1259</v>
      </c>
      <c r="C91" s="542" t="s">
        <v>1351</v>
      </c>
      <c r="D91" s="542" t="s">
        <v>1352</v>
      </c>
      <c r="E91" s="559">
        <v>118</v>
      </c>
      <c r="F91" s="559">
        <v>44368</v>
      </c>
      <c r="G91" s="542">
        <v>1</v>
      </c>
      <c r="H91" s="542">
        <v>376</v>
      </c>
      <c r="I91" s="559">
        <v>145</v>
      </c>
      <c r="J91" s="559">
        <v>54810</v>
      </c>
      <c r="K91" s="542">
        <v>1.2353498016588533</v>
      </c>
      <c r="L91" s="542">
        <v>378</v>
      </c>
      <c r="M91" s="559">
        <v>149</v>
      </c>
      <c r="N91" s="559">
        <v>56798</v>
      </c>
      <c r="O91" s="547">
        <v>1.2801568698160837</v>
      </c>
      <c r="P91" s="560">
        <v>381.19463087248323</v>
      </c>
    </row>
    <row r="92" spans="1:16" ht="14.4" customHeight="1" x14ac:dyDescent="0.3">
      <c r="A92" s="541" t="s">
        <v>1342</v>
      </c>
      <c r="B92" s="542" t="s">
        <v>1259</v>
      </c>
      <c r="C92" s="542" t="s">
        <v>1353</v>
      </c>
      <c r="D92" s="542" t="s">
        <v>1354</v>
      </c>
      <c r="E92" s="559">
        <v>110</v>
      </c>
      <c r="F92" s="559">
        <v>8250</v>
      </c>
      <c r="G92" s="542">
        <v>1</v>
      </c>
      <c r="H92" s="542">
        <v>75</v>
      </c>
      <c r="I92" s="559">
        <v>233</v>
      </c>
      <c r="J92" s="559">
        <v>17708</v>
      </c>
      <c r="K92" s="542">
        <v>2.1464242424242426</v>
      </c>
      <c r="L92" s="542">
        <v>76</v>
      </c>
      <c r="M92" s="559">
        <v>363</v>
      </c>
      <c r="N92" s="559">
        <v>27858</v>
      </c>
      <c r="O92" s="547">
        <v>3.3767272727272726</v>
      </c>
      <c r="P92" s="560">
        <v>76.743801652892557</v>
      </c>
    </row>
    <row r="93" spans="1:16" ht="14.4" customHeight="1" x14ac:dyDescent="0.3">
      <c r="A93" s="541" t="s">
        <v>1342</v>
      </c>
      <c r="B93" s="542" t="s">
        <v>1259</v>
      </c>
      <c r="C93" s="542" t="s">
        <v>1355</v>
      </c>
      <c r="D93" s="542" t="s">
        <v>1356</v>
      </c>
      <c r="E93" s="559">
        <v>8</v>
      </c>
      <c r="F93" s="559">
        <v>800</v>
      </c>
      <c r="G93" s="542">
        <v>1</v>
      </c>
      <c r="H93" s="542">
        <v>100</v>
      </c>
      <c r="I93" s="559">
        <v>14</v>
      </c>
      <c r="J93" s="559">
        <v>1414</v>
      </c>
      <c r="K93" s="542">
        <v>1.7675000000000001</v>
      </c>
      <c r="L93" s="542">
        <v>101</v>
      </c>
      <c r="M93" s="559">
        <v>28</v>
      </c>
      <c r="N93" s="559">
        <v>2860</v>
      </c>
      <c r="O93" s="547">
        <v>3.5750000000000002</v>
      </c>
      <c r="P93" s="560">
        <v>102.14285714285714</v>
      </c>
    </row>
    <row r="94" spans="1:16" ht="14.4" customHeight="1" x14ac:dyDescent="0.3">
      <c r="A94" s="541" t="s">
        <v>1342</v>
      </c>
      <c r="B94" s="542" t="s">
        <v>1259</v>
      </c>
      <c r="C94" s="542" t="s">
        <v>1357</v>
      </c>
      <c r="D94" s="542" t="s">
        <v>1358</v>
      </c>
      <c r="E94" s="559">
        <v>108</v>
      </c>
      <c r="F94" s="559">
        <v>6696</v>
      </c>
      <c r="G94" s="542">
        <v>1</v>
      </c>
      <c r="H94" s="542">
        <v>62</v>
      </c>
      <c r="I94" s="559">
        <v>201</v>
      </c>
      <c r="J94" s="559">
        <v>12663</v>
      </c>
      <c r="K94" s="542">
        <v>1.8911290322580645</v>
      </c>
      <c r="L94" s="542">
        <v>63</v>
      </c>
      <c r="M94" s="559">
        <v>460</v>
      </c>
      <c r="N94" s="559">
        <v>29352</v>
      </c>
      <c r="O94" s="547">
        <v>4.3835125448028673</v>
      </c>
      <c r="P94" s="560">
        <v>63.80869565217391</v>
      </c>
    </row>
    <row r="95" spans="1:16" ht="14.4" customHeight="1" x14ac:dyDescent="0.3">
      <c r="A95" s="541" t="s">
        <v>1342</v>
      </c>
      <c r="B95" s="542" t="s">
        <v>1259</v>
      </c>
      <c r="C95" s="542" t="s">
        <v>1359</v>
      </c>
      <c r="D95" s="542" t="s">
        <v>1360</v>
      </c>
      <c r="E95" s="559">
        <v>14</v>
      </c>
      <c r="F95" s="559">
        <v>3556</v>
      </c>
      <c r="G95" s="542">
        <v>1</v>
      </c>
      <c r="H95" s="542">
        <v>254</v>
      </c>
      <c r="I95" s="559">
        <v>64</v>
      </c>
      <c r="J95" s="559">
        <v>16320</v>
      </c>
      <c r="K95" s="542">
        <v>4.5894263217097864</v>
      </c>
      <c r="L95" s="542">
        <v>255</v>
      </c>
      <c r="M95" s="559">
        <v>107</v>
      </c>
      <c r="N95" s="559">
        <v>27534</v>
      </c>
      <c r="O95" s="547">
        <v>7.7429696287964003</v>
      </c>
      <c r="P95" s="560">
        <v>257.32710280373834</v>
      </c>
    </row>
    <row r="96" spans="1:16" ht="14.4" customHeight="1" x14ac:dyDescent="0.3">
      <c r="A96" s="541" t="s">
        <v>1342</v>
      </c>
      <c r="B96" s="542" t="s">
        <v>1259</v>
      </c>
      <c r="C96" s="542" t="s">
        <v>1361</v>
      </c>
      <c r="D96" s="542" t="s">
        <v>1362</v>
      </c>
      <c r="E96" s="559">
        <v>47</v>
      </c>
      <c r="F96" s="559">
        <v>12455</v>
      </c>
      <c r="G96" s="542">
        <v>1</v>
      </c>
      <c r="H96" s="542">
        <v>265</v>
      </c>
      <c r="I96" s="559">
        <v>116</v>
      </c>
      <c r="J96" s="559">
        <v>30856</v>
      </c>
      <c r="K96" s="542">
        <v>2.4773986350863106</v>
      </c>
      <c r="L96" s="542">
        <v>266</v>
      </c>
      <c r="M96" s="559">
        <v>140</v>
      </c>
      <c r="N96" s="559">
        <v>37558</v>
      </c>
      <c r="O96" s="547">
        <v>3.0154957848253714</v>
      </c>
      <c r="P96" s="560">
        <v>268.27142857142854</v>
      </c>
    </row>
    <row r="97" spans="1:16" ht="14.4" customHeight="1" thickBot="1" x14ac:dyDescent="0.35">
      <c r="A97" s="549" t="s">
        <v>1342</v>
      </c>
      <c r="B97" s="550" t="s">
        <v>1259</v>
      </c>
      <c r="C97" s="550" t="s">
        <v>1363</v>
      </c>
      <c r="D97" s="550" t="s">
        <v>1364</v>
      </c>
      <c r="E97" s="561">
        <v>2</v>
      </c>
      <c r="F97" s="561">
        <v>302</v>
      </c>
      <c r="G97" s="550">
        <v>1</v>
      </c>
      <c r="H97" s="550">
        <v>151</v>
      </c>
      <c r="I97" s="561"/>
      <c r="J97" s="561"/>
      <c r="K97" s="550"/>
      <c r="L97" s="550"/>
      <c r="M97" s="561">
        <v>1</v>
      </c>
      <c r="N97" s="561">
        <v>155</v>
      </c>
      <c r="O97" s="555">
        <v>0.51324503311258274</v>
      </c>
      <c r="P97" s="562">
        <v>155</v>
      </c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334" t="s">
        <v>128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5" t="s">
        <v>281</v>
      </c>
      <c r="B2" s="227"/>
      <c r="C2" s="111"/>
      <c r="D2" s="227"/>
      <c r="E2" s="111"/>
      <c r="F2" s="227"/>
      <c r="G2" s="228"/>
      <c r="H2" s="227"/>
      <c r="I2" s="111"/>
      <c r="J2" s="227"/>
      <c r="K2" s="111"/>
      <c r="L2" s="227"/>
      <c r="M2" s="228"/>
      <c r="N2" s="227"/>
      <c r="O2" s="111"/>
      <c r="P2" s="227"/>
      <c r="Q2" s="111"/>
      <c r="R2" s="227"/>
      <c r="S2" s="228"/>
    </row>
    <row r="3" spans="1:19" ht="14.4" customHeight="1" thickBot="1" x14ac:dyDescent="0.35">
      <c r="A3" s="221" t="s">
        <v>129</v>
      </c>
      <c r="B3" s="222">
        <f>SUBTOTAL(9,B6:B1048576)</f>
        <v>7562</v>
      </c>
      <c r="C3" s="223">
        <f t="shared" ref="C3:R3" si="0">SUBTOTAL(9,C6:C1048576)</f>
        <v>3</v>
      </c>
      <c r="D3" s="223">
        <f t="shared" si="0"/>
        <v>13637</v>
      </c>
      <c r="E3" s="223">
        <f t="shared" si="0"/>
        <v>0.84239975132110667</v>
      </c>
      <c r="F3" s="223">
        <f t="shared" si="0"/>
        <v>41489</v>
      </c>
      <c r="G3" s="226">
        <f>IF(B3&lt;&gt;0,F3/B3,"")</f>
        <v>5.4865115048928859</v>
      </c>
      <c r="H3" s="222">
        <f t="shared" si="0"/>
        <v>0</v>
      </c>
      <c r="I3" s="223">
        <f t="shared" si="0"/>
        <v>0</v>
      </c>
      <c r="J3" s="223">
        <f t="shared" si="0"/>
        <v>0</v>
      </c>
      <c r="K3" s="223">
        <f t="shared" si="0"/>
        <v>0</v>
      </c>
      <c r="L3" s="223">
        <f t="shared" si="0"/>
        <v>0</v>
      </c>
      <c r="M3" s="224" t="str">
        <f>IF(H3&lt;&gt;0,L3/H3,"")</f>
        <v/>
      </c>
      <c r="N3" s="225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398" t="s">
        <v>106</v>
      </c>
      <c r="B4" s="399" t="s">
        <v>100</v>
      </c>
      <c r="C4" s="400"/>
      <c r="D4" s="400"/>
      <c r="E4" s="400"/>
      <c r="F4" s="400"/>
      <c r="G4" s="401"/>
      <c r="H4" s="399" t="s">
        <v>101</v>
      </c>
      <c r="I4" s="400"/>
      <c r="J4" s="400"/>
      <c r="K4" s="400"/>
      <c r="L4" s="400"/>
      <c r="M4" s="401"/>
      <c r="N4" s="399" t="s">
        <v>102</v>
      </c>
      <c r="O4" s="400"/>
      <c r="P4" s="400"/>
      <c r="Q4" s="400"/>
      <c r="R4" s="400"/>
      <c r="S4" s="401"/>
    </row>
    <row r="5" spans="1:19" ht="14.4" customHeight="1" thickBot="1" x14ac:dyDescent="0.35">
      <c r="A5" s="605"/>
      <c r="B5" s="606">
        <v>2012</v>
      </c>
      <c r="C5" s="607"/>
      <c r="D5" s="607">
        <v>2013</v>
      </c>
      <c r="E5" s="607"/>
      <c r="F5" s="607">
        <v>2014</v>
      </c>
      <c r="G5" s="608" t="s">
        <v>2</v>
      </c>
      <c r="H5" s="606">
        <v>2012</v>
      </c>
      <c r="I5" s="607"/>
      <c r="J5" s="607">
        <v>2013</v>
      </c>
      <c r="K5" s="607"/>
      <c r="L5" s="607">
        <v>2014</v>
      </c>
      <c r="M5" s="608" t="s">
        <v>2</v>
      </c>
      <c r="N5" s="606">
        <v>2012</v>
      </c>
      <c r="O5" s="607"/>
      <c r="P5" s="607">
        <v>2013</v>
      </c>
      <c r="Q5" s="607"/>
      <c r="R5" s="607">
        <v>2014</v>
      </c>
      <c r="S5" s="608" t="s">
        <v>2</v>
      </c>
    </row>
    <row r="6" spans="1:19" ht="14.4" customHeight="1" x14ac:dyDescent="0.3">
      <c r="A6" s="566" t="s">
        <v>1366</v>
      </c>
      <c r="B6" s="609">
        <v>3205</v>
      </c>
      <c r="C6" s="535">
        <v>1</v>
      </c>
      <c r="D6" s="609"/>
      <c r="E6" s="535"/>
      <c r="F6" s="609"/>
      <c r="G6" s="540"/>
      <c r="H6" s="609"/>
      <c r="I6" s="535"/>
      <c r="J6" s="609"/>
      <c r="K6" s="535"/>
      <c r="L6" s="609"/>
      <c r="M6" s="540"/>
      <c r="N6" s="609"/>
      <c r="O6" s="535"/>
      <c r="P6" s="609"/>
      <c r="Q6" s="535"/>
      <c r="R6" s="609"/>
      <c r="S6" s="122"/>
    </row>
    <row r="7" spans="1:19" ht="14.4" customHeight="1" x14ac:dyDescent="0.3">
      <c r="A7" s="567" t="s">
        <v>1367</v>
      </c>
      <c r="B7" s="610"/>
      <c r="C7" s="542"/>
      <c r="D7" s="610"/>
      <c r="E7" s="542"/>
      <c r="F7" s="610">
        <v>940</v>
      </c>
      <c r="G7" s="547"/>
      <c r="H7" s="610"/>
      <c r="I7" s="542"/>
      <c r="J7" s="610"/>
      <c r="K7" s="542"/>
      <c r="L7" s="610"/>
      <c r="M7" s="547"/>
      <c r="N7" s="610"/>
      <c r="O7" s="542"/>
      <c r="P7" s="610"/>
      <c r="Q7" s="542"/>
      <c r="R7" s="610"/>
      <c r="S7" s="548"/>
    </row>
    <row r="8" spans="1:19" ht="14.4" customHeight="1" x14ac:dyDescent="0.3">
      <c r="A8" s="567" t="s">
        <v>1368</v>
      </c>
      <c r="B8" s="610"/>
      <c r="C8" s="542"/>
      <c r="D8" s="610">
        <v>940</v>
      </c>
      <c r="E8" s="542"/>
      <c r="F8" s="610">
        <v>6610</v>
      </c>
      <c r="G8" s="547"/>
      <c r="H8" s="610"/>
      <c r="I8" s="542"/>
      <c r="J8" s="610"/>
      <c r="K8" s="542"/>
      <c r="L8" s="610"/>
      <c r="M8" s="547"/>
      <c r="N8" s="610"/>
      <c r="O8" s="542"/>
      <c r="P8" s="610"/>
      <c r="Q8" s="542"/>
      <c r="R8" s="610"/>
      <c r="S8" s="548"/>
    </row>
    <row r="9" spans="1:19" ht="14.4" customHeight="1" x14ac:dyDescent="0.3">
      <c r="A9" s="567" t="s">
        <v>1369</v>
      </c>
      <c r="B9" s="610">
        <v>3217</v>
      </c>
      <c r="C9" s="542">
        <v>1</v>
      </c>
      <c r="D9" s="610">
        <v>2710</v>
      </c>
      <c r="E9" s="542">
        <v>0.84239975132110667</v>
      </c>
      <c r="F9" s="610">
        <v>16902</v>
      </c>
      <c r="G9" s="547">
        <v>5.2539633198632263</v>
      </c>
      <c r="H9" s="610"/>
      <c r="I9" s="542"/>
      <c r="J9" s="610"/>
      <c r="K9" s="542"/>
      <c r="L9" s="610"/>
      <c r="M9" s="547"/>
      <c r="N9" s="610"/>
      <c r="O9" s="542"/>
      <c r="P9" s="610"/>
      <c r="Q9" s="542"/>
      <c r="R9" s="610"/>
      <c r="S9" s="548"/>
    </row>
    <row r="10" spans="1:19" ht="14.4" customHeight="1" x14ac:dyDescent="0.3">
      <c r="A10" s="567" t="s">
        <v>1370</v>
      </c>
      <c r="B10" s="610">
        <v>1140</v>
      </c>
      <c r="C10" s="542">
        <v>1</v>
      </c>
      <c r="D10" s="610"/>
      <c r="E10" s="542"/>
      <c r="F10" s="610"/>
      <c r="G10" s="547"/>
      <c r="H10" s="610"/>
      <c r="I10" s="542"/>
      <c r="J10" s="610"/>
      <c r="K10" s="542"/>
      <c r="L10" s="610"/>
      <c r="M10" s="547"/>
      <c r="N10" s="610"/>
      <c r="O10" s="542"/>
      <c r="P10" s="610"/>
      <c r="Q10" s="542"/>
      <c r="R10" s="610"/>
      <c r="S10" s="548"/>
    </row>
    <row r="11" spans="1:19" ht="14.4" customHeight="1" x14ac:dyDescent="0.3">
      <c r="A11" s="567" t="s">
        <v>1371</v>
      </c>
      <c r="B11" s="610"/>
      <c r="C11" s="542"/>
      <c r="D11" s="610">
        <v>7507</v>
      </c>
      <c r="E11" s="542"/>
      <c r="F11" s="610">
        <v>16091</v>
      </c>
      <c r="G11" s="547"/>
      <c r="H11" s="610"/>
      <c r="I11" s="542"/>
      <c r="J11" s="610"/>
      <c r="K11" s="542"/>
      <c r="L11" s="610"/>
      <c r="M11" s="547"/>
      <c r="N11" s="610"/>
      <c r="O11" s="542"/>
      <c r="P11" s="610"/>
      <c r="Q11" s="542"/>
      <c r="R11" s="610"/>
      <c r="S11" s="548"/>
    </row>
    <row r="12" spans="1:19" ht="14.4" customHeight="1" x14ac:dyDescent="0.3">
      <c r="A12" s="567" t="s">
        <v>1372</v>
      </c>
      <c r="B12" s="610"/>
      <c r="C12" s="542"/>
      <c r="D12" s="610"/>
      <c r="E12" s="542"/>
      <c r="F12" s="610">
        <v>946</v>
      </c>
      <c r="G12" s="547"/>
      <c r="H12" s="610"/>
      <c r="I12" s="542"/>
      <c r="J12" s="610"/>
      <c r="K12" s="542"/>
      <c r="L12" s="610"/>
      <c r="M12" s="547"/>
      <c r="N12" s="610"/>
      <c r="O12" s="542"/>
      <c r="P12" s="610"/>
      <c r="Q12" s="542"/>
      <c r="R12" s="610"/>
      <c r="S12" s="548"/>
    </row>
    <row r="13" spans="1:19" ht="14.4" customHeight="1" thickBot="1" x14ac:dyDescent="0.35">
      <c r="A13" s="612" t="s">
        <v>1373</v>
      </c>
      <c r="B13" s="611"/>
      <c r="C13" s="550"/>
      <c r="D13" s="611">
        <v>2480</v>
      </c>
      <c r="E13" s="550"/>
      <c r="F13" s="611"/>
      <c r="G13" s="555"/>
      <c r="H13" s="611"/>
      <c r="I13" s="550"/>
      <c r="J13" s="611"/>
      <c r="K13" s="550"/>
      <c r="L13" s="611"/>
      <c r="M13" s="555"/>
      <c r="N13" s="611"/>
      <c r="O13" s="550"/>
      <c r="P13" s="611"/>
      <c r="Q13" s="550"/>
      <c r="R13" s="611"/>
      <c r="S13" s="55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3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8" customWidth="1"/>
    <col min="8" max="9" width="9.33203125" style="208" hidden="1" customWidth="1"/>
    <col min="10" max="11" width="11.109375" style="208" customWidth="1"/>
    <col min="12" max="13" width="9.33203125" style="208" hidden="1" customWidth="1"/>
    <col min="14" max="15" width="11.109375" style="208" customWidth="1"/>
    <col min="16" max="16" width="11.109375" style="211" customWidth="1"/>
    <col min="17" max="17" width="11.109375" style="208" customWidth="1"/>
    <col min="18" max="16384" width="8.88671875" style="130"/>
  </cols>
  <sheetData>
    <row r="1" spans="1:17" ht="18.600000000000001" customHeight="1" thickBot="1" x14ac:dyDescent="0.4">
      <c r="A1" s="325" t="s">
        <v>1382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5" t="s">
        <v>281</v>
      </c>
      <c r="B2" s="131"/>
      <c r="C2" s="131"/>
      <c r="D2" s="131"/>
      <c r="E2" s="131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30"/>
      <c r="Q2" s="229"/>
    </row>
    <row r="3" spans="1:17" ht="14.4" customHeight="1" thickBot="1" x14ac:dyDescent="0.35">
      <c r="E3" s="87" t="s">
        <v>129</v>
      </c>
      <c r="F3" s="102">
        <f t="shared" ref="F3:O3" si="0">SUBTOTAL(9,F6:F1048576)</f>
        <v>22</v>
      </c>
      <c r="G3" s="103">
        <f t="shared" si="0"/>
        <v>7562</v>
      </c>
      <c r="H3" s="103"/>
      <c r="I3" s="103"/>
      <c r="J3" s="103">
        <f t="shared" si="0"/>
        <v>20</v>
      </c>
      <c r="K3" s="103">
        <f t="shared" si="0"/>
        <v>13637</v>
      </c>
      <c r="L3" s="103"/>
      <c r="M3" s="103"/>
      <c r="N3" s="103">
        <f t="shared" si="0"/>
        <v>68</v>
      </c>
      <c r="O3" s="103">
        <f t="shared" si="0"/>
        <v>41489</v>
      </c>
      <c r="P3" s="75">
        <f>IF(G3=0,0,O3/G3)</f>
        <v>5.4865115048928859</v>
      </c>
      <c r="Q3" s="104">
        <f>IF(N3=0,0,O3/N3)</f>
        <v>610.13235294117646</v>
      </c>
    </row>
    <row r="4" spans="1:17" ht="14.4" customHeight="1" x14ac:dyDescent="0.3">
      <c r="A4" s="407" t="s">
        <v>69</v>
      </c>
      <c r="B4" s="406" t="s">
        <v>95</v>
      </c>
      <c r="C4" s="407" t="s">
        <v>96</v>
      </c>
      <c r="D4" s="415" t="s">
        <v>97</v>
      </c>
      <c r="E4" s="408" t="s">
        <v>70</v>
      </c>
      <c r="F4" s="413">
        <v>2012</v>
      </c>
      <c r="G4" s="414"/>
      <c r="H4" s="105"/>
      <c r="I4" s="105"/>
      <c r="J4" s="413">
        <v>2013</v>
      </c>
      <c r="K4" s="414"/>
      <c r="L4" s="105"/>
      <c r="M4" s="105"/>
      <c r="N4" s="413">
        <v>2014</v>
      </c>
      <c r="O4" s="414"/>
      <c r="P4" s="416" t="s">
        <v>2</v>
      </c>
      <c r="Q4" s="405" t="s">
        <v>98</v>
      </c>
    </row>
    <row r="5" spans="1:17" ht="14.4" customHeight="1" thickBot="1" x14ac:dyDescent="0.35">
      <c r="A5" s="620"/>
      <c r="B5" s="619"/>
      <c r="C5" s="620"/>
      <c r="D5" s="628"/>
      <c r="E5" s="622"/>
      <c r="F5" s="629" t="s">
        <v>72</v>
      </c>
      <c r="G5" s="630" t="s">
        <v>14</v>
      </c>
      <c r="H5" s="631"/>
      <c r="I5" s="631"/>
      <c r="J5" s="629" t="s">
        <v>72</v>
      </c>
      <c r="K5" s="630" t="s">
        <v>14</v>
      </c>
      <c r="L5" s="631"/>
      <c r="M5" s="631"/>
      <c r="N5" s="629" t="s">
        <v>72</v>
      </c>
      <c r="O5" s="630" t="s">
        <v>14</v>
      </c>
      <c r="P5" s="632"/>
      <c r="Q5" s="627"/>
    </row>
    <row r="6" spans="1:17" ht="14.4" customHeight="1" x14ac:dyDescent="0.3">
      <c r="A6" s="534" t="s">
        <v>1374</v>
      </c>
      <c r="B6" s="535" t="s">
        <v>192</v>
      </c>
      <c r="C6" s="535" t="s">
        <v>1259</v>
      </c>
      <c r="D6" s="535" t="s">
        <v>1262</v>
      </c>
      <c r="E6" s="535" t="s">
        <v>1263</v>
      </c>
      <c r="F6" s="116">
        <v>1</v>
      </c>
      <c r="G6" s="116">
        <v>129</v>
      </c>
      <c r="H6" s="116">
        <v>1</v>
      </c>
      <c r="I6" s="116">
        <v>129</v>
      </c>
      <c r="J6" s="116"/>
      <c r="K6" s="116"/>
      <c r="L6" s="116"/>
      <c r="M6" s="116"/>
      <c r="N6" s="116"/>
      <c r="O6" s="116"/>
      <c r="P6" s="540"/>
      <c r="Q6" s="558"/>
    </row>
    <row r="7" spans="1:17" ht="14.4" customHeight="1" x14ac:dyDescent="0.3">
      <c r="A7" s="541" t="s">
        <v>1374</v>
      </c>
      <c r="B7" s="542" t="s">
        <v>192</v>
      </c>
      <c r="C7" s="542" t="s">
        <v>1259</v>
      </c>
      <c r="D7" s="542" t="s">
        <v>1264</v>
      </c>
      <c r="E7" s="542" t="s">
        <v>1265</v>
      </c>
      <c r="F7" s="559">
        <v>1</v>
      </c>
      <c r="G7" s="559">
        <v>1699</v>
      </c>
      <c r="H7" s="559">
        <v>1</v>
      </c>
      <c r="I7" s="559">
        <v>1699</v>
      </c>
      <c r="J7" s="559"/>
      <c r="K7" s="559"/>
      <c r="L7" s="559"/>
      <c r="M7" s="559"/>
      <c r="N7" s="559"/>
      <c r="O7" s="559"/>
      <c r="P7" s="547"/>
      <c r="Q7" s="560"/>
    </row>
    <row r="8" spans="1:17" ht="14.4" customHeight="1" x14ac:dyDescent="0.3">
      <c r="A8" s="541" t="s">
        <v>1374</v>
      </c>
      <c r="B8" s="542" t="s">
        <v>192</v>
      </c>
      <c r="C8" s="542" t="s">
        <v>1259</v>
      </c>
      <c r="D8" s="542" t="s">
        <v>1280</v>
      </c>
      <c r="E8" s="542" t="s">
        <v>1281</v>
      </c>
      <c r="F8" s="559">
        <v>1</v>
      </c>
      <c r="G8" s="559">
        <v>644</v>
      </c>
      <c r="H8" s="559">
        <v>1</v>
      </c>
      <c r="I8" s="559">
        <v>644</v>
      </c>
      <c r="J8" s="559"/>
      <c r="K8" s="559"/>
      <c r="L8" s="559"/>
      <c r="M8" s="559"/>
      <c r="N8" s="559"/>
      <c r="O8" s="559"/>
      <c r="P8" s="547"/>
      <c r="Q8" s="560"/>
    </row>
    <row r="9" spans="1:17" ht="14.4" customHeight="1" x14ac:dyDescent="0.3">
      <c r="A9" s="541" t="s">
        <v>1374</v>
      </c>
      <c r="B9" s="542" t="s">
        <v>1307</v>
      </c>
      <c r="C9" s="542" t="s">
        <v>1259</v>
      </c>
      <c r="D9" s="542" t="s">
        <v>1260</v>
      </c>
      <c r="E9" s="542" t="s">
        <v>1261</v>
      </c>
      <c r="F9" s="559">
        <v>1</v>
      </c>
      <c r="G9" s="559">
        <v>34</v>
      </c>
      <c r="H9" s="559">
        <v>1</v>
      </c>
      <c r="I9" s="559">
        <v>34</v>
      </c>
      <c r="J9" s="559"/>
      <c r="K9" s="559"/>
      <c r="L9" s="559"/>
      <c r="M9" s="559"/>
      <c r="N9" s="559"/>
      <c r="O9" s="559"/>
      <c r="P9" s="547"/>
      <c r="Q9" s="560"/>
    </row>
    <row r="10" spans="1:17" ht="14.4" customHeight="1" x14ac:dyDescent="0.3">
      <c r="A10" s="541" t="s">
        <v>1374</v>
      </c>
      <c r="B10" s="542" t="s">
        <v>1342</v>
      </c>
      <c r="C10" s="542" t="s">
        <v>1259</v>
      </c>
      <c r="D10" s="542" t="s">
        <v>1347</v>
      </c>
      <c r="E10" s="542" t="s">
        <v>1348</v>
      </c>
      <c r="F10" s="559">
        <v>8</v>
      </c>
      <c r="G10" s="559">
        <v>624</v>
      </c>
      <c r="H10" s="559">
        <v>1</v>
      </c>
      <c r="I10" s="559">
        <v>78</v>
      </c>
      <c r="J10" s="559"/>
      <c r="K10" s="559"/>
      <c r="L10" s="559"/>
      <c r="M10" s="559"/>
      <c r="N10" s="559"/>
      <c r="O10" s="559"/>
      <c r="P10" s="547"/>
      <c r="Q10" s="560"/>
    </row>
    <row r="11" spans="1:17" ht="14.4" customHeight="1" x14ac:dyDescent="0.3">
      <c r="A11" s="541" t="s">
        <v>1374</v>
      </c>
      <c r="B11" s="542" t="s">
        <v>1342</v>
      </c>
      <c r="C11" s="542" t="s">
        <v>1259</v>
      </c>
      <c r="D11" s="542" t="s">
        <v>1349</v>
      </c>
      <c r="E11" s="542" t="s">
        <v>1350</v>
      </c>
      <c r="F11" s="559">
        <v>1</v>
      </c>
      <c r="G11" s="559">
        <v>75</v>
      </c>
      <c r="H11" s="559">
        <v>1</v>
      </c>
      <c r="I11" s="559">
        <v>75</v>
      </c>
      <c r="J11" s="559"/>
      <c r="K11" s="559"/>
      <c r="L11" s="559"/>
      <c r="M11" s="559"/>
      <c r="N11" s="559"/>
      <c r="O11" s="559"/>
      <c r="P11" s="547"/>
      <c r="Q11" s="560"/>
    </row>
    <row r="12" spans="1:17" ht="14.4" customHeight="1" x14ac:dyDescent="0.3">
      <c r="A12" s="541" t="s">
        <v>1375</v>
      </c>
      <c r="B12" s="542" t="s">
        <v>1298</v>
      </c>
      <c r="C12" s="542" t="s">
        <v>1259</v>
      </c>
      <c r="D12" s="542" t="s">
        <v>1301</v>
      </c>
      <c r="E12" s="542" t="s">
        <v>1302</v>
      </c>
      <c r="F12" s="559"/>
      <c r="G12" s="559"/>
      <c r="H12" s="559"/>
      <c r="I12" s="559"/>
      <c r="J12" s="559"/>
      <c r="K12" s="559"/>
      <c r="L12" s="559"/>
      <c r="M12" s="559"/>
      <c r="N12" s="559">
        <v>1</v>
      </c>
      <c r="O12" s="559">
        <v>940</v>
      </c>
      <c r="P12" s="547"/>
      <c r="Q12" s="560">
        <v>940</v>
      </c>
    </row>
    <row r="13" spans="1:17" ht="14.4" customHeight="1" x14ac:dyDescent="0.3">
      <c r="A13" s="541" t="s">
        <v>1376</v>
      </c>
      <c r="B13" s="542" t="s">
        <v>1298</v>
      </c>
      <c r="C13" s="542" t="s">
        <v>1259</v>
      </c>
      <c r="D13" s="542" t="s">
        <v>1301</v>
      </c>
      <c r="E13" s="542" t="s">
        <v>1302</v>
      </c>
      <c r="F13" s="559"/>
      <c r="G13" s="559"/>
      <c r="H13" s="559"/>
      <c r="I13" s="559"/>
      <c r="J13" s="559">
        <v>1</v>
      </c>
      <c r="K13" s="559">
        <v>940</v>
      </c>
      <c r="L13" s="559"/>
      <c r="M13" s="559">
        <v>940</v>
      </c>
      <c r="N13" s="559">
        <v>6</v>
      </c>
      <c r="O13" s="559">
        <v>5664</v>
      </c>
      <c r="P13" s="547"/>
      <c r="Q13" s="560">
        <v>944</v>
      </c>
    </row>
    <row r="14" spans="1:17" ht="14.4" customHeight="1" x14ac:dyDescent="0.3">
      <c r="A14" s="541" t="s">
        <v>1376</v>
      </c>
      <c r="B14" s="542" t="s">
        <v>1307</v>
      </c>
      <c r="C14" s="542" t="s">
        <v>1259</v>
      </c>
      <c r="D14" s="542" t="s">
        <v>1301</v>
      </c>
      <c r="E14" s="542" t="s">
        <v>1302</v>
      </c>
      <c r="F14" s="559"/>
      <c r="G14" s="559"/>
      <c r="H14" s="559"/>
      <c r="I14" s="559"/>
      <c r="J14" s="559"/>
      <c r="K14" s="559"/>
      <c r="L14" s="559"/>
      <c r="M14" s="559"/>
      <c r="N14" s="559">
        <v>1</v>
      </c>
      <c r="O14" s="559">
        <v>946</v>
      </c>
      <c r="P14" s="547"/>
      <c r="Q14" s="560">
        <v>946</v>
      </c>
    </row>
    <row r="15" spans="1:17" ht="14.4" customHeight="1" x14ac:dyDescent="0.3">
      <c r="A15" s="541" t="s">
        <v>1377</v>
      </c>
      <c r="B15" s="542" t="s">
        <v>192</v>
      </c>
      <c r="C15" s="542" t="s">
        <v>1259</v>
      </c>
      <c r="D15" s="542" t="s">
        <v>1262</v>
      </c>
      <c r="E15" s="542" t="s">
        <v>1263</v>
      </c>
      <c r="F15" s="559">
        <v>1</v>
      </c>
      <c r="G15" s="559">
        <v>129</v>
      </c>
      <c r="H15" s="559">
        <v>1</v>
      </c>
      <c r="I15" s="559">
        <v>129</v>
      </c>
      <c r="J15" s="559">
        <v>2</v>
      </c>
      <c r="K15" s="559">
        <v>260</v>
      </c>
      <c r="L15" s="559">
        <v>2.0155038759689923</v>
      </c>
      <c r="M15" s="559">
        <v>130</v>
      </c>
      <c r="N15" s="559">
        <v>9</v>
      </c>
      <c r="O15" s="559">
        <v>1188</v>
      </c>
      <c r="P15" s="547">
        <v>9.2093023255813957</v>
      </c>
      <c r="Q15" s="560">
        <v>132</v>
      </c>
    </row>
    <row r="16" spans="1:17" ht="14.4" customHeight="1" x14ac:dyDescent="0.3">
      <c r="A16" s="541" t="s">
        <v>1377</v>
      </c>
      <c r="B16" s="542" t="s">
        <v>192</v>
      </c>
      <c r="C16" s="542" t="s">
        <v>1259</v>
      </c>
      <c r="D16" s="542" t="s">
        <v>1264</v>
      </c>
      <c r="E16" s="542" t="s">
        <v>1265</v>
      </c>
      <c r="F16" s="559"/>
      <c r="G16" s="559"/>
      <c r="H16" s="559"/>
      <c r="I16" s="559"/>
      <c r="J16" s="559"/>
      <c r="K16" s="559"/>
      <c r="L16" s="559"/>
      <c r="M16" s="559"/>
      <c r="N16" s="559">
        <v>1</v>
      </c>
      <c r="O16" s="559">
        <v>1716</v>
      </c>
      <c r="P16" s="547"/>
      <c r="Q16" s="560">
        <v>1716</v>
      </c>
    </row>
    <row r="17" spans="1:17" ht="14.4" customHeight="1" x14ac:dyDescent="0.3">
      <c r="A17" s="541" t="s">
        <v>1377</v>
      </c>
      <c r="B17" s="542" t="s">
        <v>192</v>
      </c>
      <c r="C17" s="542" t="s">
        <v>1259</v>
      </c>
      <c r="D17" s="542" t="s">
        <v>1270</v>
      </c>
      <c r="E17" s="542" t="s">
        <v>1271</v>
      </c>
      <c r="F17" s="559"/>
      <c r="G17" s="559"/>
      <c r="H17" s="559"/>
      <c r="I17" s="559"/>
      <c r="J17" s="559"/>
      <c r="K17" s="559"/>
      <c r="L17" s="559"/>
      <c r="M17" s="559"/>
      <c r="N17" s="559">
        <v>2</v>
      </c>
      <c r="O17" s="559">
        <v>657</v>
      </c>
      <c r="P17" s="547"/>
      <c r="Q17" s="560">
        <v>328.5</v>
      </c>
    </row>
    <row r="18" spans="1:17" ht="14.4" customHeight="1" x14ac:dyDescent="0.3">
      <c r="A18" s="541" t="s">
        <v>1377</v>
      </c>
      <c r="B18" s="542" t="s">
        <v>192</v>
      </c>
      <c r="C18" s="542" t="s">
        <v>1259</v>
      </c>
      <c r="D18" s="542" t="s">
        <v>1280</v>
      </c>
      <c r="E18" s="542" t="s">
        <v>1281</v>
      </c>
      <c r="F18" s="559">
        <v>1</v>
      </c>
      <c r="G18" s="559">
        <v>644</v>
      </c>
      <c r="H18" s="559">
        <v>1</v>
      </c>
      <c r="I18" s="559">
        <v>644</v>
      </c>
      <c r="J18" s="559">
        <v>2</v>
      </c>
      <c r="K18" s="559">
        <v>1290</v>
      </c>
      <c r="L18" s="559">
        <v>2.0031055900621118</v>
      </c>
      <c r="M18" s="559">
        <v>645</v>
      </c>
      <c r="N18" s="559">
        <v>7</v>
      </c>
      <c r="O18" s="559">
        <v>4545</v>
      </c>
      <c r="P18" s="547">
        <v>7.0574534161490687</v>
      </c>
      <c r="Q18" s="560">
        <v>649.28571428571433</v>
      </c>
    </row>
    <row r="19" spans="1:17" ht="14.4" customHeight="1" x14ac:dyDescent="0.3">
      <c r="A19" s="541" t="s">
        <v>1377</v>
      </c>
      <c r="B19" s="542" t="s">
        <v>1298</v>
      </c>
      <c r="C19" s="542" t="s">
        <v>1259</v>
      </c>
      <c r="D19" s="542" t="s">
        <v>1301</v>
      </c>
      <c r="E19" s="542" t="s">
        <v>1302</v>
      </c>
      <c r="F19" s="559"/>
      <c r="G19" s="559"/>
      <c r="H19" s="559"/>
      <c r="I19" s="559"/>
      <c r="J19" s="559"/>
      <c r="K19" s="559"/>
      <c r="L19" s="559"/>
      <c r="M19" s="559"/>
      <c r="N19" s="559">
        <v>1</v>
      </c>
      <c r="O19" s="559">
        <v>940</v>
      </c>
      <c r="P19" s="547"/>
      <c r="Q19" s="560">
        <v>940</v>
      </c>
    </row>
    <row r="20" spans="1:17" ht="14.4" customHeight="1" x14ac:dyDescent="0.3">
      <c r="A20" s="541" t="s">
        <v>1377</v>
      </c>
      <c r="B20" s="542" t="s">
        <v>1298</v>
      </c>
      <c r="C20" s="542" t="s">
        <v>1259</v>
      </c>
      <c r="D20" s="542" t="s">
        <v>1284</v>
      </c>
      <c r="E20" s="542" t="s">
        <v>1285</v>
      </c>
      <c r="F20" s="559">
        <v>2</v>
      </c>
      <c r="G20" s="559">
        <v>1156</v>
      </c>
      <c r="H20" s="559">
        <v>1</v>
      </c>
      <c r="I20" s="559">
        <v>578</v>
      </c>
      <c r="J20" s="559">
        <v>2</v>
      </c>
      <c r="K20" s="559">
        <v>1160</v>
      </c>
      <c r="L20" s="559">
        <v>1.0034602076124568</v>
      </c>
      <c r="M20" s="559">
        <v>580</v>
      </c>
      <c r="N20" s="559">
        <v>10</v>
      </c>
      <c r="O20" s="559">
        <v>5828</v>
      </c>
      <c r="P20" s="547">
        <v>5.0415224913494807</v>
      </c>
      <c r="Q20" s="560">
        <v>582.79999999999995</v>
      </c>
    </row>
    <row r="21" spans="1:17" ht="14.4" customHeight="1" x14ac:dyDescent="0.3">
      <c r="A21" s="541" t="s">
        <v>1377</v>
      </c>
      <c r="B21" s="542" t="s">
        <v>1307</v>
      </c>
      <c r="C21" s="542" t="s">
        <v>1259</v>
      </c>
      <c r="D21" s="542" t="s">
        <v>1262</v>
      </c>
      <c r="E21" s="542" t="s">
        <v>1263</v>
      </c>
      <c r="F21" s="559"/>
      <c r="G21" s="559"/>
      <c r="H21" s="559"/>
      <c r="I21" s="559"/>
      <c r="J21" s="559"/>
      <c r="K21" s="559"/>
      <c r="L21" s="559"/>
      <c r="M21" s="559"/>
      <c r="N21" s="559">
        <v>1</v>
      </c>
      <c r="O21" s="559">
        <v>133</v>
      </c>
      <c r="P21" s="547"/>
      <c r="Q21" s="560">
        <v>133</v>
      </c>
    </row>
    <row r="22" spans="1:17" ht="14.4" customHeight="1" x14ac:dyDescent="0.3">
      <c r="A22" s="541" t="s">
        <v>1377</v>
      </c>
      <c r="B22" s="542" t="s">
        <v>1307</v>
      </c>
      <c r="C22" s="542" t="s">
        <v>1259</v>
      </c>
      <c r="D22" s="542" t="s">
        <v>1270</v>
      </c>
      <c r="E22" s="542" t="s">
        <v>1271</v>
      </c>
      <c r="F22" s="559"/>
      <c r="G22" s="559"/>
      <c r="H22" s="559"/>
      <c r="I22" s="559"/>
      <c r="J22" s="559"/>
      <c r="K22" s="559"/>
      <c r="L22" s="559"/>
      <c r="M22" s="559"/>
      <c r="N22" s="559">
        <v>1</v>
      </c>
      <c r="O22" s="559">
        <v>330</v>
      </c>
      <c r="P22" s="547"/>
      <c r="Q22" s="560">
        <v>330</v>
      </c>
    </row>
    <row r="23" spans="1:17" ht="14.4" customHeight="1" x14ac:dyDescent="0.3">
      <c r="A23" s="541" t="s">
        <v>1377</v>
      </c>
      <c r="B23" s="542" t="s">
        <v>1307</v>
      </c>
      <c r="C23" s="542" t="s">
        <v>1259</v>
      </c>
      <c r="D23" s="542" t="s">
        <v>1284</v>
      </c>
      <c r="E23" s="542" t="s">
        <v>1285</v>
      </c>
      <c r="F23" s="559"/>
      <c r="G23" s="559"/>
      <c r="H23" s="559"/>
      <c r="I23" s="559"/>
      <c r="J23" s="559"/>
      <c r="K23" s="559"/>
      <c r="L23" s="559"/>
      <c r="M23" s="559"/>
      <c r="N23" s="559">
        <v>1</v>
      </c>
      <c r="O23" s="559">
        <v>584</v>
      </c>
      <c r="P23" s="547"/>
      <c r="Q23" s="560">
        <v>584</v>
      </c>
    </row>
    <row r="24" spans="1:17" ht="14.4" customHeight="1" x14ac:dyDescent="0.3">
      <c r="A24" s="541" t="s">
        <v>1377</v>
      </c>
      <c r="B24" s="542" t="s">
        <v>1307</v>
      </c>
      <c r="C24" s="542" t="s">
        <v>1259</v>
      </c>
      <c r="D24" s="542" t="s">
        <v>1332</v>
      </c>
      <c r="E24" s="542" t="s">
        <v>1333</v>
      </c>
      <c r="F24" s="559"/>
      <c r="G24" s="559"/>
      <c r="H24" s="559"/>
      <c r="I24" s="559"/>
      <c r="J24" s="559"/>
      <c r="K24" s="559"/>
      <c r="L24" s="559"/>
      <c r="M24" s="559"/>
      <c r="N24" s="559">
        <v>1</v>
      </c>
      <c r="O24" s="559">
        <v>330</v>
      </c>
      <c r="P24" s="547"/>
      <c r="Q24" s="560">
        <v>330</v>
      </c>
    </row>
    <row r="25" spans="1:17" ht="14.4" customHeight="1" x14ac:dyDescent="0.3">
      <c r="A25" s="541" t="s">
        <v>1377</v>
      </c>
      <c r="B25" s="542" t="s">
        <v>1337</v>
      </c>
      <c r="C25" s="542" t="s">
        <v>1259</v>
      </c>
      <c r="D25" s="542" t="s">
        <v>1328</v>
      </c>
      <c r="E25" s="542" t="s">
        <v>1329</v>
      </c>
      <c r="F25" s="559">
        <v>2</v>
      </c>
      <c r="G25" s="559">
        <v>1288</v>
      </c>
      <c r="H25" s="559">
        <v>1</v>
      </c>
      <c r="I25" s="559">
        <v>644</v>
      </c>
      <c r="J25" s="559"/>
      <c r="K25" s="559"/>
      <c r="L25" s="559"/>
      <c r="M25" s="559"/>
      <c r="N25" s="559">
        <v>1</v>
      </c>
      <c r="O25" s="559">
        <v>651</v>
      </c>
      <c r="P25" s="547">
        <v>0.50543478260869568</v>
      </c>
      <c r="Q25" s="560">
        <v>651</v>
      </c>
    </row>
    <row r="26" spans="1:17" ht="14.4" customHeight="1" x14ac:dyDescent="0.3">
      <c r="A26" s="541" t="s">
        <v>1378</v>
      </c>
      <c r="B26" s="542" t="s">
        <v>192</v>
      </c>
      <c r="C26" s="542" t="s">
        <v>1259</v>
      </c>
      <c r="D26" s="542" t="s">
        <v>1262</v>
      </c>
      <c r="E26" s="542" t="s">
        <v>1263</v>
      </c>
      <c r="F26" s="559">
        <v>1</v>
      </c>
      <c r="G26" s="559">
        <v>129</v>
      </c>
      <c r="H26" s="559">
        <v>1</v>
      </c>
      <c r="I26" s="559">
        <v>129</v>
      </c>
      <c r="J26" s="559"/>
      <c r="K26" s="559"/>
      <c r="L26" s="559"/>
      <c r="M26" s="559"/>
      <c r="N26" s="559"/>
      <c r="O26" s="559"/>
      <c r="P26" s="547"/>
      <c r="Q26" s="560"/>
    </row>
    <row r="27" spans="1:17" ht="14.4" customHeight="1" x14ac:dyDescent="0.3">
      <c r="A27" s="541" t="s">
        <v>1378</v>
      </c>
      <c r="B27" s="542" t="s">
        <v>192</v>
      </c>
      <c r="C27" s="542" t="s">
        <v>1259</v>
      </c>
      <c r="D27" s="542" t="s">
        <v>1270</v>
      </c>
      <c r="E27" s="542" t="s">
        <v>1271</v>
      </c>
      <c r="F27" s="559">
        <v>1</v>
      </c>
      <c r="G27" s="559">
        <v>433</v>
      </c>
      <c r="H27" s="559">
        <v>1</v>
      </c>
      <c r="I27" s="559">
        <v>433</v>
      </c>
      <c r="J27" s="559"/>
      <c r="K27" s="559"/>
      <c r="L27" s="559"/>
      <c r="M27" s="559"/>
      <c r="N27" s="559"/>
      <c r="O27" s="559"/>
      <c r="P27" s="547"/>
      <c r="Q27" s="560"/>
    </row>
    <row r="28" spans="1:17" ht="14.4" customHeight="1" x14ac:dyDescent="0.3">
      <c r="A28" s="541" t="s">
        <v>1378</v>
      </c>
      <c r="B28" s="542" t="s">
        <v>192</v>
      </c>
      <c r="C28" s="542" t="s">
        <v>1259</v>
      </c>
      <c r="D28" s="542" t="s">
        <v>1280</v>
      </c>
      <c r="E28" s="542" t="s">
        <v>1281</v>
      </c>
      <c r="F28" s="559">
        <v>0</v>
      </c>
      <c r="G28" s="559">
        <v>0</v>
      </c>
      <c r="H28" s="559"/>
      <c r="I28" s="559"/>
      <c r="J28" s="559"/>
      <c r="K28" s="559"/>
      <c r="L28" s="559"/>
      <c r="M28" s="559"/>
      <c r="N28" s="559"/>
      <c r="O28" s="559"/>
      <c r="P28" s="547"/>
      <c r="Q28" s="560"/>
    </row>
    <row r="29" spans="1:17" ht="14.4" customHeight="1" x14ac:dyDescent="0.3">
      <c r="A29" s="541" t="s">
        <v>1378</v>
      </c>
      <c r="B29" s="542" t="s">
        <v>192</v>
      </c>
      <c r="C29" s="542" t="s">
        <v>1259</v>
      </c>
      <c r="D29" s="542" t="s">
        <v>1284</v>
      </c>
      <c r="E29" s="542" t="s">
        <v>1285</v>
      </c>
      <c r="F29" s="559">
        <v>1</v>
      </c>
      <c r="G29" s="559">
        <v>578</v>
      </c>
      <c r="H29" s="559">
        <v>1</v>
      </c>
      <c r="I29" s="559">
        <v>578</v>
      </c>
      <c r="J29" s="559"/>
      <c r="K29" s="559"/>
      <c r="L29" s="559"/>
      <c r="M29" s="559"/>
      <c r="N29" s="559"/>
      <c r="O29" s="559"/>
      <c r="P29" s="547"/>
      <c r="Q29" s="560"/>
    </row>
    <row r="30" spans="1:17" ht="14.4" customHeight="1" x14ac:dyDescent="0.3">
      <c r="A30" s="541" t="s">
        <v>1379</v>
      </c>
      <c r="B30" s="542" t="s">
        <v>192</v>
      </c>
      <c r="C30" s="542" t="s">
        <v>1259</v>
      </c>
      <c r="D30" s="542" t="s">
        <v>1262</v>
      </c>
      <c r="E30" s="542" t="s">
        <v>1263</v>
      </c>
      <c r="F30" s="559"/>
      <c r="G30" s="559"/>
      <c r="H30" s="559"/>
      <c r="I30" s="559"/>
      <c r="J30" s="559">
        <v>2</v>
      </c>
      <c r="K30" s="559">
        <v>260</v>
      </c>
      <c r="L30" s="559"/>
      <c r="M30" s="559">
        <v>130</v>
      </c>
      <c r="N30" s="559">
        <v>6</v>
      </c>
      <c r="O30" s="559">
        <v>789</v>
      </c>
      <c r="P30" s="547"/>
      <c r="Q30" s="560">
        <v>131.5</v>
      </c>
    </row>
    <row r="31" spans="1:17" ht="14.4" customHeight="1" x14ac:dyDescent="0.3">
      <c r="A31" s="541" t="s">
        <v>1379</v>
      </c>
      <c r="B31" s="542" t="s">
        <v>192</v>
      </c>
      <c r="C31" s="542" t="s">
        <v>1259</v>
      </c>
      <c r="D31" s="542" t="s">
        <v>1264</v>
      </c>
      <c r="E31" s="542" t="s">
        <v>1265</v>
      </c>
      <c r="F31" s="559"/>
      <c r="G31" s="559"/>
      <c r="H31" s="559"/>
      <c r="I31" s="559"/>
      <c r="J31" s="559">
        <v>3</v>
      </c>
      <c r="K31" s="559">
        <v>5115</v>
      </c>
      <c r="L31" s="559"/>
      <c r="M31" s="559">
        <v>1705</v>
      </c>
      <c r="N31" s="559">
        <v>5</v>
      </c>
      <c r="O31" s="559">
        <v>8558</v>
      </c>
      <c r="P31" s="547"/>
      <c r="Q31" s="560">
        <v>1711.6</v>
      </c>
    </row>
    <row r="32" spans="1:17" ht="14.4" customHeight="1" x14ac:dyDescent="0.3">
      <c r="A32" s="541" t="s">
        <v>1379</v>
      </c>
      <c r="B32" s="542" t="s">
        <v>192</v>
      </c>
      <c r="C32" s="542" t="s">
        <v>1259</v>
      </c>
      <c r="D32" s="542" t="s">
        <v>1270</v>
      </c>
      <c r="E32" s="542" t="s">
        <v>1271</v>
      </c>
      <c r="F32" s="559"/>
      <c r="G32" s="559"/>
      <c r="H32" s="559"/>
      <c r="I32" s="559"/>
      <c r="J32" s="559">
        <v>1</v>
      </c>
      <c r="K32" s="559">
        <v>327</v>
      </c>
      <c r="L32" s="559"/>
      <c r="M32" s="559">
        <v>327</v>
      </c>
      <c r="N32" s="559">
        <v>2</v>
      </c>
      <c r="O32" s="559">
        <v>654</v>
      </c>
      <c r="P32" s="547"/>
      <c r="Q32" s="560">
        <v>327</v>
      </c>
    </row>
    <row r="33" spans="1:17" ht="14.4" customHeight="1" x14ac:dyDescent="0.3">
      <c r="A33" s="541" t="s">
        <v>1379</v>
      </c>
      <c r="B33" s="542" t="s">
        <v>192</v>
      </c>
      <c r="C33" s="542" t="s">
        <v>1259</v>
      </c>
      <c r="D33" s="542" t="s">
        <v>1280</v>
      </c>
      <c r="E33" s="542" t="s">
        <v>1281</v>
      </c>
      <c r="F33" s="559"/>
      <c r="G33" s="559"/>
      <c r="H33" s="559"/>
      <c r="I33" s="559"/>
      <c r="J33" s="559">
        <v>1</v>
      </c>
      <c r="K33" s="559">
        <v>645</v>
      </c>
      <c r="L33" s="559"/>
      <c r="M33" s="559">
        <v>645</v>
      </c>
      <c r="N33" s="559">
        <v>4</v>
      </c>
      <c r="O33" s="559">
        <v>2598</v>
      </c>
      <c r="P33" s="547"/>
      <c r="Q33" s="560">
        <v>649.5</v>
      </c>
    </row>
    <row r="34" spans="1:17" ht="14.4" customHeight="1" x14ac:dyDescent="0.3">
      <c r="A34" s="541" t="s">
        <v>1379</v>
      </c>
      <c r="B34" s="542" t="s">
        <v>1298</v>
      </c>
      <c r="C34" s="542" t="s">
        <v>1259</v>
      </c>
      <c r="D34" s="542" t="s">
        <v>1284</v>
      </c>
      <c r="E34" s="542" t="s">
        <v>1285</v>
      </c>
      <c r="F34" s="559"/>
      <c r="G34" s="559"/>
      <c r="H34" s="559"/>
      <c r="I34" s="559"/>
      <c r="J34" s="559">
        <v>2</v>
      </c>
      <c r="K34" s="559">
        <v>1160</v>
      </c>
      <c r="L34" s="559"/>
      <c r="M34" s="559">
        <v>580</v>
      </c>
      <c r="N34" s="559">
        <v>6</v>
      </c>
      <c r="O34" s="559">
        <v>3492</v>
      </c>
      <c r="P34" s="547"/>
      <c r="Q34" s="560">
        <v>582</v>
      </c>
    </row>
    <row r="35" spans="1:17" ht="14.4" customHeight="1" x14ac:dyDescent="0.3">
      <c r="A35" s="541" t="s">
        <v>1379</v>
      </c>
      <c r="B35" s="542" t="s">
        <v>1307</v>
      </c>
      <c r="C35" s="542" t="s">
        <v>1259</v>
      </c>
      <c r="D35" s="542" t="s">
        <v>1272</v>
      </c>
      <c r="E35" s="542" t="s">
        <v>1273</v>
      </c>
      <c r="F35" s="559"/>
      <c r="G35" s="559"/>
      <c r="H35" s="559"/>
      <c r="I35" s="559"/>
      <c r="J35" s="559">
        <v>1</v>
      </c>
      <c r="K35" s="559">
        <v>0</v>
      </c>
      <c r="L35" s="559"/>
      <c r="M35" s="559">
        <v>0</v>
      </c>
      <c r="N35" s="559">
        <v>1</v>
      </c>
      <c r="O35" s="559">
        <v>0</v>
      </c>
      <c r="P35" s="547"/>
      <c r="Q35" s="560">
        <v>0</v>
      </c>
    </row>
    <row r="36" spans="1:17" ht="14.4" customHeight="1" x14ac:dyDescent="0.3">
      <c r="A36" s="541" t="s">
        <v>1380</v>
      </c>
      <c r="B36" s="542" t="s">
        <v>1298</v>
      </c>
      <c r="C36" s="542" t="s">
        <v>1259</v>
      </c>
      <c r="D36" s="542" t="s">
        <v>1301</v>
      </c>
      <c r="E36" s="542" t="s">
        <v>1302</v>
      </c>
      <c r="F36" s="559"/>
      <c r="G36" s="559"/>
      <c r="H36" s="559"/>
      <c r="I36" s="559"/>
      <c r="J36" s="559"/>
      <c r="K36" s="559"/>
      <c r="L36" s="559"/>
      <c r="M36" s="559"/>
      <c r="N36" s="559">
        <v>1</v>
      </c>
      <c r="O36" s="559">
        <v>946</v>
      </c>
      <c r="P36" s="547"/>
      <c r="Q36" s="560">
        <v>946</v>
      </c>
    </row>
    <row r="37" spans="1:17" ht="14.4" customHeight="1" x14ac:dyDescent="0.3">
      <c r="A37" s="541" t="s">
        <v>1381</v>
      </c>
      <c r="B37" s="542" t="s">
        <v>192</v>
      </c>
      <c r="C37" s="542" t="s">
        <v>1259</v>
      </c>
      <c r="D37" s="542" t="s">
        <v>1262</v>
      </c>
      <c r="E37" s="542" t="s">
        <v>1263</v>
      </c>
      <c r="F37" s="559"/>
      <c r="G37" s="559"/>
      <c r="H37" s="559"/>
      <c r="I37" s="559"/>
      <c r="J37" s="559">
        <v>1</v>
      </c>
      <c r="K37" s="559">
        <v>130</v>
      </c>
      <c r="L37" s="559"/>
      <c r="M37" s="559">
        <v>130</v>
      </c>
      <c r="N37" s="559"/>
      <c r="O37" s="559"/>
      <c r="P37" s="547"/>
      <c r="Q37" s="560"/>
    </row>
    <row r="38" spans="1:17" ht="14.4" customHeight="1" x14ac:dyDescent="0.3">
      <c r="A38" s="541" t="s">
        <v>1381</v>
      </c>
      <c r="B38" s="542" t="s">
        <v>192</v>
      </c>
      <c r="C38" s="542" t="s">
        <v>1259</v>
      </c>
      <c r="D38" s="542" t="s">
        <v>1264</v>
      </c>
      <c r="E38" s="542" t="s">
        <v>1265</v>
      </c>
      <c r="F38" s="559"/>
      <c r="G38" s="559"/>
      <c r="H38" s="559"/>
      <c r="I38" s="559"/>
      <c r="J38" s="559">
        <v>1</v>
      </c>
      <c r="K38" s="559">
        <v>1705</v>
      </c>
      <c r="L38" s="559"/>
      <c r="M38" s="559">
        <v>1705</v>
      </c>
      <c r="N38" s="559"/>
      <c r="O38" s="559"/>
      <c r="P38" s="547"/>
      <c r="Q38" s="560"/>
    </row>
    <row r="39" spans="1:17" ht="14.4" customHeight="1" thickBot="1" x14ac:dyDescent="0.35">
      <c r="A39" s="549" t="s">
        <v>1381</v>
      </c>
      <c r="B39" s="550" t="s">
        <v>192</v>
      </c>
      <c r="C39" s="550" t="s">
        <v>1259</v>
      </c>
      <c r="D39" s="550" t="s">
        <v>1280</v>
      </c>
      <c r="E39" s="550" t="s">
        <v>1281</v>
      </c>
      <c r="F39" s="561"/>
      <c r="G39" s="561"/>
      <c r="H39" s="561"/>
      <c r="I39" s="561"/>
      <c r="J39" s="561">
        <v>1</v>
      </c>
      <c r="K39" s="561">
        <v>645</v>
      </c>
      <c r="L39" s="561"/>
      <c r="M39" s="561">
        <v>645</v>
      </c>
      <c r="N39" s="561"/>
      <c r="O39" s="561"/>
      <c r="P39" s="555"/>
      <c r="Q39" s="562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25" t="s">
        <v>138</v>
      </c>
      <c r="B1" s="325"/>
      <c r="C1" s="325"/>
      <c r="D1" s="325"/>
      <c r="E1" s="325"/>
      <c r="F1" s="325"/>
      <c r="G1" s="326"/>
      <c r="H1" s="326"/>
    </row>
    <row r="2" spans="1:8" ht="14.4" customHeight="1" thickBot="1" x14ac:dyDescent="0.35">
      <c r="A2" s="235" t="s">
        <v>281</v>
      </c>
      <c r="B2" s="111"/>
      <c r="C2" s="111"/>
      <c r="D2" s="111"/>
      <c r="E2" s="111"/>
      <c r="F2" s="111"/>
    </row>
    <row r="3" spans="1:8" ht="14.4" customHeight="1" x14ac:dyDescent="0.3">
      <c r="A3" s="327"/>
      <c r="B3" s="107">
        <v>2012</v>
      </c>
      <c r="C3" s="40">
        <v>2013</v>
      </c>
      <c r="D3" s="7"/>
      <c r="E3" s="331">
        <v>2014</v>
      </c>
      <c r="F3" s="332"/>
      <c r="G3" s="332"/>
      <c r="H3" s="333"/>
    </row>
    <row r="4" spans="1:8" ht="14.4" customHeight="1" thickBot="1" x14ac:dyDescent="0.35">
      <c r="A4" s="328"/>
      <c r="B4" s="329" t="s">
        <v>73</v>
      </c>
      <c r="C4" s="330"/>
      <c r="D4" s="7"/>
      <c r="E4" s="128" t="s">
        <v>73</v>
      </c>
      <c r="F4" s="109" t="s">
        <v>74</v>
      </c>
      <c r="G4" s="109" t="s">
        <v>68</v>
      </c>
      <c r="H4" s="110" t="s">
        <v>75</v>
      </c>
    </row>
    <row r="5" spans="1:8" ht="14.4" customHeight="1" x14ac:dyDescent="0.3">
      <c r="A5" s="112" t="str">
        <f>HYPERLINK("#'Léky Žádanky'!A1","Léky (Kč)")</f>
        <v>Léky (Kč)</v>
      </c>
      <c r="B5" s="27">
        <v>14.956</v>
      </c>
      <c r="C5" s="29">
        <v>3.5531899999990002</v>
      </c>
      <c r="D5" s="8"/>
      <c r="E5" s="117">
        <v>1.6068500000000001</v>
      </c>
      <c r="F5" s="28">
        <v>3.4716136342789996</v>
      </c>
      <c r="G5" s="116">
        <f>E5-F5</f>
        <v>-1.8647636342789995</v>
      </c>
      <c r="H5" s="122">
        <f>IF(F5&lt;0.00000001,"",E5/F5)</f>
        <v>0.46285392594781588</v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19.33745</v>
      </c>
      <c r="C6" s="31">
        <v>26.964089999999999</v>
      </c>
      <c r="D6" s="8"/>
      <c r="E6" s="118">
        <v>23.153539999999996</v>
      </c>
      <c r="F6" s="30">
        <v>26.975640841493998</v>
      </c>
      <c r="G6" s="119">
        <f>E6-F6</f>
        <v>-3.8221008414940023</v>
      </c>
      <c r="H6" s="123">
        <f>IF(F6&lt;0.00000001,"",E6/F6)</f>
        <v>0.85831288072256517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4861.6760400000003</v>
      </c>
      <c r="C7" s="31">
        <v>5042.8323900000032</v>
      </c>
      <c r="D7" s="8"/>
      <c r="E7" s="118">
        <v>4996.8787800000027</v>
      </c>
      <c r="F7" s="30">
        <v>4712.0232800296599</v>
      </c>
      <c r="G7" s="119">
        <f>E7-F7</f>
        <v>284.85549997034286</v>
      </c>
      <c r="H7" s="123">
        <f>IF(F7&lt;0.00000001,"",E7/F7)</f>
        <v>1.0604529059051147</v>
      </c>
    </row>
    <row r="8" spans="1:8" ht="14.4" customHeight="1" thickBot="1" x14ac:dyDescent="0.35">
      <c r="A8" s="1" t="s">
        <v>76</v>
      </c>
      <c r="B8" s="11">
        <v>840.23969999999929</v>
      </c>
      <c r="C8" s="33">
        <v>1057.8051700000008</v>
      </c>
      <c r="D8" s="8"/>
      <c r="E8" s="120">
        <v>1009.5604699999999</v>
      </c>
      <c r="F8" s="32">
        <v>884.71370485894818</v>
      </c>
      <c r="G8" s="121">
        <f>E8-F8</f>
        <v>124.84676514105172</v>
      </c>
      <c r="H8" s="124">
        <f>IF(F8&lt;0.00000001,"",E8/F8)</f>
        <v>1.1411154415890463</v>
      </c>
    </row>
    <row r="9" spans="1:8" ht="14.4" customHeight="1" thickBot="1" x14ac:dyDescent="0.35">
      <c r="A9" s="2" t="s">
        <v>77</v>
      </c>
      <c r="B9" s="3">
        <v>5736.2091899999996</v>
      </c>
      <c r="C9" s="35">
        <v>6131.1548400000029</v>
      </c>
      <c r="D9" s="8"/>
      <c r="E9" s="3">
        <v>6031.1996400000025</v>
      </c>
      <c r="F9" s="34">
        <v>5627.184239364381</v>
      </c>
      <c r="G9" s="34">
        <f>E9-F9</f>
        <v>404.01540063562152</v>
      </c>
      <c r="H9" s="125">
        <f>IF(F9&lt;0.00000001,"",E9/F9)</f>
        <v>1.071797080644592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1567.1020000000001</v>
      </c>
      <c r="C11" s="29">
        <f>IF(ISERROR(VLOOKUP("Celkem:",'ZV Vykáz.-A'!A:F,4,0)),0,VLOOKUP("Celkem:",'ZV Vykáz.-A'!A:F,4,0)/1000)</f>
        <v>1896.951</v>
      </c>
      <c r="D11" s="8"/>
      <c r="E11" s="117">
        <f>IF(ISERROR(VLOOKUP("Celkem:",'ZV Vykáz.-A'!A:F,6,0)),0,VLOOKUP("Celkem:",'ZV Vykáz.-A'!A:F,6,0)/1000)</f>
        <v>2082.5659999999998</v>
      </c>
      <c r="F11" s="28">
        <f>B11</f>
        <v>1567.1020000000001</v>
      </c>
      <c r="G11" s="116">
        <f>E11-F11</f>
        <v>515.46399999999971</v>
      </c>
      <c r="H11" s="122">
        <f>IF(F11&lt;0.00000001,"",E11/F11)</f>
        <v>1.3289281744264252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1567.1020000000001</v>
      </c>
      <c r="C13" s="37">
        <f>SUM(C11:C12)</f>
        <v>1896.951</v>
      </c>
      <c r="D13" s="8"/>
      <c r="E13" s="5">
        <f>SUM(E11:E12)</f>
        <v>2082.5659999999998</v>
      </c>
      <c r="F13" s="36">
        <f>SUM(F11:F12)</f>
        <v>1567.1020000000001</v>
      </c>
      <c r="G13" s="36">
        <f>E13-F13</f>
        <v>515.46399999999971</v>
      </c>
      <c r="H13" s="126">
        <f>IF(F13&lt;0.00000001,"",E13/F13)</f>
        <v>1.3289281744264252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0.27319470892587866</v>
      </c>
      <c r="C15" s="39">
        <f>IF(C9=0,"",C13/C9)</f>
        <v>0.30939538300748559</v>
      </c>
      <c r="D15" s="8"/>
      <c r="E15" s="6">
        <f>IF(E9=0,"",E13/E9)</f>
        <v>0.34529880028975446</v>
      </c>
      <c r="F15" s="38">
        <f>IF(F9=0,"",F13/F9)</f>
        <v>0.2784877717415935</v>
      </c>
      <c r="G15" s="38">
        <f>IF(ISERROR(F15-E15),"",E15-F15)</f>
        <v>6.6811028548160956E-2</v>
      </c>
      <c r="H15" s="127">
        <f>IF(ISERROR(F15-E15),"",IF(F15&lt;0.00000001,"",E15/F15))</f>
        <v>1.2399065069548345</v>
      </c>
    </row>
    <row r="17" spans="1:8" ht="14.4" customHeight="1" x14ac:dyDescent="0.3">
      <c r="A17" s="113" t="s">
        <v>162</v>
      </c>
    </row>
    <row r="18" spans="1:8" ht="14.4" customHeight="1" x14ac:dyDescent="0.3">
      <c r="A18" s="288" t="s">
        <v>224</v>
      </c>
      <c r="B18" s="289"/>
      <c r="C18" s="289"/>
      <c r="D18" s="289"/>
      <c r="E18" s="289"/>
      <c r="F18" s="289"/>
      <c r="G18" s="289"/>
      <c r="H18" s="289"/>
    </row>
    <row r="19" spans="1:8" x14ac:dyDescent="0.3">
      <c r="A19" s="287" t="s">
        <v>223</v>
      </c>
      <c r="B19" s="289"/>
      <c r="C19" s="289"/>
      <c r="D19" s="289"/>
      <c r="E19" s="289"/>
      <c r="F19" s="289"/>
      <c r="G19" s="289"/>
      <c r="H19" s="289"/>
    </row>
    <row r="20" spans="1:8" ht="14.4" customHeight="1" x14ac:dyDescent="0.3">
      <c r="A20" s="114" t="s">
        <v>278</v>
      </c>
    </row>
    <row r="21" spans="1:8" ht="14.4" customHeight="1" x14ac:dyDescent="0.3">
      <c r="A21" s="114" t="s">
        <v>163</v>
      </c>
    </row>
    <row r="22" spans="1:8" ht="14.4" customHeight="1" x14ac:dyDescent="0.3">
      <c r="A22" s="115" t="s">
        <v>164</v>
      </c>
    </row>
    <row r="23" spans="1:8" ht="14.4" customHeight="1" x14ac:dyDescent="0.3">
      <c r="A23" s="115" t="s">
        <v>165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8" priority="4" operator="greaterThan">
      <formula>0</formula>
    </cfRule>
  </conditionalFormatting>
  <conditionalFormatting sqref="G11:G13 G15">
    <cfRule type="cellIs" dxfId="57" priority="3" operator="lessThan">
      <formula>0</formula>
    </cfRule>
  </conditionalFormatting>
  <conditionalFormatting sqref="H5:H9">
    <cfRule type="cellIs" dxfId="56" priority="2" operator="greaterThan">
      <formula>1</formula>
    </cfRule>
  </conditionalFormatting>
  <conditionalFormatting sqref="H11:H13 H15">
    <cfRule type="cellIs" dxfId="55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25" t="s">
        <v>105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</row>
    <row r="2" spans="1:13" ht="14.4" customHeight="1" x14ac:dyDescent="0.3">
      <c r="A2" s="235" t="s">
        <v>281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9"/>
      <c r="B3" s="200" t="s">
        <v>82</v>
      </c>
      <c r="C3" s="201" t="s">
        <v>83</v>
      </c>
      <c r="D3" s="201" t="s">
        <v>84</v>
      </c>
      <c r="E3" s="200" t="s">
        <v>85</v>
      </c>
      <c r="F3" s="201" t="s">
        <v>86</v>
      </c>
      <c r="G3" s="201" t="s">
        <v>87</v>
      </c>
      <c r="H3" s="201" t="s">
        <v>88</v>
      </c>
      <c r="I3" s="201" t="s">
        <v>89</v>
      </c>
      <c r="J3" s="201" t="s">
        <v>90</v>
      </c>
      <c r="K3" s="201" t="s">
        <v>91</v>
      </c>
      <c r="L3" s="201" t="s">
        <v>92</v>
      </c>
      <c r="M3" s="201" t="s">
        <v>93</v>
      </c>
    </row>
    <row r="4" spans="1:13" ht="14.4" customHeight="1" x14ac:dyDescent="0.3">
      <c r="A4" s="199" t="s">
        <v>81</v>
      </c>
      <c r="B4" s="202">
        <f>(B10+B8)/B6</f>
        <v>0.45544780501348031</v>
      </c>
      <c r="C4" s="202">
        <f t="shared" ref="C4:M4" si="0">(C10+C8)/C6</f>
        <v>0.43604974901892196</v>
      </c>
      <c r="D4" s="202">
        <f t="shared" si="0"/>
        <v>0.41797971420677321</v>
      </c>
      <c r="E4" s="202">
        <f t="shared" si="0"/>
        <v>0.41615853606500552</v>
      </c>
      <c r="F4" s="202">
        <f t="shared" si="0"/>
        <v>0.41934207057598377</v>
      </c>
      <c r="G4" s="202">
        <f t="shared" si="0"/>
        <v>0.42489922696494581</v>
      </c>
      <c r="H4" s="202">
        <f t="shared" si="0"/>
        <v>0.37836849006530088</v>
      </c>
      <c r="I4" s="202">
        <f t="shared" si="0"/>
        <v>0.36750954514327799</v>
      </c>
      <c r="J4" s="202">
        <f t="shared" si="0"/>
        <v>0.36514902621308087</v>
      </c>
      <c r="K4" s="202">
        <f t="shared" si="0"/>
        <v>0.35945188564941588</v>
      </c>
      <c r="L4" s="202">
        <f t="shared" si="0"/>
        <v>0.3526649096588943</v>
      </c>
      <c r="M4" s="202">
        <f t="shared" si="0"/>
        <v>0.34529880028975457</v>
      </c>
    </row>
    <row r="5" spans="1:13" ht="14.4" customHeight="1" x14ac:dyDescent="0.3">
      <c r="A5" s="203" t="s">
        <v>53</v>
      </c>
      <c r="B5" s="202">
        <f>IF(ISERROR(VLOOKUP($A5,'Man Tab'!$A:$Q,COLUMN()+2,0)),0,VLOOKUP($A5,'Man Tab'!$A:$Q,COLUMN()+2,0))</f>
        <v>453.25062000000202</v>
      </c>
      <c r="C5" s="202">
        <f>IF(ISERROR(VLOOKUP($A5,'Man Tab'!$A:$Q,COLUMN()+2,0)),0,VLOOKUP($A5,'Man Tab'!$A:$Q,COLUMN()+2,0))</f>
        <v>436.15706999999998</v>
      </c>
      <c r="D5" s="202">
        <f>IF(ISERROR(VLOOKUP($A5,'Man Tab'!$A:$Q,COLUMN()+2,0)),0,VLOOKUP($A5,'Man Tab'!$A:$Q,COLUMN()+2,0))</f>
        <v>511.03348</v>
      </c>
      <c r="E5" s="202">
        <f>IF(ISERROR(VLOOKUP($A5,'Man Tab'!$A:$Q,COLUMN()+2,0)),0,VLOOKUP($A5,'Man Tab'!$A:$Q,COLUMN()+2,0))</f>
        <v>445.13914</v>
      </c>
      <c r="F5" s="202">
        <f>IF(ISERROR(VLOOKUP($A5,'Man Tab'!$A:$Q,COLUMN()+2,0)),0,VLOOKUP($A5,'Man Tab'!$A:$Q,COLUMN()+2,0))</f>
        <v>467.00664</v>
      </c>
      <c r="G5" s="202">
        <f>IF(ISERROR(VLOOKUP($A5,'Man Tab'!$A:$Q,COLUMN()+2,0)),0,VLOOKUP($A5,'Man Tab'!$A:$Q,COLUMN()+2,0))</f>
        <v>457.61342999999999</v>
      </c>
      <c r="H5" s="202">
        <f>IF(ISERROR(VLOOKUP($A5,'Man Tab'!$A:$Q,COLUMN()+2,0)),0,VLOOKUP($A5,'Man Tab'!$A:$Q,COLUMN()+2,0))</f>
        <v>792.18136000000004</v>
      </c>
      <c r="I5" s="202">
        <f>IF(ISERROR(VLOOKUP($A5,'Man Tab'!$A:$Q,COLUMN()+2,0)),0,VLOOKUP($A5,'Man Tab'!$A:$Q,COLUMN()+2,0))</f>
        <v>442.11288999999999</v>
      </c>
      <c r="J5" s="202">
        <f>IF(ISERROR(VLOOKUP($A5,'Man Tab'!$A:$Q,COLUMN()+2,0)),0,VLOOKUP($A5,'Man Tab'!$A:$Q,COLUMN()+2,0))</f>
        <v>400.79714000000001</v>
      </c>
      <c r="K5" s="202">
        <f>IF(ISERROR(VLOOKUP($A5,'Man Tab'!$A:$Q,COLUMN()+2,0)),0,VLOOKUP($A5,'Man Tab'!$A:$Q,COLUMN()+2,0))</f>
        <v>380.74238000000003</v>
      </c>
      <c r="L5" s="202">
        <f>IF(ISERROR(VLOOKUP($A5,'Man Tab'!$A:$Q,COLUMN()+2,0)),0,VLOOKUP($A5,'Man Tab'!$A:$Q,COLUMN()+2,0))</f>
        <v>605.69308999999998</v>
      </c>
      <c r="M5" s="202">
        <f>IF(ISERROR(VLOOKUP($A5,'Man Tab'!$A:$Q,COLUMN()+2,0)),0,VLOOKUP($A5,'Man Tab'!$A:$Q,COLUMN()+2,0))</f>
        <v>639.47239999999999</v>
      </c>
    </row>
    <row r="6" spans="1:13" ht="14.4" customHeight="1" x14ac:dyDescent="0.3">
      <c r="A6" s="203" t="s">
        <v>77</v>
      </c>
      <c r="B6" s="204">
        <f>B5</f>
        <v>453.25062000000202</v>
      </c>
      <c r="C6" s="204">
        <f t="shared" ref="C6:M6" si="1">C5+B6</f>
        <v>889.40769000000205</v>
      </c>
      <c r="D6" s="204">
        <f t="shared" si="1"/>
        <v>1400.4411700000021</v>
      </c>
      <c r="E6" s="204">
        <f t="shared" si="1"/>
        <v>1845.5803100000021</v>
      </c>
      <c r="F6" s="204">
        <f t="shared" si="1"/>
        <v>2312.5869500000022</v>
      </c>
      <c r="G6" s="204">
        <f t="shared" si="1"/>
        <v>2770.200380000002</v>
      </c>
      <c r="H6" s="204">
        <f t="shared" si="1"/>
        <v>3562.3817400000021</v>
      </c>
      <c r="I6" s="204">
        <f t="shared" si="1"/>
        <v>4004.494630000002</v>
      </c>
      <c r="J6" s="204">
        <f t="shared" si="1"/>
        <v>4405.2917700000016</v>
      </c>
      <c r="K6" s="204">
        <f t="shared" si="1"/>
        <v>4786.0341500000013</v>
      </c>
      <c r="L6" s="204">
        <f t="shared" si="1"/>
        <v>5391.7272400000011</v>
      </c>
      <c r="M6" s="204">
        <f t="shared" si="1"/>
        <v>6031.1996400000007</v>
      </c>
    </row>
    <row r="7" spans="1:13" ht="14.4" customHeight="1" x14ac:dyDescent="0.3">
      <c r="A7" s="203" t="s">
        <v>103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</row>
    <row r="8" spans="1:13" ht="14.4" customHeight="1" x14ac:dyDescent="0.3">
      <c r="A8" s="203" t="s">
        <v>78</v>
      </c>
      <c r="B8" s="204">
        <f>B7*30</f>
        <v>0</v>
      </c>
      <c r="C8" s="204">
        <f t="shared" ref="C8:M8" si="2">C7*30</f>
        <v>0</v>
      </c>
      <c r="D8" s="204">
        <f t="shared" si="2"/>
        <v>0</v>
      </c>
      <c r="E8" s="204">
        <f t="shared" si="2"/>
        <v>0</v>
      </c>
      <c r="F8" s="204">
        <f t="shared" si="2"/>
        <v>0</v>
      </c>
      <c r="G8" s="204">
        <f t="shared" si="2"/>
        <v>0</v>
      </c>
      <c r="H8" s="204">
        <f t="shared" si="2"/>
        <v>0</v>
      </c>
      <c r="I8" s="204">
        <f t="shared" si="2"/>
        <v>0</v>
      </c>
      <c r="J8" s="204">
        <f t="shared" si="2"/>
        <v>0</v>
      </c>
      <c r="K8" s="204">
        <f t="shared" si="2"/>
        <v>0</v>
      </c>
      <c r="L8" s="204">
        <f t="shared" si="2"/>
        <v>0</v>
      </c>
      <c r="M8" s="204">
        <f t="shared" si="2"/>
        <v>0</v>
      </c>
    </row>
    <row r="9" spans="1:13" ht="14.4" customHeight="1" x14ac:dyDescent="0.3">
      <c r="A9" s="203" t="s">
        <v>104</v>
      </c>
      <c r="B9" s="203">
        <v>206432</v>
      </c>
      <c r="C9" s="203">
        <v>181394</v>
      </c>
      <c r="D9" s="203">
        <v>197530</v>
      </c>
      <c r="E9" s="203">
        <v>182698</v>
      </c>
      <c r="F9" s="203">
        <v>201711</v>
      </c>
      <c r="G9" s="203">
        <v>207291</v>
      </c>
      <c r="H9" s="203">
        <v>170837</v>
      </c>
      <c r="I9" s="203">
        <v>123797</v>
      </c>
      <c r="J9" s="203">
        <v>136898</v>
      </c>
      <c r="K9" s="203">
        <v>111761</v>
      </c>
      <c r="L9" s="203">
        <v>181124</v>
      </c>
      <c r="M9" s="203">
        <v>181093</v>
      </c>
    </row>
    <row r="10" spans="1:13" ht="14.4" customHeight="1" x14ac:dyDescent="0.3">
      <c r="A10" s="203" t="s">
        <v>79</v>
      </c>
      <c r="B10" s="204">
        <f>B9/1000</f>
        <v>206.43199999999999</v>
      </c>
      <c r="C10" s="204">
        <f t="shared" ref="C10:M10" si="3">C9/1000+B10</f>
        <v>387.82600000000002</v>
      </c>
      <c r="D10" s="204">
        <f t="shared" si="3"/>
        <v>585.35599999999999</v>
      </c>
      <c r="E10" s="204">
        <f t="shared" si="3"/>
        <v>768.05399999999997</v>
      </c>
      <c r="F10" s="204">
        <f t="shared" si="3"/>
        <v>969.76499999999999</v>
      </c>
      <c r="G10" s="204">
        <f t="shared" si="3"/>
        <v>1177.056</v>
      </c>
      <c r="H10" s="204">
        <f t="shared" si="3"/>
        <v>1347.893</v>
      </c>
      <c r="I10" s="204">
        <f t="shared" si="3"/>
        <v>1471.69</v>
      </c>
      <c r="J10" s="204">
        <f t="shared" si="3"/>
        <v>1608.588</v>
      </c>
      <c r="K10" s="204">
        <f t="shared" si="3"/>
        <v>1720.3489999999999</v>
      </c>
      <c r="L10" s="204">
        <f t="shared" si="3"/>
        <v>1901.473</v>
      </c>
      <c r="M10" s="204">
        <f t="shared" si="3"/>
        <v>2082.5659999999998</v>
      </c>
    </row>
    <row r="11" spans="1:13" ht="14.4" customHeight="1" x14ac:dyDescent="0.3">
      <c r="A11" s="199"/>
      <c r="B11" s="199" t="s">
        <v>94</v>
      </c>
      <c r="C11" s="199">
        <f ca="1">IF(MONTH(TODAY())=1,12,MONTH(TODAY())-1)</f>
        <v>12</v>
      </c>
      <c r="D11" s="199"/>
      <c r="E11" s="199"/>
      <c r="F11" s="199"/>
      <c r="G11" s="199"/>
      <c r="H11" s="199"/>
      <c r="I11" s="199"/>
      <c r="J11" s="199"/>
      <c r="K11" s="199"/>
      <c r="L11" s="199"/>
      <c r="M11" s="199"/>
    </row>
    <row r="12" spans="1:13" ht="14.4" customHeight="1" x14ac:dyDescent="0.3">
      <c r="A12" s="199">
        <v>0</v>
      </c>
      <c r="B12" s="202">
        <f>IF(ISERROR(HI!F15),#REF!,HI!F15)</f>
        <v>0.2784877717415935</v>
      </c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</row>
    <row r="13" spans="1:13" ht="14.4" customHeight="1" x14ac:dyDescent="0.3">
      <c r="A13" s="199">
        <v>1</v>
      </c>
      <c r="B13" s="202">
        <f>IF(ISERROR(HI!F15),#REF!,HI!F15)</f>
        <v>0.2784877717415935</v>
      </c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5" customFormat="1" ht="18.600000000000001" customHeight="1" thickBot="1" x14ac:dyDescent="0.4">
      <c r="A1" s="334" t="s">
        <v>283</v>
      </c>
      <c r="B1" s="334"/>
      <c r="C1" s="334"/>
      <c r="D1" s="334"/>
      <c r="E1" s="334"/>
      <c r="F1" s="334"/>
      <c r="G1" s="334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s="205" customFormat="1" ht="14.4" customHeight="1" thickBot="1" x14ac:dyDescent="0.3">
      <c r="A2" s="235" t="s">
        <v>281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</row>
    <row r="3" spans="1:17" ht="14.4" customHeight="1" x14ac:dyDescent="0.3">
      <c r="A3" s="76"/>
      <c r="B3" s="335" t="s">
        <v>29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138"/>
      <c r="Q3" s="140"/>
    </row>
    <row r="4" spans="1:17" ht="14.4" customHeight="1" x14ac:dyDescent="0.3">
      <c r="A4" s="77"/>
      <c r="B4" s="20">
        <v>2014</v>
      </c>
      <c r="C4" s="139" t="s">
        <v>30</v>
      </c>
      <c r="D4" s="129" t="s">
        <v>168</v>
      </c>
      <c r="E4" s="129" t="s">
        <v>169</v>
      </c>
      <c r="F4" s="129" t="s">
        <v>170</v>
      </c>
      <c r="G4" s="129" t="s">
        <v>171</v>
      </c>
      <c r="H4" s="129" t="s">
        <v>172</v>
      </c>
      <c r="I4" s="129" t="s">
        <v>173</v>
      </c>
      <c r="J4" s="129" t="s">
        <v>174</v>
      </c>
      <c r="K4" s="129" t="s">
        <v>175</v>
      </c>
      <c r="L4" s="129" t="s">
        <v>176</v>
      </c>
      <c r="M4" s="129" t="s">
        <v>177</v>
      </c>
      <c r="N4" s="129" t="s">
        <v>178</v>
      </c>
      <c r="O4" s="129" t="s">
        <v>179</v>
      </c>
      <c r="P4" s="337" t="s">
        <v>3</v>
      </c>
      <c r="Q4" s="338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282</v>
      </c>
    </row>
    <row r="7" spans="1:17" ht="14.4" customHeight="1" x14ac:dyDescent="0.3">
      <c r="A7" s="15" t="s">
        <v>35</v>
      </c>
      <c r="B7" s="51">
        <v>3.471613634279</v>
      </c>
      <c r="C7" s="52">
        <v>0.289301136189</v>
      </c>
      <c r="D7" s="52">
        <v>5.8970000000000002E-2</v>
      </c>
      <c r="E7" s="52">
        <v>0.16914000000000001</v>
      </c>
      <c r="F7" s="52">
        <v>0</v>
      </c>
      <c r="G7" s="52">
        <v>5.2810000000000003E-2</v>
      </c>
      <c r="H7" s="52">
        <v>0</v>
      </c>
      <c r="I7" s="52">
        <v>0.30417</v>
      </c>
      <c r="J7" s="52">
        <v>0</v>
      </c>
      <c r="K7" s="52">
        <v>0.18198</v>
      </c>
      <c r="L7" s="52">
        <v>0.25675999999999999</v>
      </c>
      <c r="M7" s="52">
        <v>0.47513</v>
      </c>
      <c r="N7" s="52">
        <v>0.10789</v>
      </c>
      <c r="O7" s="52">
        <v>0</v>
      </c>
      <c r="P7" s="53">
        <v>1.6068499999999999</v>
      </c>
      <c r="Q7" s="95">
        <v>0.46285392594699998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282</v>
      </c>
    </row>
    <row r="9" spans="1:17" ht="14.4" customHeight="1" x14ac:dyDescent="0.3">
      <c r="A9" s="15" t="s">
        <v>37</v>
      </c>
      <c r="B9" s="51">
        <v>26.975640841495</v>
      </c>
      <c r="C9" s="52">
        <v>2.247970070124</v>
      </c>
      <c r="D9" s="52">
        <v>0.50244999999999995</v>
      </c>
      <c r="E9" s="52">
        <v>0.54900000000000004</v>
      </c>
      <c r="F9" s="52">
        <v>2.1320100000000002</v>
      </c>
      <c r="G9" s="52">
        <v>0.93677999999999995</v>
      </c>
      <c r="H9" s="52">
        <v>0.59289999999999998</v>
      </c>
      <c r="I9" s="52">
        <v>0.83896000000000004</v>
      </c>
      <c r="J9" s="52">
        <v>0.59289999999999998</v>
      </c>
      <c r="K9" s="52">
        <v>5.8079999999999998</v>
      </c>
      <c r="L9" s="52">
        <v>2.2002600000000001</v>
      </c>
      <c r="M9" s="52">
        <v>2.2349399999999999</v>
      </c>
      <c r="N9" s="52">
        <v>4.7633799999999997</v>
      </c>
      <c r="O9" s="52">
        <v>2.00196</v>
      </c>
      <c r="P9" s="53">
        <v>23.15354</v>
      </c>
      <c r="Q9" s="95">
        <v>0.85831288072199996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0.16636999999999999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0.16636999999999999</v>
      </c>
      <c r="Q10" s="95" t="s">
        <v>282</v>
      </c>
    </row>
    <row r="11" spans="1:17" ht="14.4" customHeight="1" x14ac:dyDescent="0.3">
      <c r="A11" s="15" t="s">
        <v>39</v>
      </c>
      <c r="B11" s="51">
        <v>52.073316944585997</v>
      </c>
      <c r="C11" s="52">
        <v>4.339443078715</v>
      </c>
      <c r="D11" s="52">
        <v>1.0297700000000001</v>
      </c>
      <c r="E11" s="52">
        <v>1.97522</v>
      </c>
      <c r="F11" s="52">
        <v>0.75412999999999997</v>
      </c>
      <c r="G11" s="52">
        <v>4.6544100000000004</v>
      </c>
      <c r="H11" s="52">
        <v>1.88093</v>
      </c>
      <c r="I11" s="52">
        <v>4.9137300000000002</v>
      </c>
      <c r="J11" s="52">
        <v>0.27332000000000001</v>
      </c>
      <c r="K11" s="52">
        <v>3.9666800000000002</v>
      </c>
      <c r="L11" s="52">
        <v>5.5663400000000003</v>
      </c>
      <c r="M11" s="52">
        <v>3.6665700000000001</v>
      </c>
      <c r="N11" s="52">
        <v>3.17232</v>
      </c>
      <c r="O11" s="52">
        <v>5.3138199999999998</v>
      </c>
      <c r="P11" s="53">
        <v>37.16724</v>
      </c>
      <c r="Q11" s="95">
        <v>0.71374827225899995</v>
      </c>
    </row>
    <row r="12" spans="1:17" ht="14.4" customHeight="1" x14ac:dyDescent="0.3">
      <c r="A12" s="15" t="s">
        <v>40</v>
      </c>
      <c r="B12" s="51">
        <v>8.5904035247980008</v>
      </c>
      <c r="C12" s="52">
        <v>0.715866960399</v>
      </c>
      <c r="D12" s="52">
        <v>0</v>
      </c>
      <c r="E12" s="52">
        <v>0</v>
      </c>
      <c r="F12" s="52">
        <v>0</v>
      </c>
      <c r="G12" s="52">
        <v>0</v>
      </c>
      <c r="H12" s="52">
        <v>5.9499999999999997E-2</v>
      </c>
      <c r="I12" s="52">
        <v>0</v>
      </c>
      <c r="J12" s="52">
        <v>0.2457</v>
      </c>
      <c r="K12" s="52">
        <v>0</v>
      </c>
      <c r="L12" s="52">
        <v>5.7799999999999997E-2</v>
      </c>
      <c r="M12" s="52">
        <v>0.11899999999999999</v>
      </c>
      <c r="N12" s="52">
        <v>0</v>
      </c>
      <c r="O12" s="52">
        <v>0.20399999999999999</v>
      </c>
      <c r="P12" s="53">
        <v>0.68600000000000005</v>
      </c>
      <c r="Q12" s="95">
        <v>7.9856551326999994E-2</v>
      </c>
    </row>
    <row r="13" spans="1:17" ht="14.4" customHeight="1" x14ac:dyDescent="0.3">
      <c r="A13" s="15" t="s">
        <v>41</v>
      </c>
      <c r="B13" s="51">
        <v>4.4367895263510002</v>
      </c>
      <c r="C13" s="52">
        <v>0.369732460529</v>
      </c>
      <c r="D13" s="52">
        <v>0</v>
      </c>
      <c r="E13" s="52">
        <v>0</v>
      </c>
      <c r="F13" s="52">
        <v>0</v>
      </c>
      <c r="G13" s="52">
        <v>0</v>
      </c>
      <c r="H13" s="52">
        <v>1.38811</v>
      </c>
      <c r="I13" s="52">
        <v>0.35089999999999999</v>
      </c>
      <c r="J13" s="52">
        <v>0.31218000000000001</v>
      </c>
      <c r="K13" s="52">
        <v>0</v>
      </c>
      <c r="L13" s="52">
        <v>1.38811</v>
      </c>
      <c r="M13" s="52">
        <v>0</v>
      </c>
      <c r="N13" s="52">
        <v>0.93654000000000004</v>
      </c>
      <c r="O13" s="52">
        <v>0.17351</v>
      </c>
      <c r="P13" s="53">
        <v>4.5493499999999996</v>
      </c>
      <c r="Q13" s="95">
        <v>1.0253698024160001</v>
      </c>
    </row>
    <row r="14" spans="1:17" ht="14.4" customHeight="1" x14ac:dyDescent="0.3">
      <c r="A14" s="15" t="s">
        <v>42</v>
      </c>
      <c r="B14" s="51">
        <v>193.44600833148499</v>
      </c>
      <c r="C14" s="52">
        <v>16.120500694290001</v>
      </c>
      <c r="D14" s="52">
        <v>19.218</v>
      </c>
      <c r="E14" s="52">
        <v>15.991</v>
      </c>
      <c r="F14" s="52">
        <v>14.834</v>
      </c>
      <c r="G14" s="52">
        <v>14.234999999999999</v>
      </c>
      <c r="H14" s="52">
        <v>12.53</v>
      </c>
      <c r="I14" s="52">
        <v>12.563000000000001</v>
      </c>
      <c r="J14" s="52">
        <v>11.999000000000001</v>
      </c>
      <c r="K14" s="52">
        <v>11.042999999999999</v>
      </c>
      <c r="L14" s="52">
        <v>11.962</v>
      </c>
      <c r="M14" s="52">
        <v>14.722</v>
      </c>
      <c r="N14" s="52">
        <v>15.106</v>
      </c>
      <c r="O14" s="52">
        <v>17.149000000000001</v>
      </c>
      <c r="P14" s="53">
        <v>171.352</v>
      </c>
      <c r="Q14" s="95">
        <v>0.88578720997100002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282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282</v>
      </c>
    </row>
    <row r="17" spans="1:17" ht="14.4" customHeight="1" x14ac:dyDescent="0.3">
      <c r="A17" s="15" t="s">
        <v>45</v>
      </c>
      <c r="B17" s="51">
        <v>40.834261091667003</v>
      </c>
      <c r="C17" s="52">
        <v>3.4028550909719999</v>
      </c>
      <c r="D17" s="52">
        <v>0</v>
      </c>
      <c r="E17" s="52">
        <v>0.83696999999999999</v>
      </c>
      <c r="F17" s="52">
        <v>1.3364400000000001</v>
      </c>
      <c r="G17" s="52">
        <v>0.56264999999999998</v>
      </c>
      <c r="H17" s="52">
        <v>15.700760000000001</v>
      </c>
      <c r="I17" s="52">
        <v>2.9072100000000001</v>
      </c>
      <c r="J17" s="52">
        <v>36.422400000000003</v>
      </c>
      <c r="K17" s="52">
        <v>0</v>
      </c>
      <c r="L17" s="52">
        <v>24.707799999999999</v>
      </c>
      <c r="M17" s="52">
        <v>0.45495999999999998</v>
      </c>
      <c r="N17" s="52">
        <v>0</v>
      </c>
      <c r="O17" s="52">
        <v>10.07305</v>
      </c>
      <c r="P17" s="53">
        <v>93.00224</v>
      </c>
      <c r="Q17" s="95">
        <v>2.2775541301260001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1.0640000000000001</v>
      </c>
      <c r="H18" s="52">
        <v>2.367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0.16800000000000001</v>
      </c>
      <c r="O18" s="52">
        <v>0</v>
      </c>
      <c r="P18" s="53">
        <v>3.5990000000000002</v>
      </c>
      <c r="Q18" s="95" t="s">
        <v>282</v>
      </c>
    </row>
    <row r="19" spans="1:17" ht="14.4" customHeight="1" x14ac:dyDescent="0.3">
      <c r="A19" s="15" t="s">
        <v>47</v>
      </c>
      <c r="B19" s="51">
        <v>179.334077603634</v>
      </c>
      <c r="C19" s="52">
        <v>14.944506466969001</v>
      </c>
      <c r="D19" s="52">
        <v>15.09864</v>
      </c>
      <c r="E19" s="52">
        <v>4.6199700000000004</v>
      </c>
      <c r="F19" s="52">
        <v>52.965339999999998</v>
      </c>
      <c r="G19" s="52">
        <v>6.04514</v>
      </c>
      <c r="H19" s="52">
        <v>16.63496</v>
      </c>
      <c r="I19" s="52">
        <v>18.99192</v>
      </c>
      <c r="J19" s="52">
        <v>10.32375</v>
      </c>
      <c r="K19" s="52">
        <v>9.2309699999999992</v>
      </c>
      <c r="L19" s="52">
        <v>10.74962</v>
      </c>
      <c r="M19" s="52">
        <v>32.838360000000002</v>
      </c>
      <c r="N19" s="52">
        <v>12.71283</v>
      </c>
      <c r="O19" s="52">
        <v>10.041359999999999</v>
      </c>
      <c r="P19" s="53">
        <v>200.25286</v>
      </c>
      <c r="Q19" s="95">
        <v>1.116647001372</v>
      </c>
    </row>
    <row r="20" spans="1:17" ht="14.4" customHeight="1" x14ac:dyDescent="0.3">
      <c r="A20" s="15" t="s">
        <v>48</v>
      </c>
      <c r="B20" s="51">
        <v>4712.0232800296599</v>
      </c>
      <c r="C20" s="52">
        <v>392.66860666913902</v>
      </c>
      <c r="D20" s="52">
        <v>382.45229000000199</v>
      </c>
      <c r="E20" s="52">
        <v>377.78077000000002</v>
      </c>
      <c r="F20" s="52">
        <v>404.99556000000001</v>
      </c>
      <c r="G20" s="52">
        <v>381.15834999999998</v>
      </c>
      <c r="H20" s="52">
        <v>381.84848</v>
      </c>
      <c r="I20" s="52">
        <v>382.19745999999998</v>
      </c>
      <c r="J20" s="52">
        <v>610.25010999999995</v>
      </c>
      <c r="K20" s="52">
        <v>377.87826000000001</v>
      </c>
      <c r="L20" s="52">
        <v>313.03845000000001</v>
      </c>
      <c r="M20" s="52">
        <v>290.61682000000002</v>
      </c>
      <c r="N20" s="52">
        <v>534.51553000000001</v>
      </c>
      <c r="O20" s="52">
        <v>560.14670000000001</v>
      </c>
      <c r="P20" s="53">
        <v>4996.87878</v>
      </c>
      <c r="Q20" s="95">
        <v>1.0604529059050001</v>
      </c>
    </row>
    <row r="21" spans="1:17" ht="14.4" customHeight="1" x14ac:dyDescent="0.3">
      <c r="A21" s="16" t="s">
        <v>49</v>
      </c>
      <c r="B21" s="51">
        <v>405.99884783641897</v>
      </c>
      <c r="C21" s="52">
        <v>33.833237319700999</v>
      </c>
      <c r="D21" s="52">
        <v>33.798000000000002</v>
      </c>
      <c r="E21" s="52">
        <v>33.796999999999997</v>
      </c>
      <c r="F21" s="52">
        <v>33.796999999999997</v>
      </c>
      <c r="G21" s="52">
        <v>33.796999999999997</v>
      </c>
      <c r="H21" s="52">
        <v>33.796999999999997</v>
      </c>
      <c r="I21" s="52">
        <v>33.796999999999997</v>
      </c>
      <c r="J21" s="52">
        <v>33.796999999999997</v>
      </c>
      <c r="K21" s="52">
        <v>33.796999999999997</v>
      </c>
      <c r="L21" s="52">
        <v>33.796999999999997</v>
      </c>
      <c r="M21" s="52">
        <v>33.796999999999997</v>
      </c>
      <c r="N21" s="52">
        <v>33.796999999999997</v>
      </c>
      <c r="O21" s="52">
        <v>33.850999999999999</v>
      </c>
      <c r="P21" s="53">
        <v>405.61900000000003</v>
      </c>
      <c r="Q21" s="95">
        <v>0.99906441154000003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5" t="s">
        <v>282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282</v>
      </c>
    </row>
    <row r="24" spans="1:17" ht="14.4" customHeight="1" x14ac:dyDescent="0.3">
      <c r="A24" s="16" t="s">
        <v>52</v>
      </c>
      <c r="B24" s="51">
        <v>0</v>
      </c>
      <c r="C24" s="52">
        <v>5.6843418860808002E-14</v>
      </c>
      <c r="D24" s="52">
        <v>1.0925</v>
      </c>
      <c r="E24" s="52">
        <v>0.43799999999900002</v>
      </c>
      <c r="F24" s="52">
        <v>0.21899999999899999</v>
      </c>
      <c r="G24" s="52">
        <v>2.6329999999989999</v>
      </c>
      <c r="H24" s="52">
        <v>0.20699999999900001</v>
      </c>
      <c r="I24" s="52">
        <v>0.58270999999999995</v>
      </c>
      <c r="J24" s="52">
        <v>87.965000000000003</v>
      </c>
      <c r="K24" s="52">
        <v>0.20699999999900001</v>
      </c>
      <c r="L24" s="52">
        <v>-2.927</v>
      </c>
      <c r="M24" s="52">
        <v>1.817599999999</v>
      </c>
      <c r="N24" s="52">
        <v>0.41359999999899999</v>
      </c>
      <c r="O24" s="52">
        <v>0.51799999999900004</v>
      </c>
      <c r="P24" s="53">
        <v>93.166409999999004</v>
      </c>
      <c r="Q24" s="95"/>
    </row>
    <row r="25" spans="1:17" ht="14.4" customHeight="1" x14ac:dyDescent="0.3">
      <c r="A25" s="17" t="s">
        <v>53</v>
      </c>
      <c r="B25" s="54">
        <v>5627.1842393643801</v>
      </c>
      <c r="C25" s="55">
        <v>468.93201994703202</v>
      </c>
      <c r="D25" s="55">
        <v>453.25062000000202</v>
      </c>
      <c r="E25" s="55">
        <v>436.15706999999998</v>
      </c>
      <c r="F25" s="55">
        <v>511.03348</v>
      </c>
      <c r="G25" s="55">
        <v>445.13914</v>
      </c>
      <c r="H25" s="55">
        <v>467.00664</v>
      </c>
      <c r="I25" s="55">
        <v>457.61342999999999</v>
      </c>
      <c r="J25" s="55">
        <v>792.18136000000004</v>
      </c>
      <c r="K25" s="55">
        <v>442.11288999999999</v>
      </c>
      <c r="L25" s="55">
        <v>400.79714000000001</v>
      </c>
      <c r="M25" s="55">
        <v>380.74238000000003</v>
      </c>
      <c r="N25" s="55">
        <v>605.69308999999998</v>
      </c>
      <c r="O25" s="55">
        <v>639.47239999999999</v>
      </c>
      <c r="P25" s="56">
        <v>6031.1996399999998</v>
      </c>
      <c r="Q25" s="96">
        <v>1.071797080644</v>
      </c>
    </row>
    <row r="26" spans="1:17" ht="14.4" customHeight="1" x14ac:dyDescent="0.3">
      <c r="A26" s="15" t="s">
        <v>54</v>
      </c>
      <c r="B26" s="51">
        <v>855.00056705415398</v>
      </c>
      <c r="C26" s="52">
        <v>71.250047254511998</v>
      </c>
      <c r="D26" s="52">
        <v>65.680340000000001</v>
      </c>
      <c r="E26" s="52">
        <v>60.767240000000001</v>
      </c>
      <c r="F26" s="52">
        <v>68.206289999999996</v>
      </c>
      <c r="G26" s="52">
        <v>64.656729999999996</v>
      </c>
      <c r="H26" s="52">
        <v>65.973699999999994</v>
      </c>
      <c r="I26" s="52">
        <v>57.656419999999997</v>
      </c>
      <c r="J26" s="52">
        <v>114.71123</v>
      </c>
      <c r="K26" s="52">
        <v>57.959569999999999</v>
      </c>
      <c r="L26" s="52">
        <v>54.333060000000003</v>
      </c>
      <c r="M26" s="52">
        <v>60.678190000000001</v>
      </c>
      <c r="N26" s="52">
        <v>75.194100000000006</v>
      </c>
      <c r="O26" s="52">
        <v>116.75570999999999</v>
      </c>
      <c r="P26" s="53">
        <v>862.57258000000002</v>
      </c>
      <c r="Q26" s="95">
        <v>1.008856149618</v>
      </c>
    </row>
    <row r="27" spans="1:17" ht="14.4" customHeight="1" x14ac:dyDescent="0.3">
      <c r="A27" s="18" t="s">
        <v>55</v>
      </c>
      <c r="B27" s="54">
        <v>6482.1848064185397</v>
      </c>
      <c r="C27" s="55">
        <v>540.18206720154501</v>
      </c>
      <c r="D27" s="55">
        <v>518.93096000000196</v>
      </c>
      <c r="E27" s="55">
        <v>496.92430999999999</v>
      </c>
      <c r="F27" s="55">
        <v>579.23977000000002</v>
      </c>
      <c r="G27" s="55">
        <v>509.79586999999998</v>
      </c>
      <c r="H27" s="55">
        <v>532.98033999999996</v>
      </c>
      <c r="I27" s="55">
        <v>515.26985000000002</v>
      </c>
      <c r="J27" s="55">
        <v>906.89259000000004</v>
      </c>
      <c r="K27" s="55">
        <v>500.07245999999998</v>
      </c>
      <c r="L27" s="55">
        <v>455.1302</v>
      </c>
      <c r="M27" s="55">
        <v>441.42057</v>
      </c>
      <c r="N27" s="55">
        <v>680.88719000000003</v>
      </c>
      <c r="O27" s="55">
        <v>756.22811000000002</v>
      </c>
      <c r="P27" s="56">
        <v>6893.7722199999998</v>
      </c>
      <c r="Q27" s="96">
        <v>1.0634951680439999</v>
      </c>
    </row>
    <row r="28" spans="1:17" ht="14.4" customHeight="1" x14ac:dyDescent="0.3">
      <c r="A28" s="16" t="s">
        <v>56</v>
      </c>
      <c r="B28" s="51">
        <v>1127.3657507037201</v>
      </c>
      <c r="C28" s="52">
        <v>93.947145891977001</v>
      </c>
      <c r="D28" s="52">
        <v>131.40056000000001</v>
      </c>
      <c r="E28" s="52">
        <v>160.07194999999999</v>
      </c>
      <c r="F28" s="52">
        <v>110.46508</v>
      </c>
      <c r="G28" s="52">
        <v>164.60327000000001</v>
      </c>
      <c r="H28" s="52">
        <v>113.2153</v>
      </c>
      <c r="I28" s="52">
        <v>80.442170000000004</v>
      </c>
      <c r="J28" s="52">
        <v>85.659450000000007</v>
      </c>
      <c r="K28" s="52">
        <v>120.17451</v>
      </c>
      <c r="L28" s="52">
        <v>163.99458999999999</v>
      </c>
      <c r="M28" s="52">
        <v>164.61027999999999</v>
      </c>
      <c r="N28" s="52">
        <v>103.07543</v>
      </c>
      <c r="O28" s="52">
        <v>59.154699999999998</v>
      </c>
      <c r="P28" s="53">
        <v>1456.8672899999999</v>
      </c>
      <c r="Q28" s="95">
        <v>1.292275633786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282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0.438</v>
      </c>
      <c r="E31" s="58">
        <v>0.438</v>
      </c>
      <c r="F31" s="58">
        <v>0.219</v>
      </c>
      <c r="G31" s="58">
        <v>0.63300000000000001</v>
      </c>
      <c r="H31" s="58">
        <v>0.20699999999999999</v>
      </c>
      <c r="I31" s="58">
        <v>0.82799999999999996</v>
      </c>
      <c r="J31" s="58">
        <v>0.20699999999999999</v>
      </c>
      <c r="K31" s="58">
        <v>0.20699999999999999</v>
      </c>
      <c r="L31" s="58">
        <v>1.196</v>
      </c>
      <c r="M31" s="58">
        <v>0.41399999999999998</v>
      </c>
      <c r="N31" s="58">
        <v>0.41399999999999998</v>
      </c>
      <c r="O31" s="58">
        <v>0.51800000000000002</v>
      </c>
      <c r="P31" s="59">
        <v>5.7190000000000003</v>
      </c>
      <c r="Q31" s="97" t="s">
        <v>282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162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188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60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34" t="s">
        <v>61</v>
      </c>
      <c r="B1" s="334"/>
      <c r="C1" s="334"/>
      <c r="D1" s="334"/>
      <c r="E1" s="334"/>
      <c r="F1" s="334"/>
      <c r="G1" s="334"/>
      <c r="H1" s="339"/>
      <c r="I1" s="339"/>
      <c r="J1" s="339"/>
      <c r="K1" s="339"/>
    </row>
    <row r="2" spans="1:11" s="60" customFormat="1" ht="14.4" customHeight="1" thickBot="1" x14ac:dyDescent="0.35">
      <c r="A2" s="235" t="s">
        <v>281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35" t="s">
        <v>62</v>
      </c>
      <c r="C3" s="336"/>
      <c r="D3" s="336"/>
      <c r="E3" s="336"/>
      <c r="F3" s="342" t="s">
        <v>63</v>
      </c>
      <c r="G3" s="336"/>
      <c r="H3" s="336"/>
      <c r="I3" s="336"/>
      <c r="J3" s="336"/>
      <c r="K3" s="343"/>
    </row>
    <row r="4" spans="1:11" ht="14.4" customHeight="1" x14ac:dyDescent="0.3">
      <c r="A4" s="77"/>
      <c r="B4" s="340"/>
      <c r="C4" s="341"/>
      <c r="D4" s="341"/>
      <c r="E4" s="341"/>
      <c r="F4" s="344" t="s">
        <v>184</v>
      </c>
      <c r="G4" s="346" t="s">
        <v>64</v>
      </c>
      <c r="H4" s="141" t="s">
        <v>143</v>
      </c>
      <c r="I4" s="344" t="s">
        <v>65</v>
      </c>
      <c r="J4" s="346" t="s">
        <v>186</v>
      </c>
      <c r="K4" s="347" t="s">
        <v>187</v>
      </c>
    </row>
    <row r="5" spans="1:11" ht="42" thickBot="1" x14ac:dyDescent="0.35">
      <c r="A5" s="78"/>
      <c r="B5" s="24" t="s">
        <v>180</v>
      </c>
      <c r="C5" s="25" t="s">
        <v>181</v>
      </c>
      <c r="D5" s="26" t="s">
        <v>182</v>
      </c>
      <c r="E5" s="26" t="s">
        <v>183</v>
      </c>
      <c r="F5" s="345"/>
      <c r="G5" s="345"/>
      <c r="H5" s="25" t="s">
        <v>185</v>
      </c>
      <c r="I5" s="345"/>
      <c r="J5" s="345"/>
      <c r="K5" s="348"/>
    </row>
    <row r="6" spans="1:11" ht="14.4" customHeight="1" thickBot="1" x14ac:dyDescent="0.35">
      <c r="A6" s="435" t="s">
        <v>284</v>
      </c>
      <c r="B6" s="417">
        <v>5761.9159357875596</v>
      </c>
      <c r="C6" s="417">
        <v>6131.1548400000001</v>
      </c>
      <c r="D6" s="418">
        <v>369.23890421244602</v>
      </c>
      <c r="E6" s="419">
        <v>1.064082660755</v>
      </c>
      <c r="F6" s="417">
        <v>5627.1842393643801</v>
      </c>
      <c r="G6" s="418">
        <v>5627.1842393643801</v>
      </c>
      <c r="H6" s="420">
        <v>639.47239999999999</v>
      </c>
      <c r="I6" s="417">
        <v>6031.1996399999998</v>
      </c>
      <c r="J6" s="418">
        <v>404.01540063561998</v>
      </c>
      <c r="K6" s="421">
        <v>1.071797080644</v>
      </c>
    </row>
    <row r="7" spans="1:11" ht="14.4" customHeight="1" thickBot="1" x14ac:dyDescent="0.35">
      <c r="A7" s="436" t="s">
        <v>285</v>
      </c>
      <c r="B7" s="417">
        <v>278.11790501674102</v>
      </c>
      <c r="C7" s="417">
        <v>295.32299</v>
      </c>
      <c r="D7" s="418">
        <v>17.205084983258999</v>
      </c>
      <c r="E7" s="419">
        <v>1.061862557832</v>
      </c>
      <c r="F7" s="417">
        <v>288.993772802997</v>
      </c>
      <c r="G7" s="418">
        <v>288.993772802997</v>
      </c>
      <c r="H7" s="420">
        <v>25.360289999999999</v>
      </c>
      <c r="I7" s="417">
        <v>243.41095000000001</v>
      </c>
      <c r="J7" s="418">
        <v>-45.582822802995999</v>
      </c>
      <c r="K7" s="421">
        <v>0.84227057088099999</v>
      </c>
    </row>
    <row r="8" spans="1:11" ht="14.4" customHeight="1" thickBot="1" x14ac:dyDescent="0.35">
      <c r="A8" s="437" t="s">
        <v>286</v>
      </c>
      <c r="B8" s="417">
        <v>82.842547315475997</v>
      </c>
      <c r="C8" s="417">
        <v>103.07899</v>
      </c>
      <c r="D8" s="418">
        <v>20.236442684522999</v>
      </c>
      <c r="E8" s="419">
        <v>1.2442759589150001</v>
      </c>
      <c r="F8" s="417">
        <v>95.547764471511002</v>
      </c>
      <c r="G8" s="418">
        <v>95.547764471511002</v>
      </c>
      <c r="H8" s="420">
        <v>8.21129</v>
      </c>
      <c r="I8" s="417">
        <v>72.058949999999996</v>
      </c>
      <c r="J8" s="418">
        <v>-23.488814471510999</v>
      </c>
      <c r="K8" s="421">
        <v>0.75416678138399995</v>
      </c>
    </row>
    <row r="9" spans="1:11" ht="14.4" customHeight="1" thickBot="1" x14ac:dyDescent="0.35">
      <c r="A9" s="438" t="s">
        <v>287</v>
      </c>
      <c r="B9" s="422">
        <v>0</v>
      </c>
      <c r="C9" s="422">
        <v>2.5000000000000001E-4</v>
      </c>
      <c r="D9" s="423">
        <v>2.5000000000000001E-4</v>
      </c>
      <c r="E9" s="424" t="s">
        <v>288</v>
      </c>
      <c r="F9" s="422">
        <v>0</v>
      </c>
      <c r="G9" s="423">
        <v>0</v>
      </c>
      <c r="H9" s="425">
        <v>0</v>
      </c>
      <c r="I9" s="422">
        <v>-4.0000000000000002E-4</v>
      </c>
      <c r="J9" s="423">
        <v>-4.0000000000000002E-4</v>
      </c>
      <c r="K9" s="426" t="s">
        <v>282</v>
      </c>
    </row>
    <row r="10" spans="1:11" ht="14.4" customHeight="1" thickBot="1" x14ac:dyDescent="0.35">
      <c r="A10" s="439" t="s">
        <v>289</v>
      </c>
      <c r="B10" s="417">
        <v>0</v>
      </c>
      <c r="C10" s="417">
        <v>2.5000000000000001E-4</v>
      </c>
      <c r="D10" s="418">
        <v>2.5000000000000001E-4</v>
      </c>
      <c r="E10" s="427" t="s">
        <v>288</v>
      </c>
      <c r="F10" s="417">
        <v>0</v>
      </c>
      <c r="G10" s="418">
        <v>0</v>
      </c>
      <c r="H10" s="420">
        <v>0</v>
      </c>
      <c r="I10" s="417">
        <v>-4.0000000000000002E-4</v>
      </c>
      <c r="J10" s="418">
        <v>-4.0000000000000002E-4</v>
      </c>
      <c r="K10" s="428" t="s">
        <v>282</v>
      </c>
    </row>
    <row r="11" spans="1:11" ht="14.4" customHeight="1" thickBot="1" x14ac:dyDescent="0.35">
      <c r="A11" s="438" t="s">
        <v>290</v>
      </c>
      <c r="B11" s="422">
        <v>15.422640104956001</v>
      </c>
      <c r="C11" s="422">
        <v>3.5531899999999998</v>
      </c>
      <c r="D11" s="423">
        <v>-11.869450104956</v>
      </c>
      <c r="E11" s="429">
        <v>0.230387921641</v>
      </c>
      <c r="F11" s="422">
        <v>3.471613634279</v>
      </c>
      <c r="G11" s="423">
        <v>3.471613634279</v>
      </c>
      <c r="H11" s="425">
        <v>0</v>
      </c>
      <c r="I11" s="422">
        <v>1.6068499999999999</v>
      </c>
      <c r="J11" s="423">
        <v>-1.8647636342789999</v>
      </c>
      <c r="K11" s="430">
        <v>0.46285392594699998</v>
      </c>
    </row>
    <row r="12" spans="1:11" ht="14.4" customHeight="1" thickBot="1" x14ac:dyDescent="0.35">
      <c r="A12" s="439" t="s">
        <v>291</v>
      </c>
      <c r="B12" s="417">
        <v>2.0734680508530001</v>
      </c>
      <c r="C12" s="417">
        <v>1.6395900000000001</v>
      </c>
      <c r="D12" s="418">
        <v>-0.43387805085300002</v>
      </c>
      <c r="E12" s="419">
        <v>0.79074765551600001</v>
      </c>
      <c r="F12" s="417">
        <v>1.6408319741070001</v>
      </c>
      <c r="G12" s="418">
        <v>1.6408319741070001</v>
      </c>
      <c r="H12" s="420">
        <v>0</v>
      </c>
      <c r="I12" s="417">
        <v>1.6068499999999999</v>
      </c>
      <c r="J12" s="418">
        <v>-3.3981974106999997E-2</v>
      </c>
      <c r="K12" s="421">
        <v>0.97928979039599995</v>
      </c>
    </row>
    <row r="13" spans="1:11" ht="14.4" customHeight="1" thickBot="1" x14ac:dyDescent="0.35">
      <c r="A13" s="439" t="s">
        <v>292</v>
      </c>
      <c r="B13" s="417">
        <v>13.349172054103001</v>
      </c>
      <c r="C13" s="417">
        <v>1.9136</v>
      </c>
      <c r="D13" s="418">
        <v>-11.435572054103</v>
      </c>
      <c r="E13" s="419">
        <v>0.143349714292</v>
      </c>
      <c r="F13" s="417">
        <v>1.8307816601710001</v>
      </c>
      <c r="G13" s="418">
        <v>1.8307816601710001</v>
      </c>
      <c r="H13" s="420">
        <v>0</v>
      </c>
      <c r="I13" s="417">
        <v>0</v>
      </c>
      <c r="J13" s="418">
        <v>-1.8307816601710001</v>
      </c>
      <c r="K13" s="421">
        <v>0</v>
      </c>
    </row>
    <row r="14" spans="1:11" ht="14.4" customHeight="1" thickBot="1" x14ac:dyDescent="0.35">
      <c r="A14" s="438" t="s">
        <v>293</v>
      </c>
      <c r="B14" s="422">
        <v>12.255690868121</v>
      </c>
      <c r="C14" s="422">
        <v>26.964089999999999</v>
      </c>
      <c r="D14" s="423">
        <v>14.708399131878</v>
      </c>
      <c r="E14" s="429">
        <v>2.2001281111069999</v>
      </c>
      <c r="F14" s="422">
        <v>26.975640841495</v>
      </c>
      <c r="G14" s="423">
        <v>26.975640841495</v>
      </c>
      <c r="H14" s="425">
        <v>2.00196</v>
      </c>
      <c r="I14" s="422">
        <v>23.15354</v>
      </c>
      <c r="J14" s="423">
        <v>-3.8221008414950002</v>
      </c>
      <c r="K14" s="430">
        <v>0.85831288072199996</v>
      </c>
    </row>
    <row r="15" spans="1:11" ht="14.4" customHeight="1" thickBot="1" x14ac:dyDescent="0.35">
      <c r="A15" s="439" t="s">
        <v>294</v>
      </c>
      <c r="B15" s="417">
        <v>2.755607729152</v>
      </c>
      <c r="C15" s="417">
        <v>1.5760099999999999</v>
      </c>
      <c r="D15" s="418">
        <v>-1.1795977291519999</v>
      </c>
      <c r="E15" s="419">
        <v>0.57192828403200002</v>
      </c>
      <c r="F15" s="417">
        <v>1.576008330766</v>
      </c>
      <c r="G15" s="418">
        <v>1.576008330766</v>
      </c>
      <c r="H15" s="420">
        <v>0.83006000000000002</v>
      </c>
      <c r="I15" s="417">
        <v>4.3874599999999999</v>
      </c>
      <c r="J15" s="418">
        <v>2.8114516692330001</v>
      </c>
      <c r="K15" s="421">
        <v>2.7839066040130001</v>
      </c>
    </row>
    <row r="16" spans="1:11" ht="14.4" customHeight="1" thickBot="1" x14ac:dyDescent="0.35">
      <c r="A16" s="439" t="s">
        <v>295</v>
      </c>
      <c r="B16" s="417">
        <v>0</v>
      </c>
      <c r="C16" s="417">
        <v>9.7290000000000001E-2</v>
      </c>
      <c r="D16" s="418">
        <v>9.7290000000000001E-2</v>
      </c>
      <c r="E16" s="427" t="s">
        <v>282</v>
      </c>
      <c r="F16" s="417">
        <v>9.7511242466E-2</v>
      </c>
      <c r="G16" s="418">
        <v>9.7511242466E-2</v>
      </c>
      <c r="H16" s="420">
        <v>0</v>
      </c>
      <c r="I16" s="417">
        <v>0.18228</v>
      </c>
      <c r="J16" s="418">
        <v>8.4768757533000005E-2</v>
      </c>
      <c r="K16" s="421">
        <v>0</v>
      </c>
    </row>
    <row r="17" spans="1:11" ht="14.4" customHeight="1" thickBot="1" x14ac:dyDescent="0.35">
      <c r="A17" s="439" t="s">
        <v>296</v>
      </c>
      <c r="B17" s="417">
        <v>8.5499929652080002</v>
      </c>
      <c r="C17" s="417">
        <v>24.476990000000001</v>
      </c>
      <c r="D17" s="418">
        <v>15.926997034791</v>
      </c>
      <c r="E17" s="419">
        <v>2.8628082034209998</v>
      </c>
      <c r="F17" s="417">
        <v>24.476805606507</v>
      </c>
      <c r="G17" s="418">
        <v>24.476805606507</v>
      </c>
      <c r="H17" s="420">
        <v>1.1718999999999999</v>
      </c>
      <c r="I17" s="417">
        <v>18.408799999999999</v>
      </c>
      <c r="J17" s="418">
        <v>-6.0680056065069996</v>
      </c>
      <c r="K17" s="421">
        <v>0.75209160443300005</v>
      </c>
    </row>
    <row r="18" spans="1:11" ht="14.4" customHeight="1" thickBot="1" x14ac:dyDescent="0.35">
      <c r="A18" s="439" t="s">
        <v>297</v>
      </c>
      <c r="B18" s="417">
        <v>0</v>
      </c>
      <c r="C18" s="417">
        <v>0</v>
      </c>
      <c r="D18" s="418">
        <v>0</v>
      </c>
      <c r="E18" s="419">
        <v>1</v>
      </c>
      <c r="F18" s="417">
        <v>0</v>
      </c>
      <c r="G18" s="418">
        <v>0</v>
      </c>
      <c r="H18" s="420">
        <v>0</v>
      </c>
      <c r="I18" s="417">
        <v>0.17499999999999999</v>
      </c>
      <c r="J18" s="418">
        <v>0.17499999999999999</v>
      </c>
      <c r="K18" s="428" t="s">
        <v>288</v>
      </c>
    </row>
    <row r="19" spans="1:11" ht="14.4" customHeight="1" thickBot="1" x14ac:dyDescent="0.35">
      <c r="A19" s="439" t="s">
        <v>298</v>
      </c>
      <c r="B19" s="417">
        <v>0.95009017376000005</v>
      </c>
      <c r="C19" s="417">
        <v>0.81379999999999997</v>
      </c>
      <c r="D19" s="418">
        <v>-0.13629017375999999</v>
      </c>
      <c r="E19" s="419">
        <v>0.85655027541100004</v>
      </c>
      <c r="F19" s="417">
        <v>0.82531566175500004</v>
      </c>
      <c r="G19" s="418">
        <v>0.82531566175500004</v>
      </c>
      <c r="H19" s="420">
        <v>0</v>
      </c>
      <c r="I19" s="417">
        <v>0</v>
      </c>
      <c r="J19" s="418">
        <v>-0.82531566175500004</v>
      </c>
      <c r="K19" s="421">
        <v>0</v>
      </c>
    </row>
    <row r="20" spans="1:11" ht="14.4" customHeight="1" thickBot="1" x14ac:dyDescent="0.35">
      <c r="A20" s="438" t="s">
        <v>299</v>
      </c>
      <c r="B20" s="422">
        <v>0</v>
      </c>
      <c r="C20" s="422">
        <v>0.82228000000000001</v>
      </c>
      <c r="D20" s="423">
        <v>0.82228000000000001</v>
      </c>
      <c r="E20" s="424" t="s">
        <v>282</v>
      </c>
      <c r="F20" s="422">
        <v>0</v>
      </c>
      <c r="G20" s="423">
        <v>0</v>
      </c>
      <c r="H20" s="425">
        <v>0</v>
      </c>
      <c r="I20" s="422">
        <v>0.16636999999999999</v>
      </c>
      <c r="J20" s="423">
        <v>0.16636999999999999</v>
      </c>
      <c r="K20" s="426" t="s">
        <v>282</v>
      </c>
    </row>
    <row r="21" spans="1:11" ht="14.4" customHeight="1" thickBot="1" x14ac:dyDescent="0.35">
      <c r="A21" s="439" t="s">
        <v>300</v>
      </c>
      <c r="B21" s="417">
        <v>0</v>
      </c>
      <c r="C21" s="417">
        <v>0.82228000000000001</v>
      </c>
      <c r="D21" s="418">
        <v>0.82228000000000001</v>
      </c>
      <c r="E21" s="427" t="s">
        <v>282</v>
      </c>
      <c r="F21" s="417">
        <v>0</v>
      </c>
      <c r="G21" s="418">
        <v>0</v>
      </c>
      <c r="H21" s="420">
        <v>0</v>
      </c>
      <c r="I21" s="417">
        <v>0.16636999999999999</v>
      </c>
      <c r="J21" s="418">
        <v>0.16636999999999999</v>
      </c>
      <c r="K21" s="428" t="s">
        <v>282</v>
      </c>
    </row>
    <row r="22" spans="1:11" ht="14.4" customHeight="1" thickBot="1" x14ac:dyDescent="0.35">
      <c r="A22" s="438" t="s">
        <v>301</v>
      </c>
      <c r="B22" s="422">
        <v>39.303374308773002</v>
      </c>
      <c r="C22" s="422">
        <v>49.086669999999998</v>
      </c>
      <c r="D22" s="423">
        <v>9.7832956912259998</v>
      </c>
      <c r="E22" s="429">
        <v>1.2489174495390001</v>
      </c>
      <c r="F22" s="422">
        <v>52.073316944585997</v>
      </c>
      <c r="G22" s="423">
        <v>52.073316944585997</v>
      </c>
      <c r="H22" s="425">
        <v>5.3138199999999998</v>
      </c>
      <c r="I22" s="422">
        <v>37.16724</v>
      </c>
      <c r="J22" s="423">
        <v>-14.906076944585999</v>
      </c>
      <c r="K22" s="430">
        <v>0.71374827225899995</v>
      </c>
    </row>
    <row r="23" spans="1:11" ht="14.4" customHeight="1" thickBot="1" x14ac:dyDescent="0.35">
      <c r="A23" s="439" t="s">
        <v>302</v>
      </c>
      <c r="B23" s="417">
        <v>5.7697242396129997</v>
      </c>
      <c r="C23" s="417">
        <v>5.5511151231257802E-17</v>
      </c>
      <c r="D23" s="418">
        <v>-5.7697242396129997</v>
      </c>
      <c r="E23" s="419">
        <v>9.6211099397317804E-18</v>
      </c>
      <c r="F23" s="417">
        <v>1.11022302462514E-16</v>
      </c>
      <c r="G23" s="418">
        <v>1.11022302462514E-16</v>
      </c>
      <c r="H23" s="420">
        <v>0</v>
      </c>
      <c r="I23" s="417">
        <v>1.9259999999999999</v>
      </c>
      <c r="J23" s="418">
        <v>1.9259999999999999</v>
      </c>
      <c r="K23" s="421">
        <v>0</v>
      </c>
    </row>
    <row r="24" spans="1:11" ht="14.4" customHeight="1" thickBot="1" x14ac:dyDescent="0.35">
      <c r="A24" s="439" t="s">
        <v>303</v>
      </c>
      <c r="B24" s="417">
        <v>1.0813907838550001</v>
      </c>
      <c r="C24" s="417">
        <v>0.96701999999999999</v>
      </c>
      <c r="D24" s="418">
        <v>-0.114370783855</v>
      </c>
      <c r="E24" s="419">
        <v>0.89423732330299999</v>
      </c>
      <c r="F24" s="417">
        <v>0.97336171138799998</v>
      </c>
      <c r="G24" s="418">
        <v>0.97336171138799998</v>
      </c>
      <c r="H24" s="420">
        <v>0</v>
      </c>
      <c r="I24" s="417">
        <v>0.67513000000000001</v>
      </c>
      <c r="J24" s="418">
        <v>-0.29823171138799998</v>
      </c>
      <c r="K24" s="421">
        <v>0.69360648985899997</v>
      </c>
    </row>
    <row r="25" spans="1:11" ht="14.4" customHeight="1" thickBot="1" x14ac:dyDescent="0.35">
      <c r="A25" s="439" t="s">
        <v>304</v>
      </c>
      <c r="B25" s="417">
        <v>4.8136278507899997</v>
      </c>
      <c r="C25" s="417">
        <v>7.37141</v>
      </c>
      <c r="D25" s="418">
        <v>2.5577821492089998</v>
      </c>
      <c r="E25" s="419">
        <v>1.5313626704209999</v>
      </c>
      <c r="F25" s="417">
        <v>7.5825872651150004</v>
      </c>
      <c r="G25" s="418">
        <v>7.5825872651150004</v>
      </c>
      <c r="H25" s="420">
        <v>2.7326600000000001</v>
      </c>
      <c r="I25" s="417">
        <v>5.5330500000000002</v>
      </c>
      <c r="J25" s="418">
        <v>-2.0495372651150001</v>
      </c>
      <c r="K25" s="421">
        <v>0.72970475729999995</v>
      </c>
    </row>
    <row r="26" spans="1:11" ht="14.4" customHeight="1" thickBot="1" x14ac:dyDescent="0.35">
      <c r="A26" s="439" t="s">
        <v>305</v>
      </c>
      <c r="B26" s="417">
        <v>9.9064524527569997</v>
      </c>
      <c r="C26" s="417">
        <v>10.75554</v>
      </c>
      <c r="D26" s="418">
        <v>0.84908754724199997</v>
      </c>
      <c r="E26" s="419">
        <v>1.0857105559519999</v>
      </c>
      <c r="F26" s="417">
        <v>11.804097476399001</v>
      </c>
      <c r="G26" s="418">
        <v>11.804097476399001</v>
      </c>
      <c r="H26" s="420">
        <v>1.73326</v>
      </c>
      <c r="I26" s="417">
        <v>10.638249999999999</v>
      </c>
      <c r="J26" s="418">
        <v>-1.165847476398</v>
      </c>
      <c r="K26" s="421">
        <v>0.901233662401</v>
      </c>
    </row>
    <row r="27" spans="1:11" ht="14.4" customHeight="1" thickBot="1" x14ac:dyDescent="0.35">
      <c r="A27" s="439" t="s">
        <v>306</v>
      </c>
      <c r="B27" s="417">
        <v>0.80601431400300005</v>
      </c>
      <c r="C27" s="417">
        <v>1.1431800000000001</v>
      </c>
      <c r="D27" s="418">
        <v>0.337165685996</v>
      </c>
      <c r="E27" s="419">
        <v>1.418312280736</v>
      </c>
      <c r="F27" s="417">
        <v>1.999837947781</v>
      </c>
      <c r="G27" s="418">
        <v>1.999837947781</v>
      </c>
      <c r="H27" s="420">
        <v>0</v>
      </c>
      <c r="I27" s="417">
        <v>3.03077</v>
      </c>
      <c r="J27" s="418">
        <v>1.0309320522180001</v>
      </c>
      <c r="K27" s="421">
        <v>1.5155077957</v>
      </c>
    </row>
    <row r="28" spans="1:11" ht="14.4" customHeight="1" thickBot="1" x14ac:dyDescent="0.35">
      <c r="A28" s="439" t="s">
        <v>307</v>
      </c>
      <c r="B28" s="417">
        <v>0</v>
      </c>
      <c r="C28" s="417">
        <v>0</v>
      </c>
      <c r="D28" s="418">
        <v>0</v>
      </c>
      <c r="E28" s="419">
        <v>1</v>
      </c>
      <c r="F28" s="417">
        <v>0</v>
      </c>
      <c r="G28" s="418">
        <v>0</v>
      </c>
      <c r="H28" s="420">
        <v>0</v>
      </c>
      <c r="I28" s="417">
        <v>3.1E-2</v>
      </c>
      <c r="J28" s="418">
        <v>3.1E-2</v>
      </c>
      <c r="K28" s="428" t="s">
        <v>288</v>
      </c>
    </row>
    <row r="29" spans="1:11" ht="14.4" customHeight="1" thickBot="1" x14ac:dyDescent="0.35">
      <c r="A29" s="439" t="s">
        <v>308</v>
      </c>
      <c r="B29" s="417">
        <v>1.0345741198880001</v>
      </c>
      <c r="C29" s="417">
        <v>0.63319999999999999</v>
      </c>
      <c r="D29" s="418">
        <v>-0.40137411988799998</v>
      </c>
      <c r="E29" s="419">
        <v>0.61203928053800005</v>
      </c>
      <c r="F29" s="417">
        <v>0.35346542463000002</v>
      </c>
      <c r="G29" s="418">
        <v>0.35346542463000002</v>
      </c>
      <c r="H29" s="420">
        <v>0</v>
      </c>
      <c r="I29" s="417">
        <v>0.98740000000000006</v>
      </c>
      <c r="J29" s="418">
        <v>0.633934575369</v>
      </c>
      <c r="K29" s="421">
        <v>0</v>
      </c>
    </row>
    <row r="30" spans="1:11" ht="14.4" customHeight="1" thickBot="1" x14ac:dyDescent="0.35">
      <c r="A30" s="439" t="s">
        <v>309</v>
      </c>
      <c r="B30" s="417">
        <v>2.7090526347649999</v>
      </c>
      <c r="C30" s="417">
        <v>1.3959999999999999</v>
      </c>
      <c r="D30" s="418">
        <v>-1.313052634765</v>
      </c>
      <c r="E30" s="419">
        <v>0.51530929376699997</v>
      </c>
      <c r="F30" s="417">
        <v>1.4301375897199999</v>
      </c>
      <c r="G30" s="418">
        <v>1.4301375897199999</v>
      </c>
      <c r="H30" s="420">
        <v>0</v>
      </c>
      <c r="I30" s="417">
        <v>0</v>
      </c>
      <c r="J30" s="418">
        <v>-1.4301375897199999</v>
      </c>
      <c r="K30" s="421">
        <v>0</v>
      </c>
    </row>
    <row r="31" spans="1:11" ht="14.4" customHeight="1" thickBot="1" x14ac:dyDescent="0.35">
      <c r="A31" s="439" t="s">
        <v>310</v>
      </c>
      <c r="B31" s="417">
        <v>13.182537913099001</v>
      </c>
      <c r="C31" s="417">
        <v>11.80566</v>
      </c>
      <c r="D31" s="418">
        <v>-1.3768779130990001</v>
      </c>
      <c r="E31" s="419">
        <v>0.895552895643</v>
      </c>
      <c r="F31" s="417">
        <v>13.199800635453</v>
      </c>
      <c r="G31" s="418">
        <v>13.199800635453</v>
      </c>
      <c r="H31" s="420">
        <v>0.43559999999999999</v>
      </c>
      <c r="I31" s="417">
        <v>8.2789699999999993</v>
      </c>
      <c r="J31" s="418">
        <v>-4.920830635453</v>
      </c>
      <c r="K31" s="421">
        <v>0.62720416986899996</v>
      </c>
    </row>
    <row r="32" spans="1:11" ht="14.4" customHeight="1" thickBot="1" x14ac:dyDescent="0.35">
      <c r="A32" s="439" t="s">
        <v>311</v>
      </c>
      <c r="B32" s="417">
        <v>0</v>
      </c>
      <c r="C32" s="417">
        <v>0.40899999999999997</v>
      </c>
      <c r="D32" s="418">
        <v>0.40899999999999997</v>
      </c>
      <c r="E32" s="427" t="s">
        <v>288</v>
      </c>
      <c r="F32" s="417">
        <v>0</v>
      </c>
      <c r="G32" s="418">
        <v>0</v>
      </c>
      <c r="H32" s="420">
        <v>0</v>
      </c>
      <c r="I32" s="417">
        <v>0</v>
      </c>
      <c r="J32" s="418">
        <v>0</v>
      </c>
      <c r="K32" s="428" t="s">
        <v>282</v>
      </c>
    </row>
    <row r="33" spans="1:11" ht="14.4" customHeight="1" thickBot="1" x14ac:dyDescent="0.35">
      <c r="A33" s="439" t="s">
        <v>312</v>
      </c>
      <c r="B33" s="417">
        <v>0</v>
      </c>
      <c r="C33" s="417">
        <v>4.6836599999999997</v>
      </c>
      <c r="D33" s="418">
        <v>4.6836599999999997</v>
      </c>
      <c r="E33" s="427" t="s">
        <v>288</v>
      </c>
      <c r="F33" s="417">
        <v>3.9517149386180002</v>
      </c>
      <c r="G33" s="418">
        <v>3.9517149386180002</v>
      </c>
      <c r="H33" s="420">
        <v>0.4123</v>
      </c>
      <c r="I33" s="417">
        <v>6.0666700000000002</v>
      </c>
      <c r="J33" s="418">
        <v>2.114955061381</v>
      </c>
      <c r="K33" s="421">
        <v>1.535199298085</v>
      </c>
    </row>
    <row r="34" spans="1:11" ht="14.4" customHeight="1" thickBot="1" x14ac:dyDescent="0.35">
      <c r="A34" s="439" t="s">
        <v>313</v>
      </c>
      <c r="B34" s="417">
        <v>0</v>
      </c>
      <c r="C34" s="417">
        <v>9.9220000000000006</v>
      </c>
      <c r="D34" s="418">
        <v>9.9220000000000006</v>
      </c>
      <c r="E34" s="427" t="s">
        <v>288</v>
      </c>
      <c r="F34" s="417">
        <v>10.778313955479</v>
      </c>
      <c r="G34" s="418">
        <v>10.778313955479</v>
      </c>
      <c r="H34" s="420">
        <v>0</v>
      </c>
      <c r="I34" s="417">
        <v>0</v>
      </c>
      <c r="J34" s="418">
        <v>-10.778313955479</v>
      </c>
      <c r="K34" s="421">
        <v>0</v>
      </c>
    </row>
    <row r="35" spans="1:11" ht="14.4" customHeight="1" thickBot="1" x14ac:dyDescent="0.35">
      <c r="A35" s="438" t="s">
        <v>314</v>
      </c>
      <c r="B35" s="422">
        <v>4.5157101462230003</v>
      </c>
      <c r="C35" s="422">
        <v>11.820209999999999</v>
      </c>
      <c r="D35" s="423">
        <v>7.304499853776</v>
      </c>
      <c r="E35" s="429">
        <v>2.6175750030999998</v>
      </c>
      <c r="F35" s="422">
        <v>8.5904035247980008</v>
      </c>
      <c r="G35" s="423">
        <v>8.5904035247980008</v>
      </c>
      <c r="H35" s="425">
        <v>0.20399999999999999</v>
      </c>
      <c r="I35" s="422">
        <v>0.68600000000000005</v>
      </c>
      <c r="J35" s="423">
        <v>-7.904403524798</v>
      </c>
      <c r="K35" s="430">
        <v>7.9856551326999994E-2</v>
      </c>
    </row>
    <row r="36" spans="1:11" ht="14.4" customHeight="1" thickBot="1" x14ac:dyDescent="0.35">
      <c r="A36" s="439" t="s">
        <v>315</v>
      </c>
      <c r="B36" s="417">
        <v>4.2704586016370003</v>
      </c>
      <c r="C36" s="417">
        <v>11.3866</v>
      </c>
      <c r="D36" s="418">
        <v>7.1161413983620001</v>
      </c>
      <c r="E36" s="419">
        <v>2.6663646840249999</v>
      </c>
      <c r="F36" s="417">
        <v>7.5902170267829998</v>
      </c>
      <c r="G36" s="418">
        <v>7.5902170267829998</v>
      </c>
      <c r="H36" s="420">
        <v>0</v>
      </c>
      <c r="I36" s="417">
        <v>0</v>
      </c>
      <c r="J36" s="418">
        <v>-7.5902170267829998</v>
      </c>
      <c r="K36" s="421">
        <v>0</v>
      </c>
    </row>
    <row r="37" spans="1:11" ht="14.4" customHeight="1" thickBot="1" x14ac:dyDescent="0.35">
      <c r="A37" s="439" t="s">
        <v>316</v>
      </c>
      <c r="B37" s="417">
        <v>0.24525154458500001</v>
      </c>
      <c r="C37" s="417">
        <v>0.43361</v>
      </c>
      <c r="D37" s="418">
        <v>0.18835845541400001</v>
      </c>
      <c r="E37" s="419">
        <v>1.768021484768</v>
      </c>
      <c r="F37" s="417">
        <v>1.0001864980149999</v>
      </c>
      <c r="G37" s="418">
        <v>1.0001864980149999</v>
      </c>
      <c r="H37" s="420">
        <v>0.20399999999999999</v>
      </c>
      <c r="I37" s="417">
        <v>0.68600000000000005</v>
      </c>
      <c r="J37" s="418">
        <v>-0.314186498014</v>
      </c>
      <c r="K37" s="421">
        <v>0.68587208621700002</v>
      </c>
    </row>
    <row r="38" spans="1:11" ht="14.4" customHeight="1" thickBot="1" x14ac:dyDescent="0.35">
      <c r="A38" s="438" t="s">
        <v>317</v>
      </c>
      <c r="B38" s="422">
        <v>11.345131887400999</v>
      </c>
      <c r="C38" s="422">
        <v>5.2473000000000001</v>
      </c>
      <c r="D38" s="423">
        <v>-6.097831887401</v>
      </c>
      <c r="E38" s="429">
        <v>0.46251555751599999</v>
      </c>
      <c r="F38" s="422">
        <v>4.4367895263510002</v>
      </c>
      <c r="G38" s="423">
        <v>4.4367895263510002</v>
      </c>
      <c r="H38" s="425">
        <v>0.17351</v>
      </c>
      <c r="I38" s="422">
        <v>4.5493499999999996</v>
      </c>
      <c r="J38" s="423">
        <v>0.112560473648</v>
      </c>
      <c r="K38" s="430">
        <v>1.0253698024160001</v>
      </c>
    </row>
    <row r="39" spans="1:11" ht="14.4" customHeight="1" thickBot="1" x14ac:dyDescent="0.35">
      <c r="A39" s="439" t="s">
        <v>318</v>
      </c>
      <c r="B39" s="417">
        <v>4.3633990019170001</v>
      </c>
      <c r="C39" s="417">
        <v>1.6066499999999999</v>
      </c>
      <c r="D39" s="418">
        <v>-2.756749001917</v>
      </c>
      <c r="E39" s="419">
        <v>0.36821065396300001</v>
      </c>
      <c r="F39" s="417">
        <v>1.4371972573689999</v>
      </c>
      <c r="G39" s="418">
        <v>1.4371972573689999</v>
      </c>
      <c r="H39" s="420">
        <v>0</v>
      </c>
      <c r="I39" s="417">
        <v>1.2588900000000001</v>
      </c>
      <c r="J39" s="418">
        <v>-0.17830725736899999</v>
      </c>
      <c r="K39" s="421">
        <v>0.87593404005200004</v>
      </c>
    </row>
    <row r="40" spans="1:11" ht="14.4" customHeight="1" thickBot="1" x14ac:dyDescent="0.35">
      <c r="A40" s="439" t="s">
        <v>319</v>
      </c>
      <c r="B40" s="417">
        <v>0</v>
      </c>
      <c r="C40" s="417">
        <v>0.17036999999999999</v>
      </c>
      <c r="D40" s="418">
        <v>0.17036999999999999</v>
      </c>
      <c r="E40" s="427" t="s">
        <v>288</v>
      </c>
      <c r="F40" s="417">
        <v>0</v>
      </c>
      <c r="G40" s="418">
        <v>0</v>
      </c>
      <c r="H40" s="420">
        <v>0</v>
      </c>
      <c r="I40" s="417">
        <v>0.34072999999999998</v>
      </c>
      <c r="J40" s="418">
        <v>0.34072999999999998</v>
      </c>
      <c r="K40" s="428" t="s">
        <v>282</v>
      </c>
    </row>
    <row r="41" spans="1:11" ht="14.4" customHeight="1" thickBot="1" x14ac:dyDescent="0.35">
      <c r="A41" s="439" t="s">
        <v>320</v>
      </c>
      <c r="B41" s="417">
        <v>6.9817328854829999</v>
      </c>
      <c r="C41" s="417">
        <v>3.4702799999999998</v>
      </c>
      <c r="D41" s="418">
        <v>-3.5114528854830001</v>
      </c>
      <c r="E41" s="419">
        <v>0.497051384938</v>
      </c>
      <c r="F41" s="417">
        <v>0</v>
      </c>
      <c r="G41" s="418">
        <v>0</v>
      </c>
      <c r="H41" s="420">
        <v>0</v>
      </c>
      <c r="I41" s="417">
        <v>0</v>
      </c>
      <c r="J41" s="418">
        <v>0</v>
      </c>
      <c r="K41" s="428" t="s">
        <v>282</v>
      </c>
    </row>
    <row r="42" spans="1:11" ht="14.4" customHeight="1" thickBot="1" x14ac:dyDescent="0.35">
      <c r="A42" s="439" t="s">
        <v>321</v>
      </c>
      <c r="B42" s="417">
        <v>0</v>
      </c>
      <c r="C42" s="417">
        <v>0</v>
      </c>
      <c r="D42" s="418">
        <v>0</v>
      </c>
      <c r="E42" s="419">
        <v>1</v>
      </c>
      <c r="F42" s="417">
        <v>2.999592268981</v>
      </c>
      <c r="G42" s="418">
        <v>2.999592268981</v>
      </c>
      <c r="H42" s="420">
        <v>0.17351</v>
      </c>
      <c r="I42" s="417">
        <v>2.9497300000000002</v>
      </c>
      <c r="J42" s="418">
        <v>-4.9862268980999998E-2</v>
      </c>
      <c r="K42" s="421">
        <v>0.98337698443300003</v>
      </c>
    </row>
    <row r="43" spans="1:11" ht="14.4" customHeight="1" thickBot="1" x14ac:dyDescent="0.35">
      <c r="A43" s="438" t="s">
        <v>322</v>
      </c>
      <c r="B43" s="422">
        <v>0</v>
      </c>
      <c r="C43" s="422">
        <v>5.585</v>
      </c>
      <c r="D43" s="423">
        <v>5.585</v>
      </c>
      <c r="E43" s="424" t="s">
        <v>282</v>
      </c>
      <c r="F43" s="422">
        <v>0</v>
      </c>
      <c r="G43" s="423">
        <v>0</v>
      </c>
      <c r="H43" s="425">
        <v>0.51800000000000002</v>
      </c>
      <c r="I43" s="422">
        <v>4.7300000000000004</v>
      </c>
      <c r="J43" s="423">
        <v>4.7300000000000004</v>
      </c>
      <c r="K43" s="426" t="s">
        <v>282</v>
      </c>
    </row>
    <row r="44" spans="1:11" ht="14.4" customHeight="1" thickBot="1" x14ac:dyDescent="0.35">
      <c r="A44" s="439" t="s">
        <v>323</v>
      </c>
      <c r="B44" s="417">
        <v>0</v>
      </c>
      <c r="C44" s="417">
        <v>5.585</v>
      </c>
      <c r="D44" s="418">
        <v>5.585</v>
      </c>
      <c r="E44" s="427" t="s">
        <v>282</v>
      </c>
      <c r="F44" s="417">
        <v>0</v>
      </c>
      <c r="G44" s="418">
        <v>0</v>
      </c>
      <c r="H44" s="420">
        <v>0.51800000000000002</v>
      </c>
      <c r="I44" s="417">
        <v>4.7300000000000004</v>
      </c>
      <c r="J44" s="418">
        <v>4.7300000000000004</v>
      </c>
      <c r="K44" s="428" t="s">
        <v>282</v>
      </c>
    </row>
    <row r="45" spans="1:11" ht="14.4" customHeight="1" thickBot="1" x14ac:dyDescent="0.35">
      <c r="A45" s="437" t="s">
        <v>42</v>
      </c>
      <c r="B45" s="417">
        <v>195.275357701264</v>
      </c>
      <c r="C45" s="417">
        <v>192.244</v>
      </c>
      <c r="D45" s="418">
        <v>-3.0313577012640001</v>
      </c>
      <c r="E45" s="419">
        <v>0.98447649648699997</v>
      </c>
      <c r="F45" s="417">
        <v>193.44600833148499</v>
      </c>
      <c r="G45" s="418">
        <v>193.44600833148499</v>
      </c>
      <c r="H45" s="420">
        <v>17.149000000000001</v>
      </c>
      <c r="I45" s="417">
        <v>171.352</v>
      </c>
      <c r="J45" s="418">
        <v>-22.094008331485</v>
      </c>
      <c r="K45" s="421">
        <v>0.88578720997100002</v>
      </c>
    </row>
    <row r="46" spans="1:11" ht="14.4" customHeight="1" thickBot="1" x14ac:dyDescent="0.35">
      <c r="A46" s="438" t="s">
        <v>324</v>
      </c>
      <c r="B46" s="422">
        <v>195.275357701264</v>
      </c>
      <c r="C46" s="422">
        <v>192.244</v>
      </c>
      <c r="D46" s="423">
        <v>-3.0313577012640001</v>
      </c>
      <c r="E46" s="429">
        <v>0.98447649648699997</v>
      </c>
      <c r="F46" s="422">
        <v>193.44600833148499</v>
      </c>
      <c r="G46" s="423">
        <v>193.44600833148499</v>
      </c>
      <c r="H46" s="425">
        <v>17.149000000000001</v>
      </c>
      <c r="I46" s="422">
        <v>171.352</v>
      </c>
      <c r="J46" s="423">
        <v>-22.094008331485</v>
      </c>
      <c r="K46" s="430">
        <v>0.88578720997100002</v>
      </c>
    </row>
    <row r="47" spans="1:11" ht="14.4" customHeight="1" thickBot="1" x14ac:dyDescent="0.35">
      <c r="A47" s="439" t="s">
        <v>325</v>
      </c>
      <c r="B47" s="417">
        <v>85.268617831168996</v>
      </c>
      <c r="C47" s="417">
        <v>86.215000000000003</v>
      </c>
      <c r="D47" s="418">
        <v>0.94638216883000004</v>
      </c>
      <c r="E47" s="419">
        <v>1.0110988332269999</v>
      </c>
      <c r="F47" s="417">
        <v>85.570647320961996</v>
      </c>
      <c r="G47" s="418">
        <v>85.570647320961996</v>
      </c>
      <c r="H47" s="420">
        <v>6.202</v>
      </c>
      <c r="I47" s="417">
        <v>71.903000000000006</v>
      </c>
      <c r="J47" s="418">
        <v>-13.667647320961001</v>
      </c>
      <c r="K47" s="421">
        <v>0.84027645286200003</v>
      </c>
    </row>
    <row r="48" spans="1:11" ht="14.4" customHeight="1" thickBot="1" x14ac:dyDescent="0.35">
      <c r="A48" s="439" t="s">
        <v>326</v>
      </c>
      <c r="B48" s="417">
        <v>50.002148997249002</v>
      </c>
      <c r="C48" s="417">
        <v>48.951999999999998</v>
      </c>
      <c r="D48" s="418">
        <v>-1.0501489972489999</v>
      </c>
      <c r="E48" s="419">
        <v>0.97899792272300001</v>
      </c>
      <c r="F48" s="417">
        <v>50.000338695281002</v>
      </c>
      <c r="G48" s="418">
        <v>50.000338695281002</v>
      </c>
      <c r="H48" s="420">
        <v>3.09</v>
      </c>
      <c r="I48" s="417">
        <v>45.758000000000003</v>
      </c>
      <c r="J48" s="418">
        <v>-4.242338695281</v>
      </c>
      <c r="K48" s="421">
        <v>0.915153800834</v>
      </c>
    </row>
    <row r="49" spans="1:11" ht="14.4" customHeight="1" thickBot="1" x14ac:dyDescent="0.35">
      <c r="A49" s="439" t="s">
        <v>327</v>
      </c>
      <c r="B49" s="417">
        <v>60.004590872846002</v>
      </c>
      <c r="C49" s="417">
        <v>57.076999999999998</v>
      </c>
      <c r="D49" s="418">
        <v>-2.9275908728459998</v>
      </c>
      <c r="E49" s="419">
        <v>0.95121055188799997</v>
      </c>
      <c r="F49" s="417">
        <v>57.875022315240997</v>
      </c>
      <c r="G49" s="418">
        <v>57.875022315240997</v>
      </c>
      <c r="H49" s="420">
        <v>7.8570000000000002</v>
      </c>
      <c r="I49" s="417">
        <v>53.691000000000003</v>
      </c>
      <c r="J49" s="418">
        <v>-4.1840223152410001</v>
      </c>
      <c r="K49" s="421">
        <v>0.92770590579699996</v>
      </c>
    </row>
    <row r="50" spans="1:11" ht="14.4" customHeight="1" thickBot="1" x14ac:dyDescent="0.35">
      <c r="A50" s="440" t="s">
        <v>328</v>
      </c>
      <c r="B50" s="422">
        <v>280.79929923076401</v>
      </c>
      <c r="C50" s="422">
        <v>355.25810999999999</v>
      </c>
      <c r="D50" s="423">
        <v>74.458810769235001</v>
      </c>
      <c r="E50" s="429">
        <v>1.265167366774</v>
      </c>
      <c r="F50" s="422">
        <v>220.168338695301</v>
      </c>
      <c r="G50" s="423">
        <v>220.168338695301</v>
      </c>
      <c r="H50" s="425">
        <v>20.114409999999999</v>
      </c>
      <c r="I50" s="422">
        <v>296.85410000000002</v>
      </c>
      <c r="J50" s="423">
        <v>76.685761304699</v>
      </c>
      <c r="K50" s="430">
        <v>1.348305127608</v>
      </c>
    </row>
    <row r="51" spans="1:11" ht="14.4" customHeight="1" thickBot="1" x14ac:dyDescent="0.35">
      <c r="A51" s="437" t="s">
        <v>45</v>
      </c>
      <c r="B51" s="417">
        <v>127.28222371401399</v>
      </c>
      <c r="C51" s="417">
        <v>143.55174</v>
      </c>
      <c r="D51" s="418">
        <v>16.269516285984999</v>
      </c>
      <c r="E51" s="419">
        <v>1.1278223762220001</v>
      </c>
      <c r="F51" s="417">
        <v>40.834261091667003</v>
      </c>
      <c r="G51" s="418">
        <v>40.834261091667003</v>
      </c>
      <c r="H51" s="420">
        <v>10.07305</v>
      </c>
      <c r="I51" s="417">
        <v>93.00224</v>
      </c>
      <c r="J51" s="418">
        <v>52.167978908332003</v>
      </c>
      <c r="K51" s="421">
        <v>2.2775541301260001</v>
      </c>
    </row>
    <row r="52" spans="1:11" ht="14.4" customHeight="1" thickBot="1" x14ac:dyDescent="0.35">
      <c r="A52" s="438" t="s">
        <v>329</v>
      </c>
      <c r="B52" s="422">
        <v>69.999999999996007</v>
      </c>
      <c r="C52" s="422">
        <v>95.634990000000002</v>
      </c>
      <c r="D52" s="423">
        <v>25.634990000003</v>
      </c>
      <c r="E52" s="429">
        <v>1.366214142857</v>
      </c>
      <c r="F52" s="422">
        <v>0</v>
      </c>
      <c r="G52" s="423">
        <v>0</v>
      </c>
      <c r="H52" s="425">
        <v>0</v>
      </c>
      <c r="I52" s="422">
        <v>0</v>
      </c>
      <c r="J52" s="423">
        <v>0</v>
      </c>
      <c r="K52" s="426" t="s">
        <v>282</v>
      </c>
    </row>
    <row r="53" spans="1:11" ht="14.4" customHeight="1" thickBot="1" x14ac:dyDescent="0.35">
      <c r="A53" s="439" t="s">
        <v>330</v>
      </c>
      <c r="B53" s="417">
        <v>69.999999999996007</v>
      </c>
      <c r="C53" s="417">
        <v>95.634990000000002</v>
      </c>
      <c r="D53" s="418">
        <v>25.634990000003</v>
      </c>
      <c r="E53" s="419">
        <v>1.366214142857</v>
      </c>
      <c r="F53" s="417">
        <v>0</v>
      </c>
      <c r="G53" s="418">
        <v>0</v>
      </c>
      <c r="H53" s="420">
        <v>0</v>
      </c>
      <c r="I53" s="417">
        <v>0</v>
      </c>
      <c r="J53" s="418">
        <v>0</v>
      </c>
      <c r="K53" s="428" t="s">
        <v>282</v>
      </c>
    </row>
    <row r="54" spans="1:11" ht="14.4" customHeight="1" thickBot="1" x14ac:dyDescent="0.35">
      <c r="A54" s="441" t="s">
        <v>331</v>
      </c>
      <c r="B54" s="417">
        <v>57.282223714018002</v>
      </c>
      <c r="C54" s="417">
        <v>47.91675</v>
      </c>
      <c r="D54" s="418">
        <v>-9.365473714018</v>
      </c>
      <c r="E54" s="419">
        <v>0.83650296537400004</v>
      </c>
      <c r="F54" s="417">
        <v>40.834261091667003</v>
      </c>
      <c r="G54" s="418">
        <v>40.834261091667003</v>
      </c>
      <c r="H54" s="420">
        <v>10.07305</v>
      </c>
      <c r="I54" s="417">
        <v>93.00224</v>
      </c>
      <c r="J54" s="418">
        <v>52.167978908332003</v>
      </c>
      <c r="K54" s="421">
        <v>2.2775541301260001</v>
      </c>
    </row>
    <row r="55" spans="1:11" ht="14.4" customHeight="1" thickBot="1" x14ac:dyDescent="0.35">
      <c r="A55" s="439" t="s">
        <v>332</v>
      </c>
      <c r="B55" s="417">
        <v>18.776859792976001</v>
      </c>
      <c r="C55" s="417">
        <v>28.882999999999999</v>
      </c>
      <c r="D55" s="418">
        <v>10.106140207023</v>
      </c>
      <c r="E55" s="419">
        <v>1.538223127745</v>
      </c>
      <c r="F55" s="417">
        <v>8.2568403222279994</v>
      </c>
      <c r="G55" s="418">
        <v>8.2568403222279994</v>
      </c>
      <c r="H55" s="420">
        <v>8.8587000000000007</v>
      </c>
      <c r="I55" s="417">
        <v>48.352499999999999</v>
      </c>
      <c r="J55" s="418">
        <v>40.095659677771003</v>
      </c>
      <c r="K55" s="421">
        <v>5.8560536613289997</v>
      </c>
    </row>
    <row r="56" spans="1:11" ht="14.4" customHeight="1" thickBot="1" x14ac:dyDescent="0.35">
      <c r="A56" s="439" t="s">
        <v>333</v>
      </c>
      <c r="B56" s="417">
        <v>22.998145258584</v>
      </c>
      <c r="C56" s="417">
        <v>9.0508000000000006</v>
      </c>
      <c r="D56" s="418">
        <v>-13.947345258584001</v>
      </c>
      <c r="E56" s="419">
        <v>0.39354477929499998</v>
      </c>
      <c r="F56" s="417">
        <v>24.999957792414001</v>
      </c>
      <c r="G56" s="418">
        <v>24.999957792414001</v>
      </c>
      <c r="H56" s="420">
        <v>0</v>
      </c>
      <c r="I56" s="417">
        <v>32.544240000000002</v>
      </c>
      <c r="J56" s="418">
        <v>7.5442822075849998</v>
      </c>
      <c r="K56" s="421">
        <v>1.3017717977850001</v>
      </c>
    </row>
    <row r="57" spans="1:11" ht="14.4" customHeight="1" thickBot="1" x14ac:dyDescent="0.35">
      <c r="A57" s="439" t="s">
        <v>334</v>
      </c>
      <c r="B57" s="417">
        <v>14.99889360621</v>
      </c>
      <c r="C57" s="417">
        <v>8.5309500000000007</v>
      </c>
      <c r="D57" s="418">
        <v>-6.4679436062100004</v>
      </c>
      <c r="E57" s="419">
        <v>0.56877195238300005</v>
      </c>
      <c r="F57" s="417">
        <v>7.5774629770240001</v>
      </c>
      <c r="G57" s="418">
        <v>7.5774629770240001</v>
      </c>
      <c r="H57" s="420">
        <v>1.21435</v>
      </c>
      <c r="I57" s="417">
        <v>12.105499999999999</v>
      </c>
      <c r="J57" s="418">
        <v>4.528037022975</v>
      </c>
      <c r="K57" s="421">
        <v>1.5975663670939999</v>
      </c>
    </row>
    <row r="58" spans="1:11" ht="14.4" customHeight="1" thickBot="1" x14ac:dyDescent="0.35">
      <c r="A58" s="439" t="s">
        <v>335</v>
      </c>
      <c r="B58" s="417">
        <v>0</v>
      </c>
      <c r="C58" s="417">
        <v>1.452</v>
      </c>
      <c r="D58" s="418">
        <v>1.452</v>
      </c>
      <c r="E58" s="427" t="s">
        <v>288</v>
      </c>
      <c r="F58" s="417">
        <v>0</v>
      </c>
      <c r="G58" s="418">
        <v>0</v>
      </c>
      <c r="H58" s="420">
        <v>0</v>
      </c>
      <c r="I58" s="417">
        <v>0</v>
      </c>
      <c r="J58" s="418">
        <v>0</v>
      </c>
      <c r="K58" s="428" t="s">
        <v>282</v>
      </c>
    </row>
    <row r="59" spans="1:11" ht="14.4" customHeight="1" thickBot="1" x14ac:dyDescent="0.35">
      <c r="A59" s="442" t="s">
        <v>46</v>
      </c>
      <c r="B59" s="422">
        <v>0</v>
      </c>
      <c r="C59" s="422">
        <v>19.042999999999999</v>
      </c>
      <c r="D59" s="423">
        <v>19.042999999999999</v>
      </c>
      <c r="E59" s="424" t="s">
        <v>282</v>
      </c>
      <c r="F59" s="422">
        <v>0</v>
      </c>
      <c r="G59" s="423">
        <v>0</v>
      </c>
      <c r="H59" s="425">
        <v>0</v>
      </c>
      <c r="I59" s="422">
        <v>3.5990000000000002</v>
      </c>
      <c r="J59" s="423">
        <v>3.5990000000000002</v>
      </c>
      <c r="K59" s="426" t="s">
        <v>282</v>
      </c>
    </row>
    <row r="60" spans="1:11" ht="14.4" customHeight="1" thickBot="1" x14ac:dyDescent="0.35">
      <c r="A60" s="438" t="s">
        <v>336</v>
      </c>
      <c r="B60" s="422">
        <v>0</v>
      </c>
      <c r="C60" s="422">
        <v>19.042999999999999</v>
      </c>
      <c r="D60" s="423">
        <v>19.042999999999999</v>
      </c>
      <c r="E60" s="424" t="s">
        <v>282</v>
      </c>
      <c r="F60" s="422">
        <v>0</v>
      </c>
      <c r="G60" s="423">
        <v>0</v>
      </c>
      <c r="H60" s="425">
        <v>0</v>
      </c>
      <c r="I60" s="422">
        <v>3.5990000000000002</v>
      </c>
      <c r="J60" s="423">
        <v>3.5990000000000002</v>
      </c>
      <c r="K60" s="426" t="s">
        <v>282</v>
      </c>
    </row>
    <row r="61" spans="1:11" ht="14.4" customHeight="1" thickBot="1" x14ac:dyDescent="0.35">
      <c r="A61" s="439" t="s">
        <v>337</v>
      </c>
      <c r="B61" s="417">
        <v>0</v>
      </c>
      <c r="C61" s="417">
        <v>19.042999999999999</v>
      </c>
      <c r="D61" s="418">
        <v>19.042999999999999</v>
      </c>
      <c r="E61" s="427" t="s">
        <v>282</v>
      </c>
      <c r="F61" s="417">
        <v>0</v>
      </c>
      <c r="G61" s="418">
        <v>0</v>
      </c>
      <c r="H61" s="420">
        <v>0</v>
      </c>
      <c r="I61" s="417">
        <v>3.5990000000000002</v>
      </c>
      <c r="J61" s="418">
        <v>3.5990000000000002</v>
      </c>
      <c r="K61" s="428" t="s">
        <v>282</v>
      </c>
    </row>
    <row r="62" spans="1:11" ht="14.4" customHeight="1" thickBot="1" x14ac:dyDescent="0.35">
      <c r="A62" s="437" t="s">
        <v>47</v>
      </c>
      <c r="B62" s="417">
        <v>153.51707551675</v>
      </c>
      <c r="C62" s="417">
        <v>192.66336999999999</v>
      </c>
      <c r="D62" s="418">
        <v>39.146294483249001</v>
      </c>
      <c r="E62" s="419">
        <v>1.2549963536719999</v>
      </c>
      <c r="F62" s="417">
        <v>179.334077603634</v>
      </c>
      <c r="G62" s="418">
        <v>179.334077603634</v>
      </c>
      <c r="H62" s="420">
        <v>10.041359999999999</v>
      </c>
      <c r="I62" s="417">
        <v>200.25286</v>
      </c>
      <c r="J62" s="418">
        <v>20.918782396366002</v>
      </c>
      <c r="K62" s="421">
        <v>1.116647001372</v>
      </c>
    </row>
    <row r="63" spans="1:11" ht="14.4" customHeight="1" thickBot="1" x14ac:dyDescent="0.35">
      <c r="A63" s="438" t="s">
        <v>338</v>
      </c>
      <c r="B63" s="422">
        <v>1.737016258291</v>
      </c>
      <c r="C63" s="422">
        <v>0.51800000000000002</v>
      </c>
      <c r="D63" s="423">
        <v>-1.219016258291</v>
      </c>
      <c r="E63" s="429">
        <v>0.29821252249500002</v>
      </c>
      <c r="F63" s="422">
        <v>0.20704397083500001</v>
      </c>
      <c r="G63" s="423">
        <v>0.20704397083500001</v>
      </c>
      <c r="H63" s="425">
        <v>0</v>
      </c>
      <c r="I63" s="422">
        <v>0.624</v>
      </c>
      <c r="J63" s="423">
        <v>0.41695602916399999</v>
      </c>
      <c r="K63" s="430">
        <v>0</v>
      </c>
    </row>
    <row r="64" spans="1:11" ht="14.4" customHeight="1" thickBot="1" x14ac:dyDescent="0.35">
      <c r="A64" s="439" t="s">
        <v>339</v>
      </c>
      <c r="B64" s="417">
        <v>1.737016258291</v>
      </c>
      <c r="C64" s="417">
        <v>0.51800000000000002</v>
      </c>
      <c r="D64" s="418">
        <v>-1.219016258291</v>
      </c>
      <c r="E64" s="419">
        <v>0.29821252249500002</v>
      </c>
      <c r="F64" s="417">
        <v>0.20704397083500001</v>
      </c>
      <c r="G64" s="418">
        <v>0.20704397083500001</v>
      </c>
      <c r="H64" s="420">
        <v>0</v>
      </c>
      <c r="I64" s="417">
        <v>0.624</v>
      </c>
      <c r="J64" s="418">
        <v>0.41695602916399999</v>
      </c>
      <c r="K64" s="421">
        <v>0</v>
      </c>
    </row>
    <row r="65" spans="1:11" ht="14.4" customHeight="1" thickBot="1" x14ac:dyDescent="0.35">
      <c r="A65" s="438" t="s">
        <v>340</v>
      </c>
      <c r="B65" s="422">
        <v>5.891990915829</v>
      </c>
      <c r="C65" s="422">
        <v>8.7400599999999997</v>
      </c>
      <c r="D65" s="423">
        <v>2.84806908417</v>
      </c>
      <c r="E65" s="429">
        <v>1.4833797480090001</v>
      </c>
      <c r="F65" s="422">
        <v>8.4028696793919995</v>
      </c>
      <c r="G65" s="423">
        <v>8.4028696793919995</v>
      </c>
      <c r="H65" s="425">
        <v>1.0521499999999999</v>
      </c>
      <c r="I65" s="422">
        <v>7.3081300000000002</v>
      </c>
      <c r="J65" s="423">
        <v>-1.0947396793919999</v>
      </c>
      <c r="K65" s="430">
        <v>0.86971835561400002</v>
      </c>
    </row>
    <row r="66" spans="1:11" ht="14.4" customHeight="1" thickBot="1" x14ac:dyDescent="0.35">
      <c r="A66" s="439" t="s">
        <v>341</v>
      </c>
      <c r="B66" s="417">
        <v>1.594277318824</v>
      </c>
      <c r="C66" s="417">
        <v>2.3184999999999998</v>
      </c>
      <c r="D66" s="418">
        <v>0.72422268117499999</v>
      </c>
      <c r="E66" s="419">
        <v>1.454263930512</v>
      </c>
      <c r="F66" s="417">
        <v>2.371793569017</v>
      </c>
      <c r="G66" s="418">
        <v>2.371793569017</v>
      </c>
      <c r="H66" s="420">
        <v>0.627</v>
      </c>
      <c r="I66" s="417">
        <v>2.5453999999999999</v>
      </c>
      <c r="J66" s="418">
        <v>0.17360643098199999</v>
      </c>
      <c r="K66" s="421">
        <v>1.0731962651589999</v>
      </c>
    </row>
    <row r="67" spans="1:11" ht="14.4" customHeight="1" thickBot="1" x14ac:dyDescent="0.35">
      <c r="A67" s="439" t="s">
        <v>342</v>
      </c>
      <c r="B67" s="417">
        <v>4.2977135970039999</v>
      </c>
      <c r="C67" s="417">
        <v>6.4215600000000004</v>
      </c>
      <c r="D67" s="418">
        <v>2.1238464029949999</v>
      </c>
      <c r="E67" s="419">
        <v>1.494180534616</v>
      </c>
      <c r="F67" s="417">
        <v>6.0310761103740003</v>
      </c>
      <c r="G67" s="418">
        <v>6.0310761103740003</v>
      </c>
      <c r="H67" s="420">
        <v>0.42514999999999997</v>
      </c>
      <c r="I67" s="417">
        <v>4.7627300000000004</v>
      </c>
      <c r="J67" s="418">
        <v>-1.2683461103739999</v>
      </c>
      <c r="K67" s="421">
        <v>0.78969820855100004</v>
      </c>
    </row>
    <row r="68" spans="1:11" ht="14.4" customHeight="1" thickBot="1" x14ac:dyDescent="0.35">
      <c r="A68" s="438" t="s">
        <v>343</v>
      </c>
      <c r="B68" s="422">
        <v>3.6898498557289998</v>
      </c>
      <c r="C68" s="422">
        <v>8.8053600000000003</v>
      </c>
      <c r="D68" s="423">
        <v>5.1155101442699999</v>
      </c>
      <c r="E68" s="429">
        <v>2.386373523119</v>
      </c>
      <c r="F68" s="422">
        <v>8.5155811080439996</v>
      </c>
      <c r="G68" s="423">
        <v>8.5155811080439996</v>
      </c>
      <c r="H68" s="425">
        <v>0</v>
      </c>
      <c r="I68" s="422">
        <v>11.07226</v>
      </c>
      <c r="J68" s="423">
        <v>2.5566788919549999</v>
      </c>
      <c r="K68" s="430">
        <v>1.300235399031</v>
      </c>
    </row>
    <row r="69" spans="1:11" ht="14.4" customHeight="1" thickBot="1" x14ac:dyDescent="0.35">
      <c r="A69" s="439" t="s">
        <v>344</v>
      </c>
      <c r="B69" s="417">
        <v>3.6898498557289998</v>
      </c>
      <c r="C69" s="417">
        <v>3.78</v>
      </c>
      <c r="D69" s="418">
        <v>9.0150144269999996E-2</v>
      </c>
      <c r="E69" s="419">
        <v>1.0244319275289999</v>
      </c>
      <c r="F69" s="417">
        <v>3.915363845471</v>
      </c>
      <c r="G69" s="418">
        <v>3.915363845471</v>
      </c>
      <c r="H69" s="420">
        <v>0</v>
      </c>
      <c r="I69" s="417">
        <v>3.78</v>
      </c>
      <c r="J69" s="418">
        <v>-0.135363845471</v>
      </c>
      <c r="K69" s="421">
        <v>0.96542751815299999</v>
      </c>
    </row>
    <row r="70" spans="1:11" ht="14.4" customHeight="1" thickBot="1" x14ac:dyDescent="0.35">
      <c r="A70" s="439" t="s">
        <v>345</v>
      </c>
      <c r="B70" s="417">
        <v>0</v>
      </c>
      <c r="C70" s="417">
        <v>5.02536</v>
      </c>
      <c r="D70" s="418">
        <v>5.02536</v>
      </c>
      <c r="E70" s="427" t="s">
        <v>288</v>
      </c>
      <c r="F70" s="417">
        <v>4.6002172625720004</v>
      </c>
      <c r="G70" s="418">
        <v>4.6002172625720004</v>
      </c>
      <c r="H70" s="420">
        <v>0</v>
      </c>
      <c r="I70" s="417">
        <v>7.2922599999999997</v>
      </c>
      <c r="J70" s="418">
        <v>2.6920427374270002</v>
      </c>
      <c r="K70" s="421">
        <v>1.5851990425160001</v>
      </c>
    </row>
    <row r="71" spans="1:11" ht="14.4" customHeight="1" thickBot="1" x14ac:dyDescent="0.35">
      <c r="A71" s="438" t="s">
        <v>346</v>
      </c>
      <c r="B71" s="422">
        <v>0</v>
      </c>
      <c r="C71" s="422">
        <v>10.89</v>
      </c>
      <c r="D71" s="423">
        <v>10.89</v>
      </c>
      <c r="E71" s="424" t="s">
        <v>288</v>
      </c>
      <c r="F71" s="422">
        <v>0</v>
      </c>
      <c r="G71" s="423">
        <v>0</v>
      </c>
      <c r="H71" s="425">
        <v>0</v>
      </c>
      <c r="I71" s="422">
        <v>0</v>
      </c>
      <c r="J71" s="423">
        <v>0</v>
      </c>
      <c r="K71" s="426" t="s">
        <v>282</v>
      </c>
    </row>
    <row r="72" spans="1:11" ht="14.4" customHeight="1" thickBot="1" x14ac:dyDescent="0.35">
      <c r="A72" s="439" t="s">
        <v>347</v>
      </c>
      <c r="B72" s="417">
        <v>0</v>
      </c>
      <c r="C72" s="417">
        <v>10.89</v>
      </c>
      <c r="D72" s="418">
        <v>10.89</v>
      </c>
      <c r="E72" s="427" t="s">
        <v>288</v>
      </c>
      <c r="F72" s="417">
        <v>0</v>
      </c>
      <c r="G72" s="418">
        <v>0</v>
      </c>
      <c r="H72" s="420">
        <v>0</v>
      </c>
      <c r="I72" s="417">
        <v>0</v>
      </c>
      <c r="J72" s="418">
        <v>0</v>
      </c>
      <c r="K72" s="428" t="s">
        <v>282</v>
      </c>
    </row>
    <row r="73" spans="1:11" ht="14.4" customHeight="1" thickBot="1" x14ac:dyDescent="0.35">
      <c r="A73" s="438" t="s">
        <v>348</v>
      </c>
      <c r="B73" s="422">
        <v>81.172299503212002</v>
      </c>
      <c r="C73" s="422">
        <v>85.312169999999995</v>
      </c>
      <c r="D73" s="423">
        <v>4.1398704967870001</v>
      </c>
      <c r="E73" s="429">
        <v>1.0510010252519999</v>
      </c>
      <c r="F73" s="422">
        <v>86.290741275323995</v>
      </c>
      <c r="G73" s="423">
        <v>86.290741275323995</v>
      </c>
      <c r="H73" s="425">
        <v>7.33596</v>
      </c>
      <c r="I73" s="422">
        <v>85.031800000000004</v>
      </c>
      <c r="J73" s="423">
        <v>-1.2589412753239999</v>
      </c>
      <c r="K73" s="430">
        <v>0.98541047096400003</v>
      </c>
    </row>
    <row r="74" spans="1:11" ht="14.4" customHeight="1" thickBot="1" x14ac:dyDescent="0.35">
      <c r="A74" s="439" t="s">
        <v>349</v>
      </c>
      <c r="B74" s="417">
        <v>77.000078187323993</v>
      </c>
      <c r="C74" s="417">
        <v>81.030019999999993</v>
      </c>
      <c r="D74" s="418">
        <v>4.0299418126750002</v>
      </c>
      <c r="E74" s="419">
        <v>1.0523368535140001</v>
      </c>
      <c r="F74" s="417">
        <v>81.961151339319997</v>
      </c>
      <c r="G74" s="418">
        <v>81.961151339319997</v>
      </c>
      <c r="H74" s="420">
        <v>6.8456000000000001</v>
      </c>
      <c r="I74" s="417">
        <v>80.459990000000005</v>
      </c>
      <c r="J74" s="418">
        <v>-1.5011613393200001</v>
      </c>
      <c r="K74" s="421">
        <v>0.98168447715999996</v>
      </c>
    </row>
    <row r="75" spans="1:11" ht="14.4" customHeight="1" thickBot="1" x14ac:dyDescent="0.35">
      <c r="A75" s="439" t="s">
        <v>350</v>
      </c>
      <c r="B75" s="417">
        <v>4.1722213158879997</v>
      </c>
      <c r="C75" s="417">
        <v>4.2821499999999997</v>
      </c>
      <c r="D75" s="418">
        <v>0.109928684111</v>
      </c>
      <c r="E75" s="419">
        <v>1.026347759571</v>
      </c>
      <c r="F75" s="417">
        <v>4.3295899360029999</v>
      </c>
      <c r="G75" s="418">
        <v>4.3295899360029999</v>
      </c>
      <c r="H75" s="420">
        <v>0.49036000000000002</v>
      </c>
      <c r="I75" s="417">
        <v>4.5718100000000002</v>
      </c>
      <c r="J75" s="418">
        <v>0.24222006399599999</v>
      </c>
      <c r="K75" s="421">
        <v>1.055945266775</v>
      </c>
    </row>
    <row r="76" spans="1:11" ht="14.4" customHeight="1" thickBot="1" x14ac:dyDescent="0.35">
      <c r="A76" s="438" t="s">
        <v>351</v>
      </c>
      <c r="B76" s="422">
        <v>61.025918983685997</v>
      </c>
      <c r="C76" s="422">
        <v>77.793779999999998</v>
      </c>
      <c r="D76" s="423">
        <v>16.767861016312999</v>
      </c>
      <c r="E76" s="429">
        <v>1.2747662189369999</v>
      </c>
      <c r="F76" s="422">
        <v>75.917841570036998</v>
      </c>
      <c r="G76" s="423">
        <v>75.917841570036998</v>
      </c>
      <c r="H76" s="425">
        <v>1.6532500000000001</v>
      </c>
      <c r="I76" s="422">
        <v>95.192070000000001</v>
      </c>
      <c r="J76" s="423">
        <v>19.274228429962001</v>
      </c>
      <c r="K76" s="430">
        <v>1.2538827241570001</v>
      </c>
    </row>
    <row r="77" spans="1:11" ht="14.4" customHeight="1" thickBot="1" x14ac:dyDescent="0.35">
      <c r="A77" s="439" t="s">
        <v>352</v>
      </c>
      <c r="B77" s="417">
        <v>0</v>
      </c>
      <c r="C77" s="417">
        <v>10.98</v>
      </c>
      <c r="D77" s="418">
        <v>10.98</v>
      </c>
      <c r="E77" s="427" t="s">
        <v>288</v>
      </c>
      <c r="F77" s="417">
        <v>11.268955643950999</v>
      </c>
      <c r="G77" s="418">
        <v>11.268955643950999</v>
      </c>
      <c r="H77" s="420">
        <v>0</v>
      </c>
      <c r="I77" s="417">
        <v>0</v>
      </c>
      <c r="J77" s="418">
        <v>-11.268955643950999</v>
      </c>
      <c r="K77" s="421">
        <v>0</v>
      </c>
    </row>
    <row r="78" spans="1:11" ht="14.4" customHeight="1" thickBot="1" x14ac:dyDescent="0.35">
      <c r="A78" s="439" t="s">
        <v>353</v>
      </c>
      <c r="B78" s="417">
        <v>41.296091486264999</v>
      </c>
      <c r="C78" s="417">
        <v>49.101520000000001</v>
      </c>
      <c r="D78" s="418">
        <v>7.8054285137340003</v>
      </c>
      <c r="E78" s="419">
        <v>1.189011313972</v>
      </c>
      <c r="F78" s="417">
        <v>48.544883368169998</v>
      </c>
      <c r="G78" s="418">
        <v>48.544883368169998</v>
      </c>
      <c r="H78" s="420">
        <v>0.88275000000000003</v>
      </c>
      <c r="I78" s="417">
        <v>83.605069999999998</v>
      </c>
      <c r="J78" s="418">
        <v>35.060186631828998</v>
      </c>
      <c r="K78" s="421">
        <v>1.722222079841</v>
      </c>
    </row>
    <row r="79" spans="1:11" ht="14.4" customHeight="1" thickBot="1" x14ac:dyDescent="0.35">
      <c r="A79" s="439" t="s">
        <v>354</v>
      </c>
      <c r="B79" s="417">
        <v>4.997422284962</v>
      </c>
      <c r="C79" s="417">
        <v>3.2530000000000001</v>
      </c>
      <c r="D79" s="418">
        <v>-1.7444222849619999</v>
      </c>
      <c r="E79" s="419">
        <v>0.65093558528899997</v>
      </c>
      <c r="F79" s="417">
        <v>0</v>
      </c>
      <c r="G79" s="418">
        <v>0</v>
      </c>
      <c r="H79" s="420">
        <v>0</v>
      </c>
      <c r="I79" s="417">
        <v>0.40500000000000003</v>
      </c>
      <c r="J79" s="418">
        <v>0.40500000000000003</v>
      </c>
      <c r="K79" s="428" t="s">
        <v>282</v>
      </c>
    </row>
    <row r="80" spans="1:11" ht="14.4" customHeight="1" thickBot="1" x14ac:dyDescent="0.35">
      <c r="A80" s="439" t="s">
        <v>355</v>
      </c>
      <c r="B80" s="417">
        <v>0</v>
      </c>
      <c r="C80" s="417">
        <v>4.0492400000000002</v>
      </c>
      <c r="D80" s="418">
        <v>4.0492400000000002</v>
      </c>
      <c r="E80" s="427" t="s">
        <v>288</v>
      </c>
      <c r="F80" s="417">
        <v>3.8256034402769998</v>
      </c>
      <c r="G80" s="418">
        <v>3.8256034402769998</v>
      </c>
      <c r="H80" s="420">
        <v>0</v>
      </c>
      <c r="I80" s="417">
        <v>1.9359999999999999</v>
      </c>
      <c r="J80" s="418">
        <v>-1.8896034402769999</v>
      </c>
      <c r="K80" s="421">
        <v>0.50606395310499996</v>
      </c>
    </row>
    <row r="81" spans="1:11" ht="14.4" customHeight="1" thickBot="1" x14ac:dyDescent="0.35">
      <c r="A81" s="439" t="s">
        <v>356</v>
      </c>
      <c r="B81" s="417">
        <v>14.732405212459</v>
      </c>
      <c r="C81" s="417">
        <v>10.410019999999999</v>
      </c>
      <c r="D81" s="418">
        <v>-4.3223852124590003</v>
      </c>
      <c r="E81" s="419">
        <v>0.70660695588199995</v>
      </c>
      <c r="F81" s="417">
        <v>12.278399117637999</v>
      </c>
      <c r="G81" s="418">
        <v>12.278399117637999</v>
      </c>
      <c r="H81" s="420">
        <v>0.77049999999999996</v>
      </c>
      <c r="I81" s="417">
        <v>9.2460000000000004</v>
      </c>
      <c r="J81" s="418">
        <v>-3.0323991176380001</v>
      </c>
      <c r="K81" s="421">
        <v>0.75302976482600004</v>
      </c>
    </row>
    <row r="82" spans="1:11" ht="14.4" customHeight="1" thickBot="1" x14ac:dyDescent="0.35">
      <c r="A82" s="438" t="s">
        <v>357</v>
      </c>
      <c r="B82" s="422">
        <v>0</v>
      </c>
      <c r="C82" s="422">
        <v>0</v>
      </c>
      <c r="D82" s="423">
        <v>0</v>
      </c>
      <c r="E82" s="429">
        <v>1</v>
      </c>
      <c r="F82" s="422">
        <v>0</v>
      </c>
      <c r="G82" s="423">
        <v>0</v>
      </c>
      <c r="H82" s="425">
        <v>0</v>
      </c>
      <c r="I82" s="422">
        <v>3.56E-2</v>
      </c>
      <c r="J82" s="423">
        <v>3.56E-2</v>
      </c>
      <c r="K82" s="426" t="s">
        <v>288</v>
      </c>
    </row>
    <row r="83" spans="1:11" ht="14.4" customHeight="1" thickBot="1" x14ac:dyDescent="0.35">
      <c r="A83" s="439" t="s">
        <v>358</v>
      </c>
      <c r="B83" s="417">
        <v>0</v>
      </c>
      <c r="C83" s="417">
        <v>0</v>
      </c>
      <c r="D83" s="418">
        <v>0</v>
      </c>
      <c r="E83" s="419">
        <v>1</v>
      </c>
      <c r="F83" s="417">
        <v>0</v>
      </c>
      <c r="G83" s="418">
        <v>0</v>
      </c>
      <c r="H83" s="420">
        <v>0</v>
      </c>
      <c r="I83" s="417">
        <v>3.56E-2</v>
      </c>
      <c r="J83" s="418">
        <v>3.56E-2</v>
      </c>
      <c r="K83" s="428" t="s">
        <v>288</v>
      </c>
    </row>
    <row r="84" spans="1:11" ht="14.4" customHeight="1" thickBot="1" x14ac:dyDescent="0.35">
      <c r="A84" s="438" t="s">
        <v>359</v>
      </c>
      <c r="B84" s="422">
        <v>0</v>
      </c>
      <c r="C84" s="422">
        <v>0.60399999999999998</v>
      </c>
      <c r="D84" s="423">
        <v>0.60399999999999998</v>
      </c>
      <c r="E84" s="424" t="s">
        <v>282</v>
      </c>
      <c r="F84" s="422">
        <v>0</v>
      </c>
      <c r="G84" s="423">
        <v>0</v>
      </c>
      <c r="H84" s="425">
        <v>0</v>
      </c>
      <c r="I84" s="422">
        <v>0.98899999999999999</v>
      </c>
      <c r="J84" s="423">
        <v>0.98899999999999999</v>
      </c>
      <c r="K84" s="426" t="s">
        <v>282</v>
      </c>
    </row>
    <row r="85" spans="1:11" ht="14.4" customHeight="1" thickBot="1" x14ac:dyDescent="0.35">
      <c r="A85" s="439" t="s">
        <v>360</v>
      </c>
      <c r="B85" s="417">
        <v>0</v>
      </c>
      <c r="C85" s="417">
        <v>0.60399999999999998</v>
      </c>
      <c r="D85" s="418">
        <v>0.60399999999999998</v>
      </c>
      <c r="E85" s="427" t="s">
        <v>282</v>
      </c>
      <c r="F85" s="417">
        <v>0</v>
      </c>
      <c r="G85" s="418">
        <v>0</v>
      </c>
      <c r="H85" s="420">
        <v>0</v>
      </c>
      <c r="I85" s="417">
        <v>0.98899999999999999</v>
      </c>
      <c r="J85" s="418">
        <v>0.98899999999999999</v>
      </c>
      <c r="K85" s="428" t="s">
        <v>282</v>
      </c>
    </row>
    <row r="86" spans="1:11" ht="14.4" customHeight="1" thickBot="1" x14ac:dyDescent="0.35">
      <c r="A86" s="436" t="s">
        <v>48</v>
      </c>
      <c r="B86" s="417">
        <v>4840.9987315400704</v>
      </c>
      <c r="C86" s="417">
        <v>5042.8323899999996</v>
      </c>
      <c r="D86" s="418">
        <v>201.83365845993399</v>
      </c>
      <c r="E86" s="419">
        <v>1.0416925658630001</v>
      </c>
      <c r="F86" s="417">
        <v>4712.0232800296599</v>
      </c>
      <c r="G86" s="418">
        <v>4712.0232800296599</v>
      </c>
      <c r="H86" s="420">
        <v>560.14670000000001</v>
      </c>
      <c r="I86" s="417">
        <v>4996.87878</v>
      </c>
      <c r="J86" s="418">
        <v>284.85549997033701</v>
      </c>
      <c r="K86" s="421">
        <v>1.0604529059050001</v>
      </c>
    </row>
    <row r="87" spans="1:11" ht="14.4" customHeight="1" thickBot="1" x14ac:dyDescent="0.35">
      <c r="A87" s="442" t="s">
        <v>361</v>
      </c>
      <c r="B87" s="422">
        <v>3623.9999999997999</v>
      </c>
      <c r="C87" s="422">
        <v>3741.4270000000001</v>
      </c>
      <c r="D87" s="423">
        <v>117.427000000199</v>
      </c>
      <c r="E87" s="429">
        <v>1.032402593819</v>
      </c>
      <c r="F87" s="422">
        <v>3493.99999999994</v>
      </c>
      <c r="G87" s="423">
        <v>3493.99999999994</v>
      </c>
      <c r="H87" s="425">
        <v>414.923</v>
      </c>
      <c r="I87" s="422">
        <v>3702.5349999999999</v>
      </c>
      <c r="J87" s="423">
        <v>208.535000000064</v>
      </c>
      <c r="K87" s="430">
        <v>1.0596837435599999</v>
      </c>
    </row>
    <row r="88" spans="1:11" ht="14.4" customHeight="1" thickBot="1" x14ac:dyDescent="0.35">
      <c r="A88" s="438" t="s">
        <v>362</v>
      </c>
      <c r="B88" s="422">
        <v>3473.9999999998099</v>
      </c>
      <c r="C88" s="422">
        <v>3604.893</v>
      </c>
      <c r="D88" s="423">
        <v>130.89300000019099</v>
      </c>
      <c r="E88" s="429">
        <v>1.0376778929179999</v>
      </c>
      <c r="F88" s="422">
        <v>3481.99999999994</v>
      </c>
      <c r="G88" s="423">
        <v>3481.99999999994</v>
      </c>
      <c r="H88" s="425">
        <v>414.923</v>
      </c>
      <c r="I88" s="422">
        <v>3697.9389999999999</v>
      </c>
      <c r="J88" s="423">
        <v>215.939000000064</v>
      </c>
      <c r="K88" s="430">
        <v>1.0620157955189999</v>
      </c>
    </row>
    <row r="89" spans="1:11" ht="14.4" customHeight="1" thickBot="1" x14ac:dyDescent="0.35">
      <c r="A89" s="439" t="s">
        <v>363</v>
      </c>
      <c r="B89" s="417">
        <v>3473.9999999998099</v>
      </c>
      <c r="C89" s="417">
        <v>3604.893</v>
      </c>
      <c r="D89" s="418">
        <v>130.89300000019099</v>
      </c>
      <c r="E89" s="419">
        <v>1.0376778929179999</v>
      </c>
      <c r="F89" s="417">
        <v>3481.99999999994</v>
      </c>
      <c r="G89" s="418">
        <v>3481.99999999994</v>
      </c>
      <c r="H89" s="420">
        <v>414.923</v>
      </c>
      <c r="I89" s="417">
        <v>3697.9389999999999</v>
      </c>
      <c r="J89" s="418">
        <v>215.939000000064</v>
      </c>
      <c r="K89" s="421">
        <v>1.0620157955189999</v>
      </c>
    </row>
    <row r="90" spans="1:11" ht="14.4" customHeight="1" thickBot="1" x14ac:dyDescent="0.35">
      <c r="A90" s="438" t="s">
        <v>364</v>
      </c>
      <c r="B90" s="422">
        <v>149.99999999999201</v>
      </c>
      <c r="C90" s="422">
        <v>120</v>
      </c>
      <c r="D90" s="423">
        <v>-29.999999999991001</v>
      </c>
      <c r="E90" s="429">
        <v>0.8</v>
      </c>
      <c r="F90" s="422">
        <v>0</v>
      </c>
      <c r="G90" s="423">
        <v>0</v>
      </c>
      <c r="H90" s="425">
        <v>0</v>
      </c>
      <c r="I90" s="422">
        <v>0</v>
      </c>
      <c r="J90" s="423">
        <v>0</v>
      </c>
      <c r="K90" s="426" t="s">
        <v>282</v>
      </c>
    </row>
    <row r="91" spans="1:11" ht="14.4" customHeight="1" thickBot="1" x14ac:dyDescent="0.35">
      <c r="A91" s="439" t="s">
        <v>365</v>
      </c>
      <c r="B91" s="417">
        <v>149.99999999999201</v>
      </c>
      <c r="C91" s="417">
        <v>120</v>
      </c>
      <c r="D91" s="418">
        <v>-29.999999999991001</v>
      </c>
      <c r="E91" s="419">
        <v>0.8</v>
      </c>
      <c r="F91" s="417">
        <v>0</v>
      </c>
      <c r="G91" s="418">
        <v>0</v>
      </c>
      <c r="H91" s="420">
        <v>0</v>
      </c>
      <c r="I91" s="417">
        <v>0</v>
      </c>
      <c r="J91" s="418">
        <v>0</v>
      </c>
      <c r="K91" s="428" t="s">
        <v>282</v>
      </c>
    </row>
    <row r="92" spans="1:11" ht="14.4" customHeight="1" thickBot="1" x14ac:dyDescent="0.35">
      <c r="A92" s="438" t="s">
        <v>366</v>
      </c>
      <c r="B92" s="422">
        <v>0</v>
      </c>
      <c r="C92" s="422">
        <v>16.533999999999999</v>
      </c>
      <c r="D92" s="423">
        <v>16.533999999999999</v>
      </c>
      <c r="E92" s="424" t="s">
        <v>282</v>
      </c>
      <c r="F92" s="422">
        <v>11.999999999999</v>
      </c>
      <c r="G92" s="423">
        <v>11.999999999999</v>
      </c>
      <c r="H92" s="425">
        <v>0</v>
      </c>
      <c r="I92" s="422">
        <v>4.5960000000000001</v>
      </c>
      <c r="J92" s="423">
        <v>-7.4039999999989998</v>
      </c>
      <c r="K92" s="430">
        <v>0.38300000000000001</v>
      </c>
    </row>
    <row r="93" spans="1:11" ht="14.4" customHeight="1" thickBot="1" x14ac:dyDescent="0.35">
      <c r="A93" s="439" t="s">
        <v>367</v>
      </c>
      <c r="B93" s="417">
        <v>0</v>
      </c>
      <c r="C93" s="417">
        <v>16.533999999999999</v>
      </c>
      <c r="D93" s="418">
        <v>16.533999999999999</v>
      </c>
      <c r="E93" s="427" t="s">
        <v>282</v>
      </c>
      <c r="F93" s="417">
        <v>11.999999999999</v>
      </c>
      <c r="G93" s="418">
        <v>11.999999999999</v>
      </c>
      <c r="H93" s="420">
        <v>0</v>
      </c>
      <c r="I93" s="417">
        <v>4.5960000000000001</v>
      </c>
      <c r="J93" s="418">
        <v>-7.4039999999989998</v>
      </c>
      <c r="K93" s="421">
        <v>0.38300000000000001</v>
      </c>
    </row>
    <row r="94" spans="1:11" ht="14.4" customHeight="1" thickBot="1" x14ac:dyDescent="0.35">
      <c r="A94" s="437" t="s">
        <v>368</v>
      </c>
      <c r="B94" s="417">
        <v>1181.99873154027</v>
      </c>
      <c r="C94" s="417">
        <v>1265.1928800000001</v>
      </c>
      <c r="D94" s="418">
        <v>83.194148459732006</v>
      </c>
      <c r="E94" s="419">
        <v>1.070384295887</v>
      </c>
      <c r="F94" s="417">
        <v>1184.0232800297299</v>
      </c>
      <c r="G94" s="418">
        <v>1184.0232800297299</v>
      </c>
      <c r="H94" s="420">
        <v>141.07424</v>
      </c>
      <c r="I94" s="417">
        <v>1257.3004900000001</v>
      </c>
      <c r="J94" s="418">
        <v>73.277209970271997</v>
      </c>
      <c r="K94" s="421">
        <v>1.0618883185879999</v>
      </c>
    </row>
    <row r="95" spans="1:11" ht="14.4" customHeight="1" thickBot="1" x14ac:dyDescent="0.35">
      <c r="A95" s="438" t="s">
        <v>369</v>
      </c>
      <c r="B95" s="422">
        <v>312.99999759086501</v>
      </c>
      <c r="C95" s="422">
        <v>335.24090000000001</v>
      </c>
      <c r="D95" s="423">
        <v>22.240902409135</v>
      </c>
      <c r="E95" s="429">
        <v>1.071057196742</v>
      </c>
      <c r="F95" s="422">
        <v>313.02328002974599</v>
      </c>
      <c r="G95" s="423">
        <v>313.02328002974599</v>
      </c>
      <c r="H95" s="425">
        <v>37.343499999999999</v>
      </c>
      <c r="I95" s="422">
        <v>332.81576000000001</v>
      </c>
      <c r="J95" s="423">
        <v>19.792479970254</v>
      </c>
      <c r="K95" s="430">
        <v>1.06323005742</v>
      </c>
    </row>
    <row r="96" spans="1:11" ht="14.4" customHeight="1" thickBot="1" x14ac:dyDescent="0.35">
      <c r="A96" s="439" t="s">
        <v>370</v>
      </c>
      <c r="B96" s="417">
        <v>312.99999759086501</v>
      </c>
      <c r="C96" s="417">
        <v>335.24090000000001</v>
      </c>
      <c r="D96" s="418">
        <v>22.240902409135</v>
      </c>
      <c r="E96" s="419">
        <v>1.071057196742</v>
      </c>
      <c r="F96" s="417">
        <v>313.02328002974599</v>
      </c>
      <c r="G96" s="418">
        <v>313.02328002974599</v>
      </c>
      <c r="H96" s="420">
        <v>37.343499999999999</v>
      </c>
      <c r="I96" s="417">
        <v>332.81576000000001</v>
      </c>
      <c r="J96" s="418">
        <v>19.792479970254</v>
      </c>
      <c r="K96" s="421">
        <v>1.06323005742</v>
      </c>
    </row>
    <row r="97" spans="1:11" ht="14.4" customHeight="1" thickBot="1" x14ac:dyDescent="0.35">
      <c r="A97" s="438" t="s">
        <v>371</v>
      </c>
      <c r="B97" s="422">
        <v>868.998733949403</v>
      </c>
      <c r="C97" s="422">
        <v>929.95198000000096</v>
      </c>
      <c r="D97" s="423">
        <v>60.953246050597002</v>
      </c>
      <c r="E97" s="429">
        <v>1.070141927334</v>
      </c>
      <c r="F97" s="422">
        <v>870.99999999998204</v>
      </c>
      <c r="G97" s="423">
        <v>870.99999999998204</v>
      </c>
      <c r="H97" s="425">
        <v>103.73074</v>
      </c>
      <c r="I97" s="422">
        <v>924.48473000000001</v>
      </c>
      <c r="J97" s="423">
        <v>53.484730000017997</v>
      </c>
      <c r="K97" s="430">
        <v>1.061406119403</v>
      </c>
    </row>
    <row r="98" spans="1:11" ht="14.4" customHeight="1" thickBot="1" x14ac:dyDescent="0.35">
      <c r="A98" s="439" t="s">
        <v>372</v>
      </c>
      <c r="B98" s="417">
        <v>868.998733949403</v>
      </c>
      <c r="C98" s="417">
        <v>929.95198000000096</v>
      </c>
      <c r="D98" s="418">
        <v>60.953246050597002</v>
      </c>
      <c r="E98" s="419">
        <v>1.070141927334</v>
      </c>
      <c r="F98" s="417">
        <v>870.99999999998204</v>
      </c>
      <c r="G98" s="418">
        <v>870.99999999998204</v>
      </c>
      <c r="H98" s="420">
        <v>103.73074</v>
      </c>
      <c r="I98" s="417">
        <v>924.48473000000001</v>
      </c>
      <c r="J98" s="418">
        <v>53.484730000017997</v>
      </c>
      <c r="K98" s="421">
        <v>1.061406119403</v>
      </c>
    </row>
    <row r="99" spans="1:11" ht="14.4" customHeight="1" thickBot="1" x14ac:dyDescent="0.35">
      <c r="A99" s="437" t="s">
        <v>373</v>
      </c>
      <c r="B99" s="417">
        <v>34.999999999998003</v>
      </c>
      <c r="C99" s="417">
        <v>36.212510000000002</v>
      </c>
      <c r="D99" s="418">
        <v>1.2125100000010001</v>
      </c>
      <c r="E99" s="419">
        <v>1.034643142857</v>
      </c>
      <c r="F99" s="417">
        <v>33.999999999998998</v>
      </c>
      <c r="G99" s="418">
        <v>33.999999999998998</v>
      </c>
      <c r="H99" s="420">
        <v>4.1494600000000004</v>
      </c>
      <c r="I99" s="417">
        <v>37.043289999999999</v>
      </c>
      <c r="J99" s="418">
        <v>3.0432899999999998</v>
      </c>
      <c r="K99" s="421">
        <v>1.0895085294110001</v>
      </c>
    </row>
    <row r="100" spans="1:11" ht="14.4" customHeight="1" thickBot="1" x14ac:dyDescent="0.35">
      <c r="A100" s="438" t="s">
        <v>374</v>
      </c>
      <c r="B100" s="422">
        <v>34.999999999998003</v>
      </c>
      <c r="C100" s="422">
        <v>36.212510000000002</v>
      </c>
      <c r="D100" s="423">
        <v>1.2125100000010001</v>
      </c>
      <c r="E100" s="429">
        <v>1.034643142857</v>
      </c>
      <c r="F100" s="422">
        <v>33.999999999998998</v>
      </c>
      <c r="G100" s="423">
        <v>33.999999999998998</v>
      </c>
      <c r="H100" s="425">
        <v>4.1494600000000004</v>
      </c>
      <c r="I100" s="422">
        <v>37.043289999999999</v>
      </c>
      <c r="J100" s="423">
        <v>3.0432899999999998</v>
      </c>
      <c r="K100" s="430">
        <v>1.0895085294110001</v>
      </c>
    </row>
    <row r="101" spans="1:11" ht="14.4" customHeight="1" thickBot="1" x14ac:dyDescent="0.35">
      <c r="A101" s="439" t="s">
        <v>375</v>
      </c>
      <c r="B101" s="417">
        <v>34.999999999998003</v>
      </c>
      <c r="C101" s="417">
        <v>36.212510000000002</v>
      </c>
      <c r="D101" s="418">
        <v>1.2125100000010001</v>
      </c>
      <c r="E101" s="419">
        <v>1.034643142857</v>
      </c>
      <c r="F101" s="417">
        <v>33.999999999998998</v>
      </c>
      <c r="G101" s="418">
        <v>33.999999999998998</v>
      </c>
      <c r="H101" s="420">
        <v>4.1494600000000004</v>
      </c>
      <c r="I101" s="417">
        <v>37.043289999999999</v>
      </c>
      <c r="J101" s="418">
        <v>3.0432899999999998</v>
      </c>
      <c r="K101" s="421">
        <v>1.0895085294110001</v>
      </c>
    </row>
    <row r="102" spans="1:11" ht="14.4" customHeight="1" thickBot="1" x14ac:dyDescent="0.35">
      <c r="A102" s="436" t="s">
        <v>376</v>
      </c>
      <c r="B102" s="417">
        <v>0</v>
      </c>
      <c r="C102" s="417">
        <v>54.287350000000004</v>
      </c>
      <c r="D102" s="418">
        <v>54.287350000000004</v>
      </c>
      <c r="E102" s="427" t="s">
        <v>282</v>
      </c>
      <c r="F102" s="417">
        <v>0</v>
      </c>
      <c r="G102" s="418">
        <v>0</v>
      </c>
      <c r="H102" s="420">
        <v>0</v>
      </c>
      <c r="I102" s="417">
        <v>88.436809999999994</v>
      </c>
      <c r="J102" s="418">
        <v>88.436809999999994</v>
      </c>
      <c r="K102" s="428" t="s">
        <v>282</v>
      </c>
    </row>
    <row r="103" spans="1:11" ht="14.4" customHeight="1" thickBot="1" x14ac:dyDescent="0.35">
      <c r="A103" s="437" t="s">
        <v>377</v>
      </c>
      <c r="B103" s="417">
        <v>0</v>
      </c>
      <c r="C103" s="417">
        <v>0</v>
      </c>
      <c r="D103" s="418">
        <v>0</v>
      </c>
      <c r="E103" s="427" t="s">
        <v>282</v>
      </c>
      <c r="F103" s="417">
        <v>0</v>
      </c>
      <c r="G103" s="418">
        <v>0</v>
      </c>
      <c r="H103" s="420">
        <v>0</v>
      </c>
      <c r="I103" s="417">
        <v>84.623999999999995</v>
      </c>
      <c r="J103" s="418">
        <v>84.623999999999995</v>
      </c>
      <c r="K103" s="428" t="s">
        <v>282</v>
      </c>
    </row>
    <row r="104" spans="1:11" ht="14.4" customHeight="1" thickBot="1" x14ac:dyDescent="0.35">
      <c r="A104" s="438" t="s">
        <v>378</v>
      </c>
      <c r="B104" s="422">
        <v>0</v>
      </c>
      <c r="C104" s="422">
        <v>0</v>
      </c>
      <c r="D104" s="423">
        <v>0</v>
      </c>
      <c r="E104" s="424" t="s">
        <v>282</v>
      </c>
      <c r="F104" s="422">
        <v>0</v>
      </c>
      <c r="G104" s="423">
        <v>0</v>
      </c>
      <c r="H104" s="425">
        <v>0</v>
      </c>
      <c r="I104" s="422">
        <v>84.623999999999995</v>
      </c>
      <c r="J104" s="423">
        <v>84.623999999999995</v>
      </c>
      <c r="K104" s="426" t="s">
        <v>282</v>
      </c>
    </row>
    <row r="105" spans="1:11" ht="14.4" customHeight="1" thickBot="1" x14ac:dyDescent="0.35">
      <c r="A105" s="439" t="s">
        <v>379</v>
      </c>
      <c r="B105" s="417">
        <v>0</v>
      </c>
      <c r="C105" s="417">
        <v>0</v>
      </c>
      <c r="D105" s="418">
        <v>0</v>
      </c>
      <c r="E105" s="427" t="s">
        <v>282</v>
      </c>
      <c r="F105" s="417">
        <v>0</v>
      </c>
      <c r="G105" s="418">
        <v>0</v>
      </c>
      <c r="H105" s="420">
        <v>0</v>
      </c>
      <c r="I105" s="417">
        <v>84.623999999999995</v>
      </c>
      <c r="J105" s="418">
        <v>84.623999999999995</v>
      </c>
      <c r="K105" s="428" t="s">
        <v>282</v>
      </c>
    </row>
    <row r="106" spans="1:11" ht="14.4" customHeight="1" thickBot="1" x14ac:dyDescent="0.35">
      <c r="A106" s="437" t="s">
        <v>380</v>
      </c>
      <c r="B106" s="417">
        <v>0</v>
      </c>
      <c r="C106" s="417">
        <v>17.745000000000001</v>
      </c>
      <c r="D106" s="418">
        <v>17.745000000000001</v>
      </c>
      <c r="E106" s="427" t="s">
        <v>288</v>
      </c>
      <c r="F106" s="417">
        <v>0</v>
      </c>
      <c r="G106" s="418">
        <v>0</v>
      </c>
      <c r="H106" s="420">
        <v>0</v>
      </c>
      <c r="I106" s="417">
        <v>0</v>
      </c>
      <c r="J106" s="418">
        <v>0</v>
      </c>
      <c r="K106" s="428" t="s">
        <v>282</v>
      </c>
    </row>
    <row r="107" spans="1:11" ht="14.4" customHeight="1" thickBot="1" x14ac:dyDescent="0.35">
      <c r="A107" s="441" t="s">
        <v>381</v>
      </c>
      <c r="B107" s="417">
        <v>0</v>
      </c>
      <c r="C107" s="417">
        <v>17.745000000000001</v>
      </c>
      <c r="D107" s="418">
        <v>17.745000000000001</v>
      </c>
      <c r="E107" s="427" t="s">
        <v>288</v>
      </c>
      <c r="F107" s="417">
        <v>0</v>
      </c>
      <c r="G107" s="418">
        <v>0</v>
      </c>
      <c r="H107" s="420">
        <v>0</v>
      </c>
      <c r="I107" s="417">
        <v>0</v>
      </c>
      <c r="J107" s="418">
        <v>0</v>
      </c>
      <c r="K107" s="428" t="s">
        <v>282</v>
      </c>
    </row>
    <row r="108" spans="1:11" ht="14.4" customHeight="1" thickBot="1" x14ac:dyDescent="0.35">
      <c r="A108" s="439" t="s">
        <v>382</v>
      </c>
      <c r="B108" s="417">
        <v>0</v>
      </c>
      <c r="C108" s="417">
        <v>17.745000000000001</v>
      </c>
      <c r="D108" s="418">
        <v>17.745000000000001</v>
      </c>
      <c r="E108" s="427" t="s">
        <v>288</v>
      </c>
      <c r="F108" s="417">
        <v>0</v>
      </c>
      <c r="G108" s="418">
        <v>0</v>
      </c>
      <c r="H108" s="420">
        <v>0</v>
      </c>
      <c r="I108" s="417">
        <v>0</v>
      </c>
      <c r="J108" s="418">
        <v>0</v>
      </c>
      <c r="K108" s="428" t="s">
        <v>282</v>
      </c>
    </row>
    <row r="109" spans="1:11" ht="14.4" customHeight="1" thickBot="1" x14ac:dyDescent="0.35">
      <c r="A109" s="437" t="s">
        <v>383</v>
      </c>
      <c r="B109" s="417">
        <v>0</v>
      </c>
      <c r="C109" s="417">
        <v>36.542349999999999</v>
      </c>
      <c r="D109" s="418">
        <v>36.542349999999999</v>
      </c>
      <c r="E109" s="427" t="s">
        <v>282</v>
      </c>
      <c r="F109" s="417">
        <v>0</v>
      </c>
      <c r="G109" s="418">
        <v>0</v>
      </c>
      <c r="H109" s="420">
        <v>0</v>
      </c>
      <c r="I109" s="417">
        <v>3.8128099999999998</v>
      </c>
      <c r="J109" s="418">
        <v>3.8128099999999998</v>
      </c>
      <c r="K109" s="428" t="s">
        <v>282</v>
      </c>
    </row>
    <row r="110" spans="1:11" ht="14.4" customHeight="1" thickBot="1" x14ac:dyDescent="0.35">
      <c r="A110" s="438" t="s">
        <v>384</v>
      </c>
      <c r="B110" s="422">
        <v>0</v>
      </c>
      <c r="C110" s="422">
        <v>16.542349999999999</v>
      </c>
      <c r="D110" s="423">
        <v>16.542349999999999</v>
      </c>
      <c r="E110" s="424" t="s">
        <v>282</v>
      </c>
      <c r="F110" s="422">
        <v>0</v>
      </c>
      <c r="G110" s="423">
        <v>0</v>
      </c>
      <c r="H110" s="425">
        <v>0</v>
      </c>
      <c r="I110" s="422">
        <v>4.0949</v>
      </c>
      <c r="J110" s="423">
        <v>4.0949</v>
      </c>
      <c r="K110" s="426" t="s">
        <v>282</v>
      </c>
    </row>
    <row r="111" spans="1:11" ht="14.4" customHeight="1" thickBot="1" x14ac:dyDescent="0.35">
      <c r="A111" s="439" t="s">
        <v>385</v>
      </c>
      <c r="B111" s="417">
        <v>0</v>
      </c>
      <c r="C111" s="417">
        <v>2.2423500000000001</v>
      </c>
      <c r="D111" s="418">
        <v>2.2423500000000001</v>
      </c>
      <c r="E111" s="427" t="s">
        <v>282</v>
      </c>
      <c r="F111" s="417">
        <v>0</v>
      </c>
      <c r="G111" s="418">
        <v>0</v>
      </c>
      <c r="H111" s="420">
        <v>0</v>
      </c>
      <c r="I111" s="417">
        <v>2.0949</v>
      </c>
      <c r="J111" s="418">
        <v>2.0949</v>
      </c>
      <c r="K111" s="428" t="s">
        <v>282</v>
      </c>
    </row>
    <row r="112" spans="1:11" ht="14.4" customHeight="1" thickBot="1" x14ac:dyDescent="0.35">
      <c r="A112" s="439" t="s">
        <v>386</v>
      </c>
      <c r="B112" s="417">
        <v>0</v>
      </c>
      <c r="C112" s="417">
        <v>14.3</v>
      </c>
      <c r="D112" s="418">
        <v>14.3</v>
      </c>
      <c r="E112" s="427" t="s">
        <v>282</v>
      </c>
      <c r="F112" s="417">
        <v>0</v>
      </c>
      <c r="G112" s="418">
        <v>0</v>
      </c>
      <c r="H112" s="420">
        <v>0</v>
      </c>
      <c r="I112" s="417">
        <v>2</v>
      </c>
      <c r="J112" s="418">
        <v>2</v>
      </c>
      <c r="K112" s="428" t="s">
        <v>282</v>
      </c>
    </row>
    <row r="113" spans="1:11" ht="14.4" customHeight="1" thickBot="1" x14ac:dyDescent="0.35">
      <c r="A113" s="438" t="s">
        <v>387</v>
      </c>
      <c r="B113" s="422">
        <v>0</v>
      </c>
      <c r="C113" s="422">
        <v>0</v>
      </c>
      <c r="D113" s="423">
        <v>0</v>
      </c>
      <c r="E113" s="429">
        <v>1</v>
      </c>
      <c r="F113" s="422">
        <v>0</v>
      </c>
      <c r="G113" s="423">
        <v>0</v>
      </c>
      <c r="H113" s="425">
        <v>0</v>
      </c>
      <c r="I113" s="422">
        <v>-0.28209000000000001</v>
      </c>
      <c r="J113" s="423">
        <v>-0.28209000000000001</v>
      </c>
      <c r="K113" s="426" t="s">
        <v>288</v>
      </c>
    </row>
    <row r="114" spans="1:11" ht="14.4" customHeight="1" thickBot="1" x14ac:dyDescent="0.35">
      <c r="A114" s="439" t="s">
        <v>388</v>
      </c>
      <c r="B114" s="417">
        <v>0</v>
      </c>
      <c r="C114" s="417">
        <v>0</v>
      </c>
      <c r="D114" s="418">
        <v>0</v>
      </c>
      <c r="E114" s="419">
        <v>1</v>
      </c>
      <c r="F114" s="417">
        <v>0</v>
      </c>
      <c r="G114" s="418">
        <v>0</v>
      </c>
      <c r="H114" s="420">
        <v>0</v>
      </c>
      <c r="I114" s="417">
        <v>-0.28209000000000001</v>
      </c>
      <c r="J114" s="418">
        <v>-0.28209000000000001</v>
      </c>
      <c r="K114" s="428" t="s">
        <v>288</v>
      </c>
    </row>
    <row r="115" spans="1:11" ht="14.4" customHeight="1" thickBot="1" x14ac:dyDescent="0.35">
      <c r="A115" s="441" t="s">
        <v>389</v>
      </c>
      <c r="B115" s="417">
        <v>0</v>
      </c>
      <c r="C115" s="417">
        <v>20</v>
      </c>
      <c r="D115" s="418">
        <v>20</v>
      </c>
      <c r="E115" s="427" t="s">
        <v>282</v>
      </c>
      <c r="F115" s="417">
        <v>0</v>
      </c>
      <c r="G115" s="418">
        <v>0</v>
      </c>
      <c r="H115" s="420">
        <v>0</v>
      </c>
      <c r="I115" s="417">
        <v>0</v>
      </c>
      <c r="J115" s="418">
        <v>0</v>
      </c>
      <c r="K115" s="428" t="s">
        <v>282</v>
      </c>
    </row>
    <row r="116" spans="1:11" ht="14.4" customHeight="1" thickBot="1" x14ac:dyDescent="0.35">
      <c r="A116" s="439" t="s">
        <v>390</v>
      </c>
      <c r="B116" s="417">
        <v>0</v>
      </c>
      <c r="C116" s="417">
        <v>20</v>
      </c>
      <c r="D116" s="418">
        <v>20</v>
      </c>
      <c r="E116" s="427" t="s">
        <v>282</v>
      </c>
      <c r="F116" s="417">
        <v>0</v>
      </c>
      <c r="G116" s="418">
        <v>0</v>
      </c>
      <c r="H116" s="420">
        <v>0</v>
      </c>
      <c r="I116" s="417">
        <v>0</v>
      </c>
      <c r="J116" s="418">
        <v>0</v>
      </c>
      <c r="K116" s="428" t="s">
        <v>282</v>
      </c>
    </row>
    <row r="117" spans="1:11" ht="14.4" customHeight="1" thickBot="1" x14ac:dyDescent="0.35">
      <c r="A117" s="436" t="s">
        <v>391</v>
      </c>
      <c r="B117" s="417">
        <v>361.99999999997999</v>
      </c>
      <c r="C117" s="417">
        <v>383.45400000000001</v>
      </c>
      <c r="D117" s="418">
        <v>21.454000000019999</v>
      </c>
      <c r="E117" s="419">
        <v>1.0592651933699999</v>
      </c>
      <c r="F117" s="417">
        <v>405.99884783641897</v>
      </c>
      <c r="G117" s="418">
        <v>405.99884783641897</v>
      </c>
      <c r="H117" s="420">
        <v>33.850999999999999</v>
      </c>
      <c r="I117" s="417">
        <v>405.61900000000003</v>
      </c>
      <c r="J117" s="418">
        <v>-0.37984783641800002</v>
      </c>
      <c r="K117" s="421">
        <v>0.99906441154000003</v>
      </c>
    </row>
    <row r="118" spans="1:11" ht="14.4" customHeight="1" thickBot="1" x14ac:dyDescent="0.35">
      <c r="A118" s="437" t="s">
        <v>392</v>
      </c>
      <c r="B118" s="417">
        <v>361.99999999997999</v>
      </c>
      <c r="C118" s="417">
        <v>383.45400000000001</v>
      </c>
      <c r="D118" s="418">
        <v>21.454000000019999</v>
      </c>
      <c r="E118" s="419">
        <v>1.0592651933699999</v>
      </c>
      <c r="F118" s="417">
        <v>405.99884783641897</v>
      </c>
      <c r="G118" s="418">
        <v>405.99884783641897</v>
      </c>
      <c r="H118" s="420">
        <v>33.850999999999999</v>
      </c>
      <c r="I118" s="417">
        <v>405.61900000000003</v>
      </c>
      <c r="J118" s="418">
        <v>-0.37984783641800002</v>
      </c>
      <c r="K118" s="421">
        <v>0.99906441154000003</v>
      </c>
    </row>
    <row r="119" spans="1:11" ht="14.4" customHeight="1" thickBot="1" x14ac:dyDescent="0.35">
      <c r="A119" s="438" t="s">
        <v>393</v>
      </c>
      <c r="B119" s="422">
        <v>361.99999999997999</v>
      </c>
      <c r="C119" s="422">
        <v>383.45400000000001</v>
      </c>
      <c r="D119" s="423">
        <v>21.454000000019999</v>
      </c>
      <c r="E119" s="429">
        <v>1.0592651933699999</v>
      </c>
      <c r="F119" s="422">
        <v>405.99884783641897</v>
      </c>
      <c r="G119" s="423">
        <v>405.99884783641897</v>
      </c>
      <c r="H119" s="425">
        <v>33.850999999999999</v>
      </c>
      <c r="I119" s="422">
        <v>405.61900000000003</v>
      </c>
      <c r="J119" s="423">
        <v>-0.37984783641800002</v>
      </c>
      <c r="K119" s="430">
        <v>0.99906441154000003</v>
      </c>
    </row>
    <row r="120" spans="1:11" ht="14.4" customHeight="1" thickBot="1" x14ac:dyDescent="0.35">
      <c r="A120" s="439" t="s">
        <v>394</v>
      </c>
      <c r="B120" s="417">
        <v>27.999999999998</v>
      </c>
      <c r="C120" s="417">
        <v>28.757999999999999</v>
      </c>
      <c r="D120" s="418">
        <v>0.75800000000099998</v>
      </c>
      <c r="E120" s="419">
        <v>1.0270714285710001</v>
      </c>
      <c r="F120" s="417">
        <v>28.998847836425</v>
      </c>
      <c r="G120" s="418">
        <v>28.998847836425</v>
      </c>
      <c r="H120" s="420">
        <v>2.4569999999999999</v>
      </c>
      <c r="I120" s="417">
        <v>28.879000000000001</v>
      </c>
      <c r="J120" s="418">
        <v>-0.11984783642500001</v>
      </c>
      <c r="K120" s="421">
        <v>0.995867151788</v>
      </c>
    </row>
    <row r="121" spans="1:11" ht="14.4" customHeight="1" thickBot="1" x14ac:dyDescent="0.35">
      <c r="A121" s="439" t="s">
        <v>395</v>
      </c>
      <c r="B121" s="417">
        <v>198.999999999989</v>
      </c>
      <c r="C121" s="417">
        <v>220.06800000000001</v>
      </c>
      <c r="D121" s="418">
        <v>21.068000000011001</v>
      </c>
      <c r="E121" s="419">
        <v>1.1058693467330001</v>
      </c>
      <c r="F121" s="417">
        <v>241.99999999999599</v>
      </c>
      <c r="G121" s="418">
        <v>241.99999999999599</v>
      </c>
      <c r="H121" s="420">
        <v>20.175000000000001</v>
      </c>
      <c r="I121" s="417">
        <v>242.11199999999999</v>
      </c>
      <c r="J121" s="418">
        <v>0.112000000004</v>
      </c>
      <c r="K121" s="421">
        <v>1.0004628099170001</v>
      </c>
    </row>
    <row r="122" spans="1:11" ht="14.4" customHeight="1" thickBot="1" x14ac:dyDescent="0.35">
      <c r="A122" s="439" t="s">
        <v>396</v>
      </c>
      <c r="B122" s="417">
        <v>0</v>
      </c>
      <c r="C122" s="417">
        <v>0.13200000000000001</v>
      </c>
      <c r="D122" s="418">
        <v>0.13200000000000001</v>
      </c>
      <c r="E122" s="427" t="s">
        <v>282</v>
      </c>
      <c r="F122" s="417">
        <v>0</v>
      </c>
      <c r="G122" s="418">
        <v>0</v>
      </c>
      <c r="H122" s="420">
        <v>1.0999999999999999E-2</v>
      </c>
      <c r="I122" s="417">
        <v>0.13200000000000001</v>
      </c>
      <c r="J122" s="418">
        <v>0.13200000000000001</v>
      </c>
      <c r="K122" s="428" t="s">
        <v>282</v>
      </c>
    </row>
    <row r="123" spans="1:11" ht="14.4" customHeight="1" thickBot="1" x14ac:dyDescent="0.35">
      <c r="A123" s="439" t="s">
        <v>397</v>
      </c>
      <c r="B123" s="417">
        <v>134.99999999999301</v>
      </c>
      <c r="C123" s="417">
        <v>134.49600000000001</v>
      </c>
      <c r="D123" s="418">
        <v>-0.50399999999199996</v>
      </c>
      <c r="E123" s="419">
        <v>0.99626666666599994</v>
      </c>
      <c r="F123" s="417">
        <v>134.99999999999801</v>
      </c>
      <c r="G123" s="418">
        <v>134.99999999999801</v>
      </c>
      <c r="H123" s="420">
        <v>11.208</v>
      </c>
      <c r="I123" s="417">
        <v>134.49600000000001</v>
      </c>
      <c r="J123" s="418">
        <v>-0.50399999999699996</v>
      </c>
      <c r="K123" s="421">
        <v>0.99626666666599994</v>
      </c>
    </row>
    <row r="124" spans="1:11" ht="14.4" customHeight="1" thickBot="1" x14ac:dyDescent="0.35">
      <c r="A124" s="435" t="s">
        <v>398</v>
      </c>
      <c r="B124" s="417">
        <v>3279.9775714768398</v>
      </c>
      <c r="C124" s="417">
        <v>2819.0917800000002</v>
      </c>
      <c r="D124" s="418">
        <v>-460.88579147683498</v>
      </c>
      <c r="E124" s="419">
        <v>0.85948507834700005</v>
      </c>
      <c r="F124" s="417">
        <v>2669.33649380215</v>
      </c>
      <c r="G124" s="418">
        <v>2669.33649380215</v>
      </c>
      <c r="H124" s="420">
        <v>246.26367999999999</v>
      </c>
      <c r="I124" s="417">
        <v>3643.2699200000002</v>
      </c>
      <c r="J124" s="418">
        <v>973.93342619785005</v>
      </c>
      <c r="K124" s="421">
        <v>1.364859742658</v>
      </c>
    </row>
    <row r="125" spans="1:11" ht="14.4" customHeight="1" thickBot="1" x14ac:dyDescent="0.35">
      <c r="A125" s="436" t="s">
        <v>399</v>
      </c>
      <c r="B125" s="417">
        <v>3148.7257712935302</v>
      </c>
      <c r="C125" s="417">
        <v>2678.9902299999999</v>
      </c>
      <c r="D125" s="418">
        <v>-469.73554129352999</v>
      </c>
      <c r="E125" s="419">
        <v>0.85081725897600002</v>
      </c>
      <c r="F125" s="417">
        <v>2665.3657507037201</v>
      </c>
      <c r="G125" s="418">
        <v>2665.3657507037201</v>
      </c>
      <c r="H125" s="420">
        <v>238.50828000000001</v>
      </c>
      <c r="I125" s="417">
        <v>3580.85502</v>
      </c>
      <c r="J125" s="418">
        <v>915.48926929627601</v>
      </c>
      <c r="K125" s="421">
        <v>1.3434760385340001</v>
      </c>
    </row>
    <row r="126" spans="1:11" ht="14.4" customHeight="1" thickBot="1" x14ac:dyDescent="0.35">
      <c r="A126" s="437" t="s">
        <v>400</v>
      </c>
      <c r="B126" s="417">
        <v>3148.7257712935302</v>
      </c>
      <c r="C126" s="417">
        <v>2678.9902299999999</v>
      </c>
      <c r="D126" s="418">
        <v>-469.73554129352999</v>
      </c>
      <c r="E126" s="419">
        <v>0.85081725897600002</v>
      </c>
      <c r="F126" s="417">
        <v>2665.3657507037201</v>
      </c>
      <c r="G126" s="418">
        <v>2665.3657507037201</v>
      </c>
      <c r="H126" s="420">
        <v>238.50828000000001</v>
      </c>
      <c r="I126" s="417">
        <v>3580.85502</v>
      </c>
      <c r="J126" s="418">
        <v>915.48926929627601</v>
      </c>
      <c r="K126" s="421">
        <v>1.3434760385340001</v>
      </c>
    </row>
    <row r="127" spans="1:11" ht="14.4" customHeight="1" thickBot="1" x14ac:dyDescent="0.35">
      <c r="A127" s="438" t="s">
        <v>401</v>
      </c>
      <c r="B127" s="422">
        <v>1074.72577881846</v>
      </c>
      <c r="C127" s="422">
        <v>1062.5915</v>
      </c>
      <c r="D127" s="423">
        <v>-12.134278818456</v>
      </c>
      <c r="E127" s="429">
        <v>0.98870941866499995</v>
      </c>
      <c r="F127" s="422">
        <v>1127.3657507037201</v>
      </c>
      <c r="G127" s="423">
        <v>1127.3657507037201</v>
      </c>
      <c r="H127" s="425">
        <v>59.154699999999998</v>
      </c>
      <c r="I127" s="422">
        <v>1456.8672899999999</v>
      </c>
      <c r="J127" s="423">
        <v>329.50153929627697</v>
      </c>
      <c r="K127" s="430">
        <v>1.292275633786</v>
      </c>
    </row>
    <row r="128" spans="1:11" ht="14.4" customHeight="1" thickBot="1" x14ac:dyDescent="0.35">
      <c r="A128" s="439" t="s">
        <v>402</v>
      </c>
      <c r="B128" s="417">
        <v>103.715235660576</v>
      </c>
      <c r="C128" s="417">
        <v>136.92760000000001</v>
      </c>
      <c r="D128" s="418">
        <v>33.212364339423999</v>
      </c>
      <c r="E128" s="419">
        <v>1.320226475193</v>
      </c>
      <c r="F128" s="417">
        <v>156.735287777623</v>
      </c>
      <c r="G128" s="418">
        <v>156.735287777623</v>
      </c>
      <c r="H128" s="420">
        <v>1.8</v>
      </c>
      <c r="I128" s="417">
        <v>26.563749999999999</v>
      </c>
      <c r="J128" s="418">
        <v>-130.171537777623</v>
      </c>
      <c r="K128" s="421">
        <v>0.16948161691300001</v>
      </c>
    </row>
    <row r="129" spans="1:11" ht="14.4" customHeight="1" thickBot="1" x14ac:dyDescent="0.35">
      <c r="A129" s="439" t="s">
        <v>403</v>
      </c>
      <c r="B129" s="417">
        <v>4.1066807591750001</v>
      </c>
      <c r="C129" s="417">
        <v>0</v>
      </c>
      <c r="D129" s="418">
        <v>-4.1066807591750001</v>
      </c>
      <c r="E129" s="419">
        <v>0</v>
      </c>
      <c r="F129" s="417">
        <v>0</v>
      </c>
      <c r="G129" s="418">
        <v>0</v>
      </c>
      <c r="H129" s="420">
        <v>0</v>
      </c>
      <c r="I129" s="417">
        <v>1.056</v>
      </c>
      <c r="J129" s="418">
        <v>1.056</v>
      </c>
      <c r="K129" s="428" t="s">
        <v>288</v>
      </c>
    </row>
    <row r="130" spans="1:11" ht="14.4" customHeight="1" thickBot="1" x14ac:dyDescent="0.35">
      <c r="A130" s="439" t="s">
        <v>404</v>
      </c>
      <c r="B130" s="417">
        <v>952.16902242399499</v>
      </c>
      <c r="C130" s="417">
        <v>925.66390000000001</v>
      </c>
      <c r="D130" s="418">
        <v>-26.505122423995001</v>
      </c>
      <c r="E130" s="419">
        <v>0.97216342708000003</v>
      </c>
      <c r="F130" s="417">
        <v>970.63046292609999</v>
      </c>
      <c r="G130" s="418">
        <v>970.63046292609999</v>
      </c>
      <c r="H130" s="420">
        <v>57.354700000000001</v>
      </c>
      <c r="I130" s="417">
        <v>1429.2475400000001</v>
      </c>
      <c r="J130" s="418">
        <v>458.61707707390002</v>
      </c>
      <c r="K130" s="421">
        <v>1.472494007339</v>
      </c>
    </row>
    <row r="131" spans="1:11" ht="14.4" customHeight="1" thickBot="1" x14ac:dyDescent="0.35">
      <c r="A131" s="438" t="s">
        <v>405</v>
      </c>
      <c r="B131" s="422">
        <v>0</v>
      </c>
      <c r="C131" s="422">
        <v>1.4209099999999999</v>
      </c>
      <c r="D131" s="423">
        <v>1.4209099999999999</v>
      </c>
      <c r="E131" s="424" t="s">
        <v>288</v>
      </c>
      <c r="F131" s="422">
        <v>0</v>
      </c>
      <c r="G131" s="423">
        <v>0</v>
      </c>
      <c r="H131" s="425">
        <v>0</v>
      </c>
      <c r="I131" s="422">
        <v>0.93330000000000002</v>
      </c>
      <c r="J131" s="423">
        <v>0.93330000000000002</v>
      </c>
      <c r="K131" s="426" t="s">
        <v>282</v>
      </c>
    </row>
    <row r="132" spans="1:11" ht="14.4" customHeight="1" thickBot="1" x14ac:dyDescent="0.35">
      <c r="A132" s="439" t="s">
        <v>406</v>
      </c>
      <c r="B132" s="417">
        <v>0</v>
      </c>
      <c r="C132" s="417">
        <v>1.4209099999999999</v>
      </c>
      <c r="D132" s="418">
        <v>1.4209099999999999</v>
      </c>
      <c r="E132" s="427" t="s">
        <v>288</v>
      </c>
      <c r="F132" s="417">
        <v>0</v>
      </c>
      <c r="G132" s="418">
        <v>0</v>
      </c>
      <c r="H132" s="420">
        <v>0</v>
      </c>
      <c r="I132" s="417">
        <v>0.93330000000000002</v>
      </c>
      <c r="J132" s="418">
        <v>0.93330000000000002</v>
      </c>
      <c r="K132" s="428" t="s">
        <v>282</v>
      </c>
    </row>
    <row r="133" spans="1:11" ht="14.4" customHeight="1" thickBot="1" x14ac:dyDescent="0.35">
      <c r="A133" s="438" t="s">
        <v>407</v>
      </c>
      <c r="B133" s="422">
        <v>0</v>
      </c>
      <c r="C133" s="422">
        <v>-2.2409999999999999E-2</v>
      </c>
      <c r="D133" s="423">
        <v>-2.2409999999999999E-2</v>
      </c>
      <c r="E133" s="424" t="s">
        <v>288</v>
      </c>
      <c r="F133" s="422">
        <v>0</v>
      </c>
      <c r="G133" s="423">
        <v>0</v>
      </c>
      <c r="H133" s="425">
        <v>0</v>
      </c>
      <c r="I133" s="422">
        <v>0</v>
      </c>
      <c r="J133" s="423">
        <v>0</v>
      </c>
      <c r="K133" s="426" t="s">
        <v>282</v>
      </c>
    </row>
    <row r="134" spans="1:11" ht="14.4" customHeight="1" thickBot="1" x14ac:dyDescent="0.35">
      <c r="A134" s="439" t="s">
        <v>408</v>
      </c>
      <c r="B134" s="417">
        <v>0</v>
      </c>
      <c r="C134" s="417">
        <v>-2.2409999999999999E-2</v>
      </c>
      <c r="D134" s="418">
        <v>-2.2409999999999999E-2</v>
      </c>
      <c r="E134" s="427" t="s">
        <v>288</v>
      </c>
      <c r="F134" s="417">
        <v>0</v>
      </c>
      <c r="G134" s="418">
        <v>0</v>
      </c>
      <c r="H134" s="420">
        <v>0</v>
      </c>
      <c r="I134" s="417">
        <v>0</v>
      </c>
      <c r="J134" s="418">
        <v>0</v>
      </c>
      <c r="K134" s="428" t="s">
        <v>282</v>
      </c>
    </row>
    <row r="135" spans="1:11" ht="14.4" customHeight="1" thickBot="1" x14ac:dyDescent="0.35">
      <c r="A135" s="438" t="s">
        <v>409</v>
      </c>
      <c r="B135" s="422">
        <v>0.99999968363900005</v>
      </c>
      <c r="C135" s="422">
        <v>0.20519999999999999</v>
      </c>
      <c r="D135" s="423">
        <v>-0.794799683639</v>
      </c>
      <c r="E135" s="429">
        <v>0.20520006491699999</v>
      </c>
      <c r="F135" s="422">
        <v>1</v>
      </c>
      <c r="G135" s="423">
        <v>1</v>
      </c>
      <c r="H135" s="425">
        <v>0</v>
      </c>
      <c r="I135" s="422">
        <v>0.55800000000000005</v>
      </c>
      <c r="J135" s="423">
        <v>-0.442</v>
      </c>
      <c r="K135" s="430">
        <v>0.55800000000000005</v>
      </c>
    </row>
    <row r="136" spans="1:11" ht="14.4" customHeight="1" thickBot="1" x14ac:dyDescent="0.35">
      <c r="A136" s="439" t="s">
        <v>410</v>
      </c>
      <c r="B136" s="417">
        <v>0.99999968363900005</v>
      </c>
      <c r="C136" s="417">
        <v>0.20519999999999999</v>
      </c>
      <c r="D136" s="418">
        <v>-0.794799683639</v>
      </c>
      <c r="E136" s="419">
        <v>0.20520006491699999</v>
      </c>
      <c r="F136" s="417">
        <v>1</v>
      </c>
      <c r="G136" s="418">
        <v>1</v>
      </c>
      <c r="H136" s="420">
        <v>0</v>
      </c>
      <c r="I136" s="417">
        <v>0.55800000000000005</v>
      </c>
      <c r="J136" s="418">
        <v>-0.442</v>
      </c>
      <c r="K136" s="421">
        <v>0.55800000000000005</v>
      </c>
    </row>
    <row r="137" spans="1:11" ht="14.4" customHeight="1" thickBot="1" x14ac:dyDescent="0.35">
      <c r="A137" s="438" t="s">
        <v>411</v>
      </c>
      <c r="B137" s="422">
        <v>2072.99999279143</v>
      </c>
      <c r="C137" s="422">
        <v>1557.52224</v>
      </c>
      <c r="D137" s="423">
        <v>-515.477752791434</v>
      </c>
      <c r="E137" s="429">
        <v>0.75133731086099997</v>
      </c>
      <c r="F137" s="422">
        <v>1537</v>
      </c>
      <c r="G137" s="423">
        <v>1537</v>
      </c>
      <c r="H137" s="425">
        <v>179.35357999999999</v>
      </c>
      <c r="I137" s="422">
        <v>1967.4592600000001</v>
      </c>
      <c r="J137" s="423">
        <v>430.45925999999997</v>
      </c>
      <c r="K137" s="430">
        <v>1.280064580351</v>
      </c>
    </row>
    <row r="138" spans="1:11" ht="14.4" customHeight="1" thickBot="1" x14ac:dyDescent="0.35">
      <c r="A138" s="439" t="s">
        <v>412</v>
      </c>
      <c r="B138" s="417">
        <v>495.99999850468299</v>
      </c>
      <c r="C138" s="417">
        <v>330.56966</v>
      </c>
      <c r="D138" s="418">
        <v>-165.43033850468299</v>
      </c>
      <c r="E138" s="419">
        <v>0.66647109071800004</v>
      </c>
      <c r="F138" s="417">
        <v>362</v>
      </c>
      <c r="G138" s="418">
        <v>362</v>
      </c>
      <c r="H138" s="420">
        <v>41.771160000000002</v>
      </c>
      <c r="I138" s="417">
        <v>448.73205999999999</v>
      </c>
      <c r="J138" s="418">
        <v>86.732059999998995</v>
      </c>
      <c r="K138" s="421">
        <v>1.2395913259660001</v>
      </c>
    </row>
    <row r="139" spans="1:11" ht="14.4" customHeight="1" thickBot="1" x14ac:dyDescent="0.35">
      <c r="A139" s="439" t="s">
        <v>413</v>
      </c>
      <c r="B139" s="417">
        <v>1576.9999942867501</v>
      </c>
      <c r="C139" s="417">
        <v>1226.9525799999999</v>
      </c>
      <c r="D139" s="418">
        <v>-350.04741428675197</v>
      </c>
      <c r="E139" s="419">
        <v>0.77802953991400003</v>
      </c>
      <c r="F139" s="417">
        <v>1175</v>
      </c>
      <c r="G139" s="418">
        <v>1175</v>
      </c>
      <c r="H139" s="420">
        <v>137.58242000000001</v>
      </c>
      <c r="I139" s="417">
        <v>1518.7272</v>
      </c>
      <c r="J139" s="418">
        <v>343.72719999999998</v>
      </c>
      <c r="K139" s="421">
        <v>1.2925337872339999</v>
      </c>
    </row>
    <row r="140" spans="1:11" ht="14.4" customHeight="1" thickBot="1" x14ac:dyDescent="0.35">
      <c r="A140" s="438" t="s">
        <v>414</v>
      </c>
      <c r="B140" s="422">
        <v>0</v>
      </c>
      <c r="C140" s="422">
        <v>57.272790000000001</v>
      </c>
      <c r="D140" s="423">
        <v>57.272790000000001</v>
      </c>
      <c r="E140" s="424" t="s">
        <v>282</v>
      </c>
      <c r="F140" s="422">
        <v>0</v>
      </c>
      <c r="G140" s="423">
        <v>0</v>
      </c>
      <c r="H140" s="425">
        <v>0</v>
      </c>
      <c r="I140" s="422">
        <v>155.03717</v>
      </c>
      <c r="J140" s="423">
        <v>155.03717</v>
      </c>
      <c r="K140" s="426" t="s">
        <v>282</v>
      </c>
    </row>
    <row r="141" spans="1:11" ht="14.4" customHeight="1" thickBot="1" x14ac:dyDescent="0.35">
      <c r="A141" s="439" t="s">
        <v>415</v>
      </c>
      <c r="B141" s="417">
        <v>0</v>
      </c>
      <c r="C141" s="417">
        <v>20.28773</v>
      </c>
      <c r="D141" s="418">
        <v>20.28773</v>
      </c>
      <c r="E141" s="427" t="s">
        <v>288</v>
      </c>
      <c r="F141" s="417">
        <v>0</v>
      </c>
      <c r="G141" s="418">
        <v>0</v>
      </c>
      <c r="H141" s="420">
        <v>0</v>
      </c>
      <c r="I141" s="417">
        <v>2.51877</v>
      </c>
      <c r="J141" s="418">
        <v>2.51877</v>
      </c>
      <c r="K141" s="428" t="s">
        <v>282</v>
      </c>
    </row>
    <row r="142" spans="1:11" ht="14.4" customHeight="1" thickBot="1" x14ac:dyDescent="0.35">
      <c r="A142" s="439" t="s">
        <v>416</v>
      </c>
      <c r="B142" s="417">
        <v>0</v>
      </c>
      <c r="C142" s="417">
        <v>36.985059999999997</v>
      </c>
      <c r="D142" s="418">
        <v>36.985059999999997</v>
      </c>
      <c r="E142" s="427" t="s">
        <v>282</v>
      </c>
      <c r="F142" s="417">
        <v>0</v>
      </c>
      <c r="G142" s="418">
        <v>0</v>
      </c>
      <c r="H142" s="420">
        <v>0</v>
      </c>
      <c r="I142" s="417">
        <v>152.51840000000001</v>
      </c>
      <c r="J142" s="418">
        <v>152.51840000000001</v>
      </c>
      <c r="K142" s="428" t="s">
        <v>282</v>
      </c>
    </row>
    <row r="143" spans="1:11" ht="14.4" customHeight="1" thickBot="1" x14ac:dyDescent="0.35">
      <c r="A143" s="436" t="s">
        <v>417</v>
      </c>
      <c r="B143" s="417">
        <v>131.25180018330499</v>
      </c>
      <c r="C143" s="417">
        <v>140.10155</v>
      </c>
      <c r="D143" s="418">
        <v>8.8497498166940005</v>
      </c>
      <c r="E143" s="419">
        <v>1.0674257404800001</v>
      </c>
      <c r="F143" s="417">
        <v>3.9707430984249998</v>
      </c>
      <c r="G143" s="418">
        <v>3.9707430984249998</v>
      </c>
      <c r="H143" s="420">
        <v>7.7553999999999998</v>
      </c>
      <c r="I143" s="417">
        <v>62.414900000000003</v>
      </c>
      <c r="J143" s="418">
        <v>58.444156901573997</v>
      </c>
      <c r="K143" s="421">
        <v>15.718695078696999</v>
      </c>
    </row>
    <row r="144" spans="1:11" ht="14.4" customHeight="1" thickBot="1" x14ac:dyDescent="0.35">
      <c r="A144" s="437" t="s">
        <v>418</v>
      </c>
      <c r="B144" s="417">
        <v>127.281057084879</v>
      </c>
      <c r="C144" s="417">
        <v>126.04138</v>
      </c>
      <c r="D144" s="418">
        <v>-1.239677084879</v>
      </c>
      <c r="E144" s="419">
        <v>0.99026031749499999</v>
      </c>
      <c r="F144" s="417">
        <v>0</v>
      </c>
      <c r="G144" s="418">
        <v>0</v>
      </c>
      <c r="H144" s="420">
        <v>0.51800000000000002</v>
      </c>
      <c r="I144" s="417">
        <v>5.7190000000000003</v>
      </c>
      <c r="J144" s="418">
        <v>5.7190000000000003</v>
      </c>
      <c r="K144" s="428" t="s">
        <v>282</v>
      </c>
    </row>
    <row r="145" spans="1:11" ht="14.4" customHeight="1" thickBot="1" x14ac:dyDescent="0.35">
      <c r="A145" s="438" t="s">
        <v>419</v>
      </c>
      <c r="B145" s="422">
        <v>0</v>
      </c>
      <c r="C145" s="422">
        <v>6.1890000000000001</v>
      </c>
      <c r="D145" s="423">
        <v>6.1890000000000001</v>
      </c>
      <c r="E145" s="424" t="s">
        <v>282</v>
      </c>
      <c r="F145" s="422">
        <v>0</v>
      </c>
      <c r="G145" s="423">
        <v>0</v>
      </c>
      <c r="H145" s="425">
        <v>0.51800000000000002</v>
      </c>
      <c r="I145" s="422">
        <v>5.7190000000000003</v>
      </c>
      <c r="J145" s="423">
        <v>5.7190000000000003</v>
      </c>
      <c r="K145" s="426" t="s">
        <v>282</v>
      </c>
    </row>
    <row r="146" spans="1:11" ht="14.4" customHeight="1" thickBot="1" x14ac:dyDescent="0.35">
      <c r="A146" s="439" t="s">
        <v>420</v>
      </c>
      <c r="B146" s="417">
        <v>0</v>
      </c>
      <c r="C146" s="417">
        <v>6.1890000000000001</v>
      </c>
      <c r="D146" s="418">
        <v>6.1890000000000001</v>
      </c>
      <c r="E146" s="427" t="s">
        <v>282</v>
      </c>
      <c r="F146" s="417">
        <v>0</v>
      </c>
      <c r="G146" s="418">
        <v>0</v>
      </c>
      <c r="H146" s="420">
        <v>0.51800000000000002</v>
      </c>
      <c r="I146" s="417">
        <v>5.7190000000000003</v>
      </c>
      <c r="J146" s="418">
        <v>5.7190000000000003</v>
      </c>
      <c r="K146" s="428" t="s">
        <v>282</v>
      </c>
    </row>
    <row r="147" spans="1:11" ht="14.4" customHeight="1" thickBot="1" x14ac:dyDescent="0.35">
      <c r="A147" s="438" t="s">
        <v>421</v>
      </c>
      <c r="B147" s="422">
        <v>127.281057084879</v>
      </c>
      <c r="C147" s="422">
        <v>119.85238</v>
      </c>
      <c r="D147" s="423">
        <v>-7.4286770848790002</v>
      </c>
      <c r="E147" s="429">
        <v>0.941635642765</v>
      </c>
      <c r="F147" s="422">
        <v>0</v>
      </c>
      <c r="G147" s="423">
        <v>0</v>
      </c>
      <c r="H147" s="425">
        <v>0</v>
      </c>
      <c r="I147" s="422">
        <v>0</v>
      </c>
      <c r="J147" s="423">
        <v>0</v>
      </c>
      <c r="K147" s="426" t="s">
        <v>282</v>
      </c>
    </row>
    <row r="148" spans="1:11" ht="14.4" customHeight="1" thickBot="1" x14ac:dyDescent="0.35">
      <c r="A148" s="439" t="s">
        <v>422</v>
      </c>
      <c r="B148" s="417">
        <v>0</v>
      </c>
      <c r="C148" s="417">
        <v>93.456989999998996</v>
      </c>
      <c r="D148" s="418">
        <v>93.456989999998996</v>
      </c>
      <c r="E148" s="427" t="s">
        <v>288</v>
      </c>
      <c r="F148" s="417">
        <v>0</v>
      </c>
      <c r="G148" s="418">
        <v>0</v>
      </c>
      <c r="H148" s="420">
        <v>0</v>
      </c>
      <c r="I148" s="417">
        <v>0</v>
      </c>
      <c r="J148" s="418">
        <v>0</v>
      </c>
      <c r="K148" s="428" t="s">
        <v>282</v>
      </c>
    </row>
    <row r="149" spans="1:11" ht="14.4" customHeight="1" thickBot="1" x14ac:dyDescent="0.35">
      <c r="A149" s="439" t="s">
        <v>423</v>
      </c>
      <c r="B149" s="417">
        <v>0</v>
      </c>
      <c r="C149" s="417">
        <v>8.9540000000000006</v>
      </c>
      <c r="D149" s="418">
        <v>8.9540000000000006</v>
      </c>
      <c r="E149" s="427" t="s">
        <v>282</v>
      </c>
      <c r="F149" s="417">
        <v>0</v>
      </c>
      <c r="G149" s="418">
        <v>0</v>
      </c>
      <c r="H149" s="420">
        <v>0</v>
      </c>
      <c r="I149" s="417">
        <v>0</v>
      </c>
      <c r="J149" s="418">
        <v>0</v>
      </c>
      <c r="K149" s="428" t="s">
        <v>282</v>
      </c>
    </row>
    <row r="150" spans="1:11" ht="14.4" customHeight="1" thickBot="1" x14ac:dyDescent="0.35">
      <c r="A150" s="439" t="s">
        <v>424</v>
      </c>
      <c r="B150" s="417">
        <v>0</v>
      </c>
      <c r="C150" s="417">
        <v>9.0508000000000006</v>
      </c>
      <c r="D150" s="418">
        <v>9.0508000000000006</v>
      </c>
      <c r="E150" s="427" t="s">
        <v>282</v>
      </c>
      <c r="F150" s="417">
        <v>0</v>
      </c>
      <c r="G150" s="418">
        <v>0</v>
      </c>
      <c r="H150" s="420">
        <v>0</v>
      </c>
      <c r="I150" s="417">
        <v>0</v>
      </c>
      <c r="J150" s="418">
        <v>0</v>
      </c>
      <c r="K150" s="428" t="s">
        <v>282</v>
      </c>
    </row>
    <row r="151" spans="1:11" ht="14.4" customHeight="1" thickBot="1" x14ac:dyDescent="0.35">
      <c r="A151" s="439" t="s">
        <v>425</v>
      </c>
      <c r="B151" s="417">
        <v>0</v>
      </c>
      <c r="C151" s="417">
        <v>6.9385899999999996</v>
      </c>
      <c r="D151" s="418">
        <v>6.9385899999999996</v>
      </c>
      <c r="E151" s="427" t="s">
        <v>282</v>
      </c>
      <c r="F151" s="417">
        <v>0</v>
      </c>
      <c r="G151" s="418">
        <v>0</v>
      </c>
      <c r="H151" s="420">
        <v>0</v>
      </c>
      <c r="I151" s="417">
        <v>0</v>
      </c>
      <c r="J151" s="418">
        <v>0</v>
      </c>
      <c r="K151" s="428" t="s">
        <v>282</v>
      </c>
    </row>
    <row r="152" spans="1:11" ht="14.4" customHeight="1" thickBot="1" x14ac:dyDescent="0.35">
      <c r="A152" s="439" t="s">
        <v>426</v>
      </c>
      <c r="B152" s="417">
        <v>0</v>
      </c>
      <c r="C152" s="417">
        <v>1.452</v>
      </c>
      <c r="D152" s="418">
        <v>1.452</v>
      </c>
      <c r="E152" s="427" t="s">
        <v>288</v>
      </c>
      <c r="F152" s="417">
        <v>0</v>
      </c>
      <c r="G152" s="418">
        <v>0</v>
      </c>
      <c r="H152" s="420">
        <v>0</v>
      </c>
      <c r="I152" s="417">
        <v>0</v>
      </c>
      <c r="J152" s="418">
        <v>0</v>
      </c>
      <c r="K152" s="428" t="s">
        <v>282</v>
      </c>
    </row>
    <row r="153" spans="1:11" ht="14.4" customHeight="1" thickBot="1" x14ac:dyDescent="0.35">
      <c r="A153" s="442" t="s">
        <v>427</v>
      </c>
      <c r="B153" s="422">
        <v>3.9707430984249998</v>
      </c>
      <c r="C153" s="422">
        <v>14.060169999999999</v>
      </c>
      <c r="D153" s="423">
        <v>10.089426901574001</v>
      </c>
      <c r="E153" s="429">
        <v>3.5409417460350001</v>
      </c>
      <c r="F153" s="422">
        <v>3.9707430984249998</v>
      </c>
      <c r="G153" s="423">
        <v>3.9707430984249998</v>
      </c>
      <c r="H153" s="425">
        <v>7.2374000000000001</v>
      </c>
      <c r="I153" s="422">
        <v>56.695900000000002</v>
      </c>
      <c r="J153" s="423">
        <v>52.725156901574003</v>
      </c>
      <c r="K153" s="430">
        <v>14.278410512751</v>
      </c>
    </row>
    <row r="154" spans="1:11" ht="14.4" customHeight="1" thickBot="1" x14ac:dyDescent="0.35">
      <c r="A154" s="438" t="s">
        <v>428</v>
      </c>
      <c r="B154" s="422">
        <v>0</v>
      </c>
      <c r="C154" s="422">
        <v>3.6000000000000002E-4</v>
      </c>
      <c r="D154" s="423">
        <v>3.6000000000000002E-4</v>
      </c>
      <c r="E154" s="424" t="s">
        <v>282</v>
      </c>
      <c r="F154" s="422">
        <v>0</v>
      </c>
      <c r="G154" s="423">
        <v>0</v>
      </c>
      <c r="H154" s="425">
        <v>-2.0000000000000002E-5</v>
      </c>
      <c r="I154" s="422">
        <v>-1.3999999999999999E-4</v>
      </c>
      <c r="J154" s="423">
        <v>-1.3999999999999999E-4</v>
      </c>
      <c r="K154" s="426" t="s">
        <v>282</v>
      </c>
    </row>
    <row r="155" spans="1:11" ht="14.4" customHeight="1" thickBot="1" x14ac:dyDescent="0.35">
      <c r="A155" s="439" t="s">
        <v>429</v>
      </c>
      <c r="B155" s="417">
        <v>0</v>
      </c>
      <c r="C155" s="417">
        <v>3.6000000000000002E-4</v>
      </c>
      <c r="D155" s="418">
        <v>3.6000000000000002E-4</v>
      </c>
      <c r="E155" s="427" t="s">
        <v>282</v>
      </c>
      <c r="F155" s="417">
        <v>0</v>
      </c>
      <c r="G155" s="418">
        <v>0</v>
      </c>
      <c r="H155" s="420">
        <v>-2.0000000000000002E-5</v>
      </c>
      <c r="I155" s="417">
        <v>-1.3999999999999999E-4</v>
      </c>
      <c r="J155" s="418">
        <v>-1.3999999999999999E-4</v>
      </c>
      <c r="K155" s="428" t="s">
        <v>282</v>
      </c>
    </row>
    <row r="156" spans="1:11" ht="14.4" customHeight="1" thickBot="1" x14ac:dyDescent="0.35">
      <c r="A156" s="438" t="s">
        <v>430</v>
      </c>
      <c r="B156" s="422">
        <v>3.9707430984249998</v>
      </c>
      <c r="C156" s="422">
        <v>14.059810000000001</v>
      </c>
      <c r="D156" s="423">
        <v>10.089066901574</v>
      </c>
      <c r="E156" s="429">
        <v>3.5408510829050002</v>
      </c>
      <c r="F156" s="422">
        <v>3.9707430984249998</v>
      </c>
      <c r="G156" s="423">
        <v>3.9707430984249998</v>
      </c>
      <c r="H156" s="425">
        <v>7.2374200000000002</v>
      </c>
      <c r="I156" s="422">
        <v>56.696040000000004</v>
      </c>
      <c r="J156" s="423">
        <v>52.725296901573998</v>
      </c>
      <c r="K156" s="430">
        <v>14.278445770635001</v>
      </c>
    </row>
    <row r="157" spans="1:11" ht="14.4" customHeight="1" thickBot="1" x14ac:dyDescent="0.35">
      <c r="A157" s="439" t="s">
        <v>431</v>
      </c>
      <c r="B157" s="417">
        <v>0</v>
      </c>
      <c r="C157" s="417">
        <v>0.38200000000000001</v>
      </c>
      <c r="D157" s="418">
        <v>0.38200000000000001</v>
      </c>
      <c r="E157" s="427" t="s">
        <v>282</v>
      </c>
      <c r="F157" s="417">
        <v>0</v>
      </c>
      <c r="G157" s="418">
        <v>0</v>
      </c>
      <c r="H157" s="420">
        <v>6.0000000000000001E-3</v>
      </c>
      <c r="I157" s="417">
        <v>0.16700000000000001</v>
      </c>
      <c r="J157" s="418">
        <v>0.16700000000000001</v>
      </c>
      <c r="K157" s="428" t="s">
        <v>282</v>
      </c>
    </row>
    <row r="158" spans="1:11" ht="14.4" customHeight="1" thickBot="1" x14ac:dyDescent="0.35">
      <c r="A158" s="439" t="s">
        <v>432</v>
      </c>
      <c r="B158" s="417">
        <v>3.9707430984249998</v>
      </c>
      <c r="C158" s="417">
        <v>13.677809999999999</v>
      </c>
      <c r="D158" s="418">
        <v>9.7070669015740005</v>
      </c>
      <c r="E158" s="419">
        <v>3.4446474276869998</v>
      </c>
      <c r="F158" s="417">
        <v>3.9707430984249998</v>
      </c>
      <c r="G158" s="418">
        <v>3.9707430984249998</v>
      </c>
      <c r="H158" s="420">
        <v>7.23142</v>
      </c>
      <c r="I158" s="417">
        <v>56.529040000000002</v>
      </c>
      <c r="J158" s="418">
        <v>52.558296901574003</v>
      </c>
      <c r="K158" s="421">
        <v>14.236388151730999</v>
      </c>
    </row>
    <row r="159" spans="1:11" ht="14.4" customHeight="1" thickBot="1" x14ac:dyDescent="0.35">
      <c r="A159" s="435" t="s">
        <v>433</v>
      </c>
      <c r="B159" s="417">
        <v>949.28441092578305</v>
      </c>
      <c r="C159" s="417">
        <v>777.24348999999995</v>
      </c>
      <c r="D159" s="418">
        <v>-172.04092092578301</v>
      </c>
      <c r="E159" s="419">
        <v>0.81876778029200004</v>
      </c>
      <c r="F159" s="417">
        <v>855.00056705415398</v>
      </c>
      <c r="G159" s="418">
        <v>855.00056705415398</v>
      </c>
      <c r="H159" s="420">
        <v>116.75570999999999</v>
      </c>
      <c r="I159" s="417">
        <v>862.57258000000002</v>
      </c>
      <c r="J159" s="418">
        <v>7.5720129458459997</v>
      </c>
      <c r="K159" s="421">
        <v>1.008856149618</v>
      </c>
    </row>
    <row r="160" spans="1:11" ht="14.4" customHeight="1" thickBot="1" x14ac:dyDescent="0.35">
      <c r="A160" s="440" t="s">
        <v>434</v>
      </c>
      <c r="B160" s="422">
        <v>949.28441092578305</v>
      </c>
      <c r="C160" s="422">
        <v>777.24348999999995</v>
      </c>
      <c r="D160" s="423">
        <v>-172.04092092578301</v>
      </c>
      <c r="E160" s="429">
        <v>0.81876778029200004</v>
      </c>
      <c r="F160" s="422">
        <v>855.00056705415398</v>
      </c>
      <c r="G160" s="423">
        <v>855.00056705415398</v>
      </c>
      <c r="H160" s="425">
        <v>116.75570999999999</v>
      </c>
      <c r="I160" s="422">
        <v>862.57258000000002</v>
      </c>
      <c r="J160" s="423">
        <v>7.5720129458459997</v>
      </c>
      <c r="K160" s="430">
        <v>1.008856149618</v>
      </c>
    </row>
    <row r="161" spans="1:11" ht="14.4" customHeight="1" thickBot="1" x14ac:dyDescent="0.35">
      <c r="A161" s="442" t="s">
        <v>54</v>
      </c>
      <c r="B161" s="422">
        <v>949.28441092578305</v>
      </c>
      <c r="C161" s="422">
        <v>777.24348999999995</v>
      </c>
      <c r="D161" s="423">
        <v>-172.04092092578301</v>
      </c>
      <c r="E161" s="429">
        <v>0.81876778029200004</v>
      </c>
      <c r="F161" s="422">
        <v>855.00056705415398</v>
      </c>
      <c r="G161" s="423">
        <v>855.00056705415398</v>
      </c>
      <c r="H161" s="425">
        <v>116.75570999999999</v>
      </c>
      <c r="I161" s="422">
        <v>862.57258000000002</v>
      </c>
      <c r="J161" s="423">
        <v>7.5720129458459997</v>
      </c>
      <c r="K161" s="430">
        <v>1.008856149618</v>
      </c>
    </row>
    <row r="162" spans="1:11" ht="14.4" customHeight="1" thickBot="1" x14ac:dyDescent="0.35">
      <c r="A162" s="438" t="s">
        <v>435</v>
      </c>
      <c r="B162" s="422">
        <v>51.999999999998998</v>
      </c>
      <c r="C162" s="422">
        <v>17.923919999999999</v>
      </c>
      <c r="D162" s="423">
        <v>-34.076079999999003</v>
      </c>
      <c r="E162" s="429">
        <v>0.34469076923000003</v>
      </c>
      <c r="F162" s="422">
        <v>15</v>
      </c>
      <c r="G162" s="423">
        <v>15</v>
      </c>
      <c r="H162" s="425">
        <v>1.3301000000000001</v>
      </c>
      <c r="I162" s="422">
        <v>17.106120000000001</v>
      </c>
      <c r="J162" s="423">
        <v>2.1061200000000002</v>
      </c>
      <c r="K162" s="430">
        <v>1.1404080000000001</v>
      </c>
    </row>
    <row r="163" spans="1:11" ht="14.4" customHeight="1" thickBot="1" x14ac:dyDescent="0.35">
      <c r="A163" s="439" t="s">
        <v>436</v>
      </c>
      <c r="B163" s="417">
        <v>51.999999999998998</v>
      </c>
      <c r="C163" s="417">
        <v>17.923919999999999</v>
      </c>
      <c r="D163" s="418">
        <v>-34.076079999999003</v>
      </c>
      <c r="E163" s="419">
        <v>0.34469076923000003</v>
      </c>
      <c r="F163" s="417">
        <v>15</v>
      </c>
      <c r="G163" s="418">
        <v>15</v>
      </c>
      <c r="H163" s="420">
        <v>1.3301000000000001</v>
      </c>
      <c r="I163" s="417">
        <v>17.106120000000001</v>
      </c>
      <c r="J163" s="418">
        <v>2.1061200000000002</v>
      </c>
      <c r="K163" s="421">
        <v>1.1404080000000001</v>
      </c>
    </row>
    <row r="164" spans="1:11" ht="14.4" customHeight="1" thickBot="1" x14ac:dyDescent="0.35">
      <c r="A164" s="438" t="s">
        <v>437</v>
      </c>
      <c r="B164" s="422">
        <v>14.413506160984999</v>
      </c>
      <c r="C164" s="422">
        <v>1.84</v>
      </c>
      <c r="D164" s="423">
        <v>-12.573506160985</v>
      </c>
      <c r="E164" s="429">
        <v>0.12765804374299999</v>
      </c>
      <c r="F164" s="422">
        <v>4.0005670541529996</v>
      </c>
      <c r="G164" s="423">
        <v>4.0005670541529996</v>
      </c>
      <c r="H164" s="425">
        <v>0.29399999999999998</v>
      </c>
      <c r="I164" s="422">
        <v>5.0763999999999996</v>
      </c>
      <c r="J164" s="423">
        <v>1.0758329458460001</v>
      </c>
      <c r="K164" s="430">
        <v>1.268920113394</v>
      </c>
    </row>
    <row r="165" spans="1:11" ht="14.4" customHeight="1" thickBot="1" x14ac:dyDescent="0.35">
      <c r="A165" s="439" t="s">
        <v>438</v>
      </c>
      <c r="B165" s="417">
        <v>14.413506160984999</v>
      </c>
      <c r="C165" s="417">
        <v>1.84</v>
      </c>
      <c r="D165" s="418">
        <v>-12.573506160985</v>
      </c>
      <c r="E165" s="419">
        <v>0.12765804374299999</v>
      </c>
      <c r="F165" s="417">
        <v>4.0005670541529996</v>
      </c>
      <c r="G165" s="418">
        <v>4.0005670541529996</v>
      </c>
      <c r="H165" s="420">
        <v>0.29399999999999998</v>
      </c>
      <c r="I165" s="417">
        <v>5.0763999999999996</v>
      </c>
      <c r="J165" s="418">
        <v>1.0758329458460001</v>
      </c>
      <c r="K165" s="421">
        <v>1.268920113394</v>
      </c>
    </row>
    <row r="166" spans="1:11" ht="14.4" customHeight="1" thickBot="1" x14ac:dyDescent="0.35">
      <c r="A166" s="438" t="s">
        <v>439</v>
      </c>
      <c r="B166" s="422">
        <v>31.870904764809001</v>
      </c>
      <c r="C166" s="422">
        <v>33.2774</v>
      </c>
      <c r="D166" s="423">
        <v>1.40649523519</v>
      </c>
      <c r="E166" s="429">
        <v>1.044131010574</v>
      </c>
      <c r="F166" s="422">
        <v>36</v>
      </c>
      <c r="G166" s="423">
        <v>36</v>
      </c>
      <c r="H166" s="425">
        <v>1.81332</v>
      </c>
      <c r="I166" s="422">
        <v>29.622920000000001</v>
      </c>
      <c r="J166" s="423">
        <v>-6.3770800000000003</v>
      </c>
      <c r="K166" s="430">
        <v>0.82285888888799996</v>
      </c>
    </row>
    <row r="167" spans="1:11" ht="14.4" customHeight="1" thickBot="1" x14ac:dyDescent="0.35">
      <c r="A167" s="439" t="s">
        <v>440</v>
      </c>
      <c r="B167" s="417">
        <v>31.870904764809001</v>
      </c>
      <c r="C167" s="417">
        <v>33.2774</v>
      </c>
      <c r="D167" s="418">
        <v>1.40649523519</v>
      </c>
      <c r="E167" s="419">
        <v>1.044131010574</v>
      </c>
      <c r="F167" s="417">
        <v>36</v>
      </c>
      <c r="G167" s="418">
        <v>36</v>
      </c>
      <c r="H167" s="420">
        <v>1.81332</v>
      </c>
      <c r="I167" s="417">
        <v>29.622920000000001</v>
      </c>
      <c r="J167" s="418">
        <v>-6.3770800000000003</v>
      </c>
      <c r="K167" s="421">
        <v>0.82285888888799996</v>
      </c>
    </row>
    <row r="168" spans="1:11" ht="14.4" customHeight="1" thickBot="1" x14ac:dyDescent="0.35">
      <c r="A168" s="438" t="s">
        <v>441</v>
      </c>
      <c r="B168" s="422">
        <v>0</v>
      </c>
      <c r="C168" s="422">
        <v>0.43</v>
      </c>
      <c r="D168" s="423">
        <v>0.43</v>
      </c>
      <c r="E168" s="424" t="s">
        <v>282</v>
      </c>
      <c r="F168" s="422">
        <v>0</v>
      </c>
      <c r="G168" s="423">
        <v>0</v>
      </c>
      <c r="H168" s="425">
        <v>0</v>
      </c>
      <c r="I168" s="422">
        <v>0.78900000000000003</v>
      </c>
      <c r="J168" s="423">
        <v>0.78900000000000003</v>
      </c>
      <c r="K168" s="426" t="s">
        <v>288</v>
      </c>
    </row>
    <row r="169" spans="1:11" ht="14.4" customHeight="1" thickBot="1" x14ac:dyDescent="0.35">
      <c r="A169" s="439" t="s">
        <v>442</v>
      </c>
      <c r="B169" s="417">
        <v>0</v>
      </c>
      <c r="C169" s="417">
        <v>0.43</v>
      </c>
      <c r="D169" s="418">
        <v>0.43</v>
      </c>
      <c r="E169" s="427" t="s">
        <v>282</v>
      </c>
      <c r="F169" s="417">
        <v>0</v>
      </c>
      <c r="G169" s="418">
        <v>0</v>
      </c>
      <c r="H169" s="420">
        <v>0</v>
      </c>
      <c r="I169" s="417">
        <v>0.78900000000000003</v>
      </c>
      <c r="J169" s="418">
        <v>0.78900000000000003</v>
      </c>
      <c r="K169" s="428" t="s">
        <v>288</v>
      </c>
    </row>
    <row r="170" spans="1:11" ht="14.4" customHeight="1" thickBot="1" x14ac:dyDescent="0.35">
      <c r="A170" s="438" t="s">
        <v>443</v>
      </c>
      <c r="B170" s="422">
        <v>213.99999999999699</v>
      </c>
      <c r="C170" s="422">
        <v>189.51232999999999</v>
      </c>
      <c r="D170" s="423">
        <v>-24.487669999996999</v>
      </c>
      <c r="E170" s="429">
        <v>0.88557163551399998</v>
      </c>
      <c r="F170" s="422">
        <v>267</v>
      </c>
      <c r="G170" s="423">
        <v>267</v>
      </c>
      <c r="H170" s="425">
        <v>28.433009999999999</v>
      </c>
      <c r="I170" s="422">
        <v>235.55105</v>
      </c>
      <c r="J170" s="423">
        <v>-31.44895</v>
      </c>
      <c r="K170" s="430">
        <v>0.88221367041099996</v>
      </c>
    </row>
    <row r="171" spans="1:11" ht="14.4" customHeight="1" thickBot="1" x14ac:dyDescent="0.35">
      <c r="A171" s="439" t="s">
        <v>444</v>
      </c>
      <c r="B171" s="417">
        <v>213.99999999999699</v>
      </c>
      <c r="C171" s="417">
        <v>189.43817000000001</v>
      </c>
      <c r="D171" s="418">
        <v>-24.561829999996998</v>
      </c>
      <c r="E171" s="419">
        <v>0.88522509345699996</v>
      </c>
      <c r="F171" s="417">
        <v>263</v>
      </c>
      <c r="G171" s="418">
        <v>263</v>
      </c>
      <c r="H171" s="420">
        <v>27.890090000000001</v>
      </c>
      <c r="I171" s="417">
        <v>230.87762000000001</v>
      </c>
      <c r="J171" s="418">
        <v>-32.12238</v>
      </c>
      <c r="K171" s="421">
        <v>0.877861673003</v>
      </c>
    </row>
    <row r="172" spans="1:11" ht="14.4" customHeight="1" thickBot="1" x14ac:dyDescent="0.35">
      <c r="A172" s="439" t="s">
        <v>445</v>
      </c>
      <c r="B172" s="417">
        <v>0</v>
      </c>
      <c r="C172" s="417">
        <v>7.4160000000000004E-2</v>
      </c>
      <c r="D172" s="418">
        <v>7.4160000000000004E-2</v>
      </c>
      <c r="E172" s="427" t="s">
        <v>282</v>
      </c>
      <c r="F172" s="417">
        <v>4</v>
      </c>
      <c r="G172" s="418">
        <v>4</v>
      </c>
      <c r="H172" s="420">
        <v>0.54291999999999996</v>
      </c>
      <c r="I172" s="417">
        <v>4.6734299999999998</v>
      </c>
      <c r="J172" s="418">
        <v>0.673429999999</v>
      </c>
      <c r="K172" s="421">
        <v>1.1683574999999999</v>
      </c>
    </row>
    <row r="173" spans="1:11" ht="14.4" customHeight="1" thickBot="1" x14ac:dyDescent="0.35">
      <c r="A173" s="438" t="s">
        <v>446</v>
      </c>
      <c r="B173" s="422">
        <v>636.99999999999204</v>
      </c>
      <c r="C173" s="422">
        <v>534.25984000000005</v>
      </c>
      <c r="D173" s="423">
        <v>-102.740159999992</v>
      </c>
      <c r="E173" s="429">
        <v>0.83871246467799998</v>
      </c>
      <c r="F173" s="422">
        <v>533</v>
      </c>
      <c r="G173" s="423">
        <v>533</v>
      </c>
      <c r="H173" s="425">
        <v>84.885279999999995</v>
      </c>
      <c r="I173" s="422">
        <v>574.42709000000002</v>
      </c>
      <c r="J173" s="423">
        <v>41.427089999998998</v>
      </c>
      <c r="K173" s="430">
        <v>1.077724371482</v>
      </c>
    </row>
    <row r="174" spans="1:11" ht="14.4" customHeight="1" thickBot="1" x14ac:dyDescent="0.35">
      <c r="A174" s="439" t="s">
        <v>447</v>
      </c>
      <c r="B174" s="417">
        <v>636.99999999999204</v>
      </c>
      <c r="C174" s="417">
        <v>534.25984000000005</v>
      </c>
      <c r="D174" s="418">
        <v>-102.740159999992</v>
      </c>
      <c r="E174" s="419">
        <v>0.83871246467799998</v>
      </c>
      <c r="F174" s="417">
        <v>533</v>
      </c>
      <c r="G174" s="418">
        <v>533</v>
      </c>
      <c r="H174" s="420">
        <v>84.885279999999995</v>
      </c>
      <c r="I174" s="417">
        <v>574.42709000000002</v>
      </c>
      <c r="J174" s="418">
        <v>41.427089999998998</v>
      </c>
      <c r="K174" s="421">
        <v>1.077724371482</v>
      </c>
    </row>
    <row r="175" spans="1:11" ht="14.4" customHeight="1" thickBot="1" x14ac:dyDescent="0.35">
      <c r="A175" s="443" t="s">
        <v>448</v>
      </c>
      <c r="B175" s="422">
        <v>0</v>
      </c>
      <c r="C175" s="422">
        <v>3.7408100000000002</v>
      </c>
      <c r="D175" s="423">
        <v>3.7408100000000002</v>
      </c>
      <c r="E175" s="424" t="s">
        <v>282</v>
      </c>
      <c r="F175" s="422">
        <v>0</v>
      </c>
      <c r="G175" s="423">
        <v>0</v>
      </c>
      <c r="H175" s="425">
        <v>0.73938000000000004</v>
      </c>
      <c r="I175" s="422">
        <v>9.6464499999999997</v>
      </c>
      <c r="J175" s="423">
        <v>9.6464499999999997</v>
      </c>
      <c r="K175" s="426" t="s">
        <v>288</v>
      </c>
    </row>
    <row r="176" spans="1:11" ht="14.4" customHeight="1" thickBot="1" x14ac:dyDescent="0.35">
      <c r="A176" s="440" t="s">
        <v>449</v>
      </c>
      <c r="B176" s="422">
        <v>0</v>
      </c>
      <c r="C176" s="422">
        <v>3.7408100000000002</v>
      </c>
      <c r="D176" s="423">
        <v>3.7408100000000002</v>
      </c>
      <c r="E176" s="424" t="s">
        <v>282</v>
      </c>
      <c r="F176" s="422">
        <v>0</v>
      </c>
      <c r="G176" s="423">
        <v>0</v>
      </c>
      <c r="H176" s="425">
        <v>0.73938000000000004</v>
      </c>
      <c r="I176" s="422">
        <v>9.6464499999999997</v>
      </c>
      <c r="J176" s="423">
        <v>9.6464499999999997</v>
      </c>
      <c r="K176" s="426" t="s">
        <v>288</v>
      </c>
    </row>
    <row r="177" spans="1:11" ht="14.4" customHeight="1" thickBot="1" x14ac:dyDescent="0.35">
      <c r="A177" s="442" t="s">
        <v>450</v>
      </c>
      <c r="B177" s="422">
        <v>0</v>
      </c>
      <c r="C177" s="422">
        <v>3.7408100000000002</v>
      </c>
      <c r="D177" s="423">
        <v>3.7408100000000002</v>
      </c>
      <c r="E177" s="424" t="s">
        <v>282</v>
      </c>
      <c r="F177" s="422">
        <v>0</v>
      </c>
      <c r="G177" s="423">
        <v>0</v>
      </c>
      <c r="H177" s="425">
        <v>0.73938000000000004</v>
      </c>
      <c r="I177" s="422">
        <v>9.6464499999999997</v>
      </c>
      <c r="J177" s="423">
        <v>9.6464499999999997</v>
      </c>
      <c r="K177" s="426" t="s">
        <v>288</v>
      </c>
    </row>
    <row r="178" spans="1:11" ht="14.4" customHeight="1" thickBot="1" x14ac:dyDescent="0.35">
      <c r="A178" s="438" t="s">
        <v>451</v>
      </c>
      <c r="B178" s="422">
        <v>0</v>
      </c>
      <c r="C178" s="422">
        <v>3.7408100000000002</v>
      </c>
      <c r="D178" s="423">
        <v>3.7408100000000002</v>
      </c>
      <c r="E178" s="424" t="s">
        <v>282</v>
      </c>
      <c r="F178" s="422">
        <v>0</v>
      </c>
      <c r="G178" s="423">
        <v>0</v>
      </c>
      <c r="H178" s="425">
        <v>0.73938000000000004</v>
      </c>
      <c r="I178" s="422">
        <v>9.6464499999999997</v>
      </c>
      <c r="J178" s="423">
        <v>9.6464499999999997</v>
      </c>
      <c r="K178" s="426" t="s">
        <v>288</v>
      </c>
    </row>
    <row r="179" spans="1:11" ht="14.4" customHeight="1" thickBot="1" x14ac:dyDescent="0.35">
      <c r="A179" s="439" t="s">
        <v>452</v>
      </c>
      <c r="B179" s="417">
        <v>0</v>
      </c>
      <c r="C179" s="417">
        <v>3.7408100000000002</v>
      </c>
      <c r="D179" s="418">
        <v>3.7408100000000002</v>
      </c>
      <c r="E179" s="427" t="s">
        <v>282</v>
      </c>
      <c r="F179" s="417">
        <v>0</v>
      </c>
      <c r="G179" s="418">
        <v>0</v>
      </c>
      <c r="H179" s="420">
        <v>0.73938000000000004</v>
      </c>
      <c r="I179" s="417">
        <v>9.6464499999999997</v>
      </c>
      <c r="J179" s="418">
        <v>9.6464499999999997</v>
      </c>
      <c r="K179" s="428" t="s">
        <v>288</v>
      </c>
    </row>
    <row r="180" spans="1:11" ht="14.4" customHeight="1" thickBot="1" x14ac:dyDescent="0.35">
      <c r="A180" s="444"/>
      <c r="B180" s="417">
        <v>-3431.2227752365002</v>
      </c>
      <c r="C180" s="417">
        <v>-4085.56574</v>
      </c>
      <c r="D180" s="418">
        <v>-654.34296476350096</v>
      </c>
      <c r="E180" s="419">
        <v>1.1907025592989999</v>
      </c>
      <c r="F180" s="417">
        <v>-3812.8483126163901</v>
      </c>
      <c r="G180" s="418">
        <v>-3812.8483126163901</v>
      </c>
      <c r="H180" s="420">
        <v>-509.22505000000001</v>
      </c>
      <c r="I180" s="417">
        <v>-3240.8558499999999</v>
      </c>
      <c r="J180" s="418">
        <v>571.99246261638405</v>
      </c>
      <c r="K180" s="421">
        <v>0.84998289579800002</v>
      </c>
    </row>
    <row r="181" spans="1:11" ht="14.4" customHeight="1" thickBot="1" x14ac:dyDescent="0.35">
      <c r="A181" s="445" t="s">
        <v>66</v>
      </c>
      <c r="B181" s="431">
        <v>-3431.2227752365002</v>
      </c>
      <c r="C181" s="431">
        <v>-4085.56574</v>
      </c>
      <c r="D181" s="432">
        <v>-654.34296476349698</v>
      </c>
      <c r="E181" s="433" t="s">
        <v>282</v>
      </c>
      <c r="F181" s="431">
        <v>-3812.8483126163901</v>
      </c>
      <c r="G181" s="432">
        <v>-3812.8483126163901</v>
      </c>
      <c r="H181" s="431">
        <v>-509.22505000000001</v>
      </c>
      <c r="I181" s="431">
        <v>-3240.8558499999999</v>
      </c>
      <c r="J181" s="432">
        <v>571.99246261638405</v>
      </c>
      <c r="K181" s="434">
        <v>0.84998289579800002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9" customWidth="1"/>
    <col min="2" max="2" width="61.109375" style="209" customWidth="1"/>
    <col min="3" max="3" width="9.5546875" style="130" customWidth="1"/>
    <col min="4" max="4" width="9.5546875" style="210" customWidth="1"/>
    <col min="5" max="5" width="2.21875" style="210" customWidth="1"/>
    <col min="6" max="6" width="9.5546875" style="211" customWidth="1"/>
    <col min="7" max="7" width="9.5546875" style="208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139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5" t="s">
        <v>281</v>
      </c>
      <c r="B2" s="207"/>
      <c r="C2" s="207"/>
      <c r="D2" s="207"/>
      <c r="E2" s="207"/>
      <c r="F2" s="207"/>
    </row>
    <row r="3" spans="1:10" ht="14.4" customHeight="1" thickBot="1" x14ac:dyDescent="0.35">
      <c r="A3" s="235"/>
      <c r="B3" s="207"/>
      <c r="C3" s="293">
        <v>2012</v>
      </c>
      <c r="D3" s="294">
        <v>2013</v>
      </c>
      <c r="E3" s="7"/>
      <c r="F3" s="349">
        <v>2014</v>
      </c>
      <c r="G3" s="350"/>
      <c r="H3" s="350"/>
      <c r="I3" s="351"/>
    </row>
    <row r="4" spans="1:10" ht="14.4" customHeight="1" thickBot="1" x14ac:dyDescent="0.35">
      <c r="A4" s="298" t="s">
        <v>0</v>
      </c>
      <c r="B4" s="299" t="s">
        <v>266</v>
      </c>
      <c r="C4" s="352" t="s">
        <v>73</v>
      </c>
      <c r="D4" s="353"/>
      <c r="E4" s="300"/>
      <c r="F4" s="295" t="s">
        <v>73</v>
      </c>
      <c r="G4" s="296" t="s">
        <v>74</v>
      </c>
      <c r="H4" s="296" t="s">
        <v>68</v>
      </c>
      <c r="I4" s="297" t="s">
        <v>75</v>
      </c>
    </row>
    <row r="5" spans="1:10" ht="14.4" customHeight="1" x14ac:dyDescent="0.3">
      <c r="A5" s="446" t="s">
        <v>453</v>
      </c>
      <c r="B5" s="447" t="s">
        <v>454</v>
      </c>
      <c r="C5" s="448" t="s">
        <v>455</v>
      </c>
      <c r="D5" s="448" t="s">
        <v>455</v>
      </c>
      <c r="E5" s="448"/>
      <c r="F5" s="448" t="s">
        <v>455</v>
      </c>
      <c r="G5" s="448" t="s">
        <v>455</v>
      </c>
      <c r="H5" s="448" t="s">
        <v>455</v>
      </c>
      <c r="I5" s="449" t="s">
        <v>455</v>
      </c>
      <c r="J5" s="450" t="s">
        <v>69</v>
      </c>
    </row>
    <row r="6" spans="1:10" ht="14.4" customHeight="1" x14ac:dyDescent="0.3">
      <c r="A6" s="446" t="s">
        <v>453</v>
      </c>
      <c r="B6" s="447" t="s">
        <v>291</v>
      </c>
      <c r="C6" s="448">
        <v>2.1375999999999999</v>
      </c>
      <c r="D6" s="448">
        <v>1.6395899999990002</v>
      </c>
      <c r="E6" s="448"/>
      <c r="F6" s="448">
        <v>1.6068500000000001</v>
      </c>
      <c r="G6" s="448">
        <v>1.6408319741070003</v>
      </c>
      <c r="H6" s="448">
        <v>-3.3981974107000212E-2</v>
      </c>
      <c r="I6" s="449">
        <v>0.97928979039703656</v>
      </c>
      <c r="J6" s="450" t="s">
        <v>1</v>
      </c>
    </row>
    <row r="7" spans="1:10" ht="14.4" customHeight="1" x14ac:dyDescent="0.3">
      <c r="A7" s="446" t="s">
        <v>453</v>
      </c>
      <c r="B7" s="447" t="s">
        <v>292</v>
      </c>
      <c r="C7" s="448">
        <v>12.8184</v>
      </c>
      <c r="D7" s="448">
        <v>1.9136</v>
      </c>
      <c r="E7" s="448"/>
      <c r="F7" s="448">
        <v>0</v>
      </c>
      <c r="G7" s="448">
        <v>1.8307816601710001</v>
      </c>
      <c r="H7" s="448">
        <v>-1.8307816601710001</v>
      </c>
      <c r="I7" s="449">
        <v>0</v>
      </c>
      <c r="J7" s="450" t="s">
        <v>1</v>
      </c>
    </row>
    <row r="8" spans="1:10" ht="14.4" customHeight="1" x14ac:dyDescent="0.3">
      <c r="A8" s="446" t="s">
        <v>453</v>
      </c>
      <c r="B8" s="447" t="s">
        <v>456</v>
      </c>
      <c r="C8" s="448">
        <v>14.956</v>
      </c>
      <c r="D8" s="448">
        <v>3.5531899999990002</v>
      </c>
      <c r="E8" s="448"/>
      <c r="F8" s="448">
        <v>1.6068500000000001</v>
      </c>
      <c r="G8" s="448">
        <v>3.4716136342780004</v>
      </c>
      <c r="H8" s="448">
        <v>-1.8647636342780003</v>
      </c>
      <c r="I8" s="449">
        <v>0.46285392594794911</v>
      </c>
      <c r="J8" s="450" t="s">
        <v>457</v>
      </c>
    </row>
    <row r="10" spans="1:10" ht="14.4" customHeight="1" x14ac:dyDescent="0.3">
      <c r="A10" s="446" t="s">
        <v>453</v>
      </c>
      <c r="B10" s="447" t="s">
        <v>454</v>
      </c>
      <c r="C10" s="448" t="s">
        <v>455</v>
      </c>
      <c r="D10" s="448" t="s">
        <v>455</v>
      </c>
      <c r="E10" s="448"/>
      <c r="F10" s="448" t="s">
        <v>455</v>
      </c>
      <c r="G10" s="448" t="s">
        <v>455</v>
      </c>
      <c r="H10" s="448" t="s">
        <v>455</v>
      </c>
      <c r="I10" s="449" t="s">
        <v>455</v>
      </c>
      <c r="J10" s="450" t="s">
        <v>69</v>
      </c>
    </row>
    <row r="11" spans="1:10" ht="14.4" customHeight="1" x14ac:dyDescent="0.3">
      <c r="A11" s="446" t="s">
        <v>458</v>
      </c>
      <c r="B11" s="447" t="s">
        <v>459</v>
      </c>
      <c r="C11" s="448" t="s">
        <v>455</v>
      </c>
      <c r="D11" s="448" t="s">
        <v>455</v>
      </c>
      <c r="E11" s="448"/>
      <c r="F11" s="448" t="s">
        <v>455</v>
      </c>
      <c r="G11" s="448" t="s">
        <v>455</v>
      </c>
      <c r="H11" s="448" t="s">
        <v>455</v>
      </c>
      <c r="I11" s="449" t="s">
        <v>455</v>
      </c>
      <c r="J11" s="450" t="s">
        <v>0</v>
      </c>
    </row>
    <row r="12" spans="1:10" ht="14.4" customHeight="1" x14ac:dyDescent="0.3">
      <c r="A12" s="446" t="s">
        <v>458</v>
      </c>
      <c r="B12" s="447" t="s">
        <v>291</v>
      </c>
      <c r="C12" s="448">
        <v>2.1375999999999999</v>
      </c>
      <c r="D12" s="448">
        <v>1.6395899999990002</v>
      </c>
      <c r="E12" s="448"/>
      <c r="F12" s="448">
        <v>1.6068500000000001</v>
      </c>
      <c r="G12" s="448">
        <v>1.6408319741070003</v>
      </c>
      <c r="H12" s="448">
        <v>-3.3981974107000212E-2</v>
      </c>
      <c r="I12" s="449">
        <v>0.97928979039703656</v>
      </c>
      <c r="J12" s="450" t="s">
        <v>1</v>
      </c>
    </row>
    <row r="13" spans="1:10" ht="14.4" customHeight="1" x14ac:dyDescent="0.3">
      <c r="A13" s="446" t="s">
        <v>458</v>
      </c>
      <c r="B13" s="447" t="s">
        <v>292</v>
      </c>
      <c r="C13" s="448">
        <v>12.8184</v>
      </c>
      <c r="D13" s="448">
        <v>1.9136</v>
      </c>
      <c r="E13" s="448"/>
      <c r="F13" s="448">
        <v>0</v>
      </c>
      <c r="G13" s="448">
        <v>1.8307816601710001</v>
      </c>
      <c r="H13" s="448">
        <v>-1.8307816601710001</v>
      </c>
      <c r="I13" s="449">
        <v>0</v>
      </c>
      <c r="J13" s="450" t="s">
        <v>1</v>
      </c>
    </row>
    <row r="14" spans="1:10" ht="14.4" customHeight="1" x14ac:dyDescent="0.3">
      <c r="A14" s="446" t="s">
        <v>458</v>
      </c>
      <c r="B14" s="447" t="s">
        <v>460</v>
      </c>
      <c r="C14" s="448">
        <v>14.956</v>
      </c>
      <c r="D14" s="448">
        <v>3.5531899999990002</v>
      </c>
      <c r="E14" s="448"/>
      <c r="F14" s="448">
        <v>1.6068500000000001</v>
      </c>
      <c r="G14" s="448">
        <v>3.4716136342780004</v>
      </c>
      <c r="H14" s="448">
        <v>-1.8647636342780003</v>
      </c>
      <c r="I14" s="449">
        <v>0.46285392594794911</v>
      </c>
      <c r="J14" s="450" t="s">
        <v>461</v>
      </c>
    </row>
    <row r="15" spans="1:10" ht="14.4" customHeight="1" x14ac:dyDescent="0.3">
      <c r="A15" s="446" t="s">
        <v>455</v>
      </c>
      <c r="B15" s="447" t="s">
        <v>455</v>
      </c>
      <c r="C15" s="448" t="s">
        <v>455</v>
      </c>
      <c r="D15" s="448" t="s">
        <v>455</v>
      </c>
      <c r="E15" s="448"/>
      <c r="F15" s="448" t="s">
        <v>455</v>
      </c>
      <c r="G15" s="448" t="s">
        <v>455</v>
      </c>
      <c r="H15" s="448" t="s">
        <v>455</v>
      </c>
      <c r="I15" s="449" t="s">
        <v>455</v>
      </c>
      <c r="J15" s="450" t="s">
        <v>462</v>
      </c>
    </row>
    <row r="16" spans="1:10" ht="14.4" customHeight="1" x14ac:dyDescent="0.3">
      <c r="A16" s="446" t="s">
        <v>453</v>
      </c>
      <c r="B16" s="447" t="s">
        <v>456</v>
      </c>
      <c r="C16" s="448">
        <v>14.956</v>
      </c>
      <c r="D16" s="448">
        <v>3.5531899999990002</v>
      </c>
      <c r="E16" s="448"/>
      <c r="F16" s="448">
        <v>1.6068500000000001</v>
      </c>
      <c r="G16" s="448">
        <v>3.4716136342780004</v>
      </c>
      <c r="H16" s="448">
        <v>-1.8647636342780003</v>
      </c>
      <c r="I16" s="449">
        <v>0.46285392594794911</v>
      </c>
      <c r="J16" s="450" t="s">
        <v>457</v>
      </c>
    </row>
  </sheetData>
  <mergeCells count="3">
    <mergeCell ref="F3:I3"/>
    <mergeCell ref="C4:D4"/>
    <mergeCell ref="A1:I1"/>
  </mergeCells>
  <conditionalFormatting sqref="F9 F17:F65537">
    <cfRule type="cellIs" dxfId="54" priority="18" stopIfTrue="1" operator="greaterThan">
      <formula>1</formula>
    </cfRule>
  </conditionalFormatting>
  <conditionalFormatting sqref="H5:H8">
    <cfRule type="expression" dxfId="53" priority="14">
      <formula>$H5&gt;0</formula>
    </cfRule>
  </conditionalFormatting>
  <conditionalFormatting sqref="I5:I8">
    <cfRule type="expression" dxfId="52" priority="15">
      <formula>$I5&gt;1</formula>
    </cfRule>
  </conditionalFormatting>
  <conditionalFormatting sqref="B5:B8">
    <cfRule type="expression" dxfId="51" priority="11">
      <formula>OR($J5="NS",$J5="SumaNS",$J5="Účet")</formula>
    </cfRule>
  </conditionalFormatting>
  <conditionalFormatting sqref="B5:D8 F5:I8">
    <cfRule type="expression" dxfId="50" priority="17">
      <formula>AND($J5&lt;&gt;"",$J5&lt;&gt;"mezeraKL")</formula>
    </cfRule>
  </conditionalFormatting>
  <conditionalFormatting sqref="B5:D8 F5:I8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8" priority="13">
      <formula>OR($J5="SumaNS",$J5="NS")</formula>
    </cfRule>
  </conditionalFormatting>
  <conditionalFormatting sqref="A5:A8">
    <cfRule type="expression" dxfId="47" priority="9">
      <formula>AND($J5&lt;&gt;"mezeraKL",$J5&lt;&gt;"")</formula>
    </cfRule>
  </conditionalFormatting>
  <conditionalFormatting sqref="A5:A8">
    <cfRule type="expression" dxfId="46" priority="10">
      <formula>AND($J5&lt;&gt;"",$J5&lt;&gt;"mezeraKL")</formula>
    </cfRule>
  </conditionalFormatting>
  <conditionalFormatting sqref="H10:H16">
    <cfRule type="expression" dxfId="45" priority="5">
      <formula>$H10&gt;0</formula>
    </cfRule>
  </conditionalFormatting>
  <conditionalFormatting sqref="A10:A16">
    <cfRule type="expression" dxfId="44" priority="2">
      <formula>AND($J10&lt;&gt;"mezeraKL",$J10&lt;&gt;"")</formula>
    </cfRule>
  </conditionalFormatting>
  <conditionalFormatting sqref="I10:I16">
    <cfRule type="expression" dxfId="43" priority="6">
      <formula>$I10&gt;1</formula>
    </cfRule>
  </conditionalFormatting>
  <conditionalFormatting sqref="B10:B16">
    <cfRule type="expression" dxfId="42" priority="1">
      <formula>OR($J10="NS",$J10="SumaNS",$J10="Účet")</formula>
    </cfRule>
  </conditionalFormatting>
  <conditionalFormatting sqref="A10:D16 F10:I16">
    <cfRule type="expression" dxfId="41" priority="8">
      <formula>AND($J10&lt;&gt;"",$J10&lt;&gt;"mezeraKL")</formula>
    </cfRule>
  </conditionalFormatting>
  <conditionalFormatting sqref="B10:D16 F10:I16">
    <cfRule type="expression" dxfId="40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39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10" bestFit="1" customWidth="1" collapsed="1"/>
    <col min="4" max="4" width="18.77734375" style="214" customWidth="1"/>
    <col min="5" max="5" width="9" style="210" bestFit="1" customWidth="1"/>
    <col min="6" max="6" width="18.77734375" style="214" customWidth="1"/>
    <col min="7" max="7" width="5" style="210" customWidth="1"/>
    <col min="8" max="8" width="12.44140625" style="210" hidden="1" customWidth="1" outlineLevel="1"/>
    <col min="9" max="9" width="8.5546875" style="210" hidden="1" customWidth="1" outlineLevel="1"/>
    <col min="10" max="10" width="25.77734375" style="210" customWidth="1" collapsed="1"/>
    <col min="11" max="11" width="8.77734375" style="210" customWidth="1"/>
    <col min="12" max="13" width="7.77734375" style="208" customWidth="1"/>
    <col min="14" max="14" width="11.109375" style="208" customWidth="1"/>
    <col min="15" max="16384" width="8.88671875" style="130"/>
  </cols>
  <sheetData>
    <row r="1" spans="1:14" ht="18.600000000000001" customHeight="1" thickBot="1" x14ac:dyDescent="0.4">
      <c r="A1" s="361" t="s">
        <v>166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1:14" ht="14.4" customHeight="1" thickBot="1" x14ac:dyDescent="0.35">
      <c r="A2" s="235" t="s">
        <v>281</v>
      </c>
      <c r="B2" s="62"/>
      <c r="C2" s="212"/>
      <c r="D2" s="212"/>
      <c r="E2" s="212"/>
      <c r="F2" s="212"/>
      <c r="G2" s="212"/>
      <c r="H2" s="212"/>
      <c r="I2" s="212"/>
      <c r="J2" s="212"/>
      <c r="K2" s="212"/>
      <c r="L2" s="213"/>
      <c r="M2" s="213"/>
      <c r="N2" s="213"/>
    </row>
    <row r="3" spans="1:14" ht="14.4" customHeight="1" thickBot="1" x14ac:dyDescent="0.35">
      <c r="A3" s="62"/>
      <c r="B3" s="62"/>
      <c r="C3" s="357"/>
      <c r="D3" s="358"/>
      <c r="E3" s="358"/>
      <c r="F3" s="358"/>
      <c r="G3" s="358"/>
      <c r="H3" s="358"/>
      <c r="I3" s="358"/>
      <c r="J3" s="359" t="s">
        <v>129</v>
      </c>
      <c r="K3" s="360"/>
      <c r="L3" s="98">
        <f>IF(M3&lt;&gt;0,N3/M3,0)</f>
        <v>107.12290786464831</v>
      </c>
      <c r="M3" s="98">
        <f>SUBTOTAL(9,M5:M1048576)</f>
        <v>15</v>
      </c>
      <c r="N3" s="99">
        <f>SUBTOTAL(9,N5:N1048576)</f>
        <v>1606.8436179697246</v>
      </c>
    </row>
    <row r="4" spans="1:14" s="209" customFormat="1" ht="14.4" customHeight="1" thickBot="1" x14ac:dyDescent="0.35">
      <c r="A4" s="451" t="s">
        <v>4</v>
      </c>
      <c r="B4" s="452" t="s">
        <v>5</v>
      </c>
      <c r="C4" s="452" t="s">
        <v>0</v>
      </c>
      <c r="D4" s="452" t="s">
        <v>6</v>
      </c>
      <c r="E4" s="452" t="s">
        <v>7</v>
      </c>
      <c r="F4" s="452" t="s">
        <v>1</v>
      </c>
      <c r="G4" s="452" t="s">
        <v>8</v>
      </c>
      <c r="H4" s="452" t="s">
        <v>9</v>
      </c>
      <c r="I4" s="452" t="s">
        <v>10</v>
      </c>
      <c r="J4" s="453" t="s">
        <v>11</v>
      </c>
      <c r="K4" s="453" t="s">
        <v>12</v>
      </c>
      <c r="L4" s="454" t="s">
        <v>144</v>
      </c>
      <c r="M4" s="454" t="s">
        <v>13</v>
      </c>
      <c r="N4" s="455" t="s">
        <v>161</v>
      </c>
    </row>
    <row r="5" spans="1:14" ht="14.4" customHeight="1" x14ac:dyDescent="0.3">
      <c r="A5" s="458" t="s">
        <v>453</v>
      </c>
      <c r="B5" s="459" t="s">
        <v>500</v>
      </c>
      <c r="C5" s="460" t="s">
        <v>458</v>
      </c>
      <c r="D5" s="461" t="s">
        <v>501</v>
      </c>
      <c r="E5" s="460" t="s">
        <v>463</v>
      </c>
      <c r="F5" s="461" t="s">
        <v>502</v>
      </c>
      <c r="G5" s="460" t="s">
        <v>464</v>
      </c>
      <c r="H5" s="460" t="s">
        <v>465</v>
      </c>
      <c r="I5" s="460" t="s">
        <v>466</v>
      </c>
      <c r="J5" s="460" t="s">
        <v>467</v>
      </c>
      <c r="K5" s="460" t="s">
        <v>468</v>
      </c>
      <c r="L5" s="462">
        <v>88.421999999999997</v>
      </c>
      <c r="M5" s="462">
        <v>5</v>
      </c>
      <c r="N5" s="463">
        <v>442.10999999999996</v>
      </c>
    </row>
    <row r="6" spans="1:14" ht="14.4" customHeight="1" x14ac:dyDescent="0.3">
      <c r="A6" s="464" t="s">
        <v>453</v>
      </c>
      <c r="B6" s="465" t="s">
        <v>500</v>
      </c>
      <c r="C6" s="466" t="s">
        <v>458</v>
      </c>
      <c r="D6" s="467" t="s">
        <v>501</v>
      </c>
      <c r="E6" s="466" t="s">
        <v>463</v>
      </c>
      <c r="F6" s="467" t="s">
        <v>502</v>
      </c>
      <c r="G6" s="466" t="s">
        <v>464</v>
      </c>
      <c r="H6" s="466" t="s">
        <v>469</v>
      </c>
      <c r="I6" s="466" t="s">
        <v>470</v>
      </c>
      <c r="J6" s="466" t="s">
        <v>471</v>
      </c>
      <c r="K6" s="466" t="s">
        <v>472</v>
      </c>
      <c r="L6" s="468">
        <v>58.97</v>
      </c>
      <c r="M6" s="468">
        <v>1</v>
      </c>
      <c r="N6" s="469">
        <v>58.97</v>
      </c>
    </row>
    <row r="7" spans="1:14" ht="14.4" customHeight="1" x14ac:dyDescent="0.3">
      <c r="A7" s="464" t="s">
        <v>453</v>
      </c>
      <c r="B7" s="465" t="s">
        <v>500</v>
      </c>
      <c r="C7" s="466" t="s">
        <v>458</v>
      </c>
      <c r="D7" s="467" t="s">
        <v>501</v>
      </c>
      <c r="E7" s="466" t="s">
        <v>463</v>
      </c>
      <c r="F7" s="467" t="s">
        <v>502</v>
      </c>
      <c r="G7" s="466" t="s">
        <v>464</v>
      </c>
      <c r="H7" s="466" t="s">
        <v>473</v>
      </c>
      <c r="I7" s="466" t="s">
        <v>191</v>
      </c>
      <c r="J7" s="466" t="s">
        <v>474</v>
      </c>
      <c r="K7" s="466"/>
      <c r="L7" s="468">
        <v>97.32030392152005</v>
      </c>
      <c r="M7" s="468">
        <v>2</v>
      </c>
      <c r="N7" s="469">
        <v>194.6406078430401</v>
      </c>
    </row>
    <row r="8" spans="1:14" ht="14.4" customHeight="1" x14ac:dyDescent="0.3">
      <c r="A8" s="464" t="s">
        <v>453</v>
      </c>
      <c r="B8" s="465" t="s">
        <v>500</v>
      </c>
      <c r="C8" s="466" t="s">
        <v>458</v>
      </c>
      <c r="D8" s="467" t="s">
        <v>501</v>
      </c>
      <c r="E8" s="466" t="s">
        <v>463</v>
      </c>
      <c r="F8" s="467" t="s">
        <v>502</v>
      </c>
      <c r="G8" s="466" t="s">
        <v>464</v>
      </c>
      <c r="H8" s="466" t="s">
        <v>475</v>
      </c>
      <c r="I8" s="466" t="s">
        <v>476</v>
      </c>
      <c r="J8" s="466" t="s">
        <v>477</v>
      </c>
      <c r="K8" s="466" t="s">
        <v>478</v>
      </c>
      <c r="L8" s="468">
        <v>74.23</v>
      </c>
      <c r="M8" s="468">
        <v>1</v>
      </c>
      <c r="N8" s="469">
        <v>74.23</v>
      </c>
    </row>
    <row r="9" spans="1:14" ht="14.4" customHeight="1" x14ac:dyDescent="0.3">
      <c r="A9" s="464" t="s">
        <v>453</v>
      </c>
      <c r="B9" s="465" t="s">
        <v>500</v>
      </c>
      <c r="C9" s="466" t="s">
        <v>458</v>
      </c>
      <c r="D9" s="467" t="s">
        <v>501</v>
      </c>
      <c r="E9" s="466" t="s">
        <v>463</v>
      </c>
      <c r="F9" s="467" t="s">
        <v>502</v>
      </c>
      <c r="G9" s="466" t="s">
        <v>464</v>
      </c>
      <c r="H9" s="466" t="s">
        <v>479</v>
      </c>
      <c r="I9" s="466" t="s">
        <v>480</v>
      </c>
      <c r="J9" s="466" t="s">
        <v>481</v>
      </c>
      <c r="K9" s="466" t="s">
        <v>482</v>
      </c>
      <c r="L9" s="468">
        <v>19.04</v>
      </c>
      <c r="M9" s="468">
        <v>1</v>
      </c>
      <c r="N9" s="469">
        <v>19.04</v>
      </c>
    </row>
    <row r="10" spans="1:14" ht="14.4" customHeight="1" x14ac:dyDescent="0.3">
      <c r="A10" s="464" t="s">
        <v>453</v>
      </c>
      <c r="B10" s="465" t="s">
        <v>500</v>
      </c>
      <c r="C10" s="466" t="s">
        <v>458</v>
      </c>
      <c r="D10" s="467" t="s">
        <v>501</v>
      </c>
      <c r="E10" s="466" t="s">
        <v>463</v>
      </c>
      <c r="F10" s="467" t="s">
        <v>502</v>
      </c>
      <c r="G10" s="466" t="s">
        <v>464</v>
      </c>
      <c r="H10" s="466" t="s">
        <v>483</v>
      </c>
      <c r="I10" s="466" t="s">
        <v>191</v>
      </c>
      <c r="J10" s="466" t="s">
        <v>484</v>
      </c>
      <c r="K10" s="466"/>
      <c r="L10" s="468">
        <v>285.12753525800832</v>
      </c>
      <c r="M10" s="468">
        <v>1</v>
      </c>
      <c r="N10" s="469">
        <v>285.12753525800832</v>
      </c>
    </row>
    <row r="11" spans="1:14" ht="14.4" customHeight="1" x14ac:dyDescent="0.3">
      <c r="A11" s="464" t="s">
        <v>453</v>
      </c>
      <c r="B11" s="465" t="s">
        <v>500</v>
      </c>
      <c r="C11" s="466" t="s">
        <v>458</v>
      </c>
      <c r="D11" s="467" t="s">
        <v>501</v>
      </c>
      <c r="E11" s="466" t="s">
        <v>463</v>
      </c>
      <c r="F11" s="467" t="s">
        <v>502</v>
      </c>
      <c r="G11" s="466" t="s">
        <v>464</v>
      </c>
      <c r="H11" s="466" t="s">
        <v>485</v>
      </c>
      <c r="I11" s="466" t="s">
        <v>191</v>
      </c>
      <c r="J11" s="466" t="s">
        <v>486</v>
      </c>
      <c r="K11" s="466"/>
      <c r="L11" s="468">
        <v>280.48546164215139</v>
      </c>
      <c r="M11" s="468">
        <v>1</v>
      </c>
      <c r="N11" s="469">
        <v>280.48546164215139</v>
      </c>
    </row>
    <row r="12" spans="1:14" ht="14.4" customHeight="1" x14ac:dyDescent="0.3">
      <c r="A12" s="464" t="s">
        <v>453</v>
      </c>
      <c r="B12" s="465" t="s">
        <v>500</v>
      </c>
      <c r="C12" s="466" t="s">
        <v>458</v>
      </c>
      <c r="D12" s="467" t="s">
        <v>501</v>
      </c>
      <c r="E12" s="466" t="s">
        <v>463</v>
      </c>
      <c r="F12" s="467" t="s">
        <v>502</v>
      </c>
      <c r="G12" s="466" t="s">
        <v>464</v>
      </c>
      <c r="H12" s="466" t="s">
        <v>487</v>
      </c>
      <c r="I12" s="466" t="s">
        <v>488</v>
      </c>
      <c r="J12" s="466" t="s">
        <v>489</v>
      </c>
      <c r="K12" s="466" t="s">
        <v>490</v>
      </c>
      <c r="L12" s="468">
        <v>33.660013226524718</v>
      </c>
      <c r="M12" s="468">
        <v>1</v>
      </c>
      <c r="N12" s="469">
        <v>33.660013226524718</v>
      </c>
    </row>
    <row r="13" spans="1:14" ht="14.4" customHeight="1" x14ac:dyDescent="0.3">
      <c r="A13" s="464" t="s">
        <v>453</v>
      </c>
      <c r="B13" s="465" t="s">
        <v>500</v>
      </c>
      <c r="C13" s="466" t="s">
        <v>458</v>
      </c>
      <c r="D13" s="467" t="s">
        <v>501</v>
      </c>
      <c r="E13" s="466" t="s">
        <v>463</v>
      </c>
      <c r="F13" s="467" t="s">
        <v>502</v>
      </c>
      <c r="G13" s="466" t="s">
        <v>464</v>
      </c>
      <c r="H13" s="466" t="s">
        <v>491</v>
      </c>
      <c r="I13" s="466" t="s">
        <v>492</v>
      </c>
      <c r="J13" s="466" t="s">
        <v>493</v>
      </c>
      <c r="K13" s="466" t="s">
        <v>494</v>
      </c>
      <c r="L13" s="468">
        <v>165.77</v>
      </c>
      <c r="M13" s="468">
        <v>1</v>
      </c>
      <c r="N13" s="469">
        <v>165.77</v>
      </c>
    </row>
    <row r="14" spans="1:14" ht="14.4" customHeight="1" thickBot="1" x14ac:dyDescent="0.35">
      <c r="A14" s="470" t="s">
        <v>453</v>
      </c>
      <c r="B14" s="471" t="s">
        <v>500</v>
      </c>
      <c r="C14" s="472" t="s">
        <v>458</v>
      </c>
      <c r="D14" s="473" t="s">
        <v>501</v>
      </c>
      <c r="E14" s="472" t="s">
        <v>463</v>
      </c>
      <c r="F14" s="473" t="s">
        <v>502</v>
      </c>
      <c r="G14" s="472" t="s">
        <v>495</v>
      </c>
      <c r="H14" s="472" t="s">
        <v>496</v>
      </c>
      <c r="I14" s="472" t="s">
        <v>497</v>
      </c>
      <c r="J14" s="472" t="s">
        <v>498</v>
      </c>
      <c r="K14" s="472" t="s">
        <v>499</v>
      </c>
      <c r="L14" s="474">
        <v>52.810000000000016</v>
      </c>
      <c r="M14" s="474">
        <v>1</v>
      </c>
      <c r="N14" s="475">
        <v>52.810000000000016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8" customWidth="1"/>
    <col min="3" max="3" width="5.5546875" style="211" customWidth="1"/>
    <col min="4" max="4" width="10" style="208" customWidth="1"/>
    <col min="5" max="5" width="5.5546875" style="211" customWidth="1"/>
    <col min="6" max="6" width="10" style="208" customWidth="1"/>
    <col min="7" max="16384" width="8.88671875" style="130"/>
  </cols>
  <sheetData>
    <row r="1" spans="1:6" ht="37.200000000000003" customHeight="1" thickBot="1" x14ac:dyDescent="0.4">
      <c r="A1" s="362" t="s">
        <v>167</v>
      </c>
      <c r="B1" s="363"/>
      <c r="C1" s="363"/>
      <c r="D1" s="363"/>
      <c r="E1" s="363"/>
      <c r="F1" s="363"/>
    </row>
    <row r="2" spans="1:6" ht="14.4" customHeight="1" thickBot="1" x14ac:dyDescent="0.35">
      <c r="A2" s="235" t="s">
        <v>281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131</v>
      </c>
      <c r="C3" s="365"/>
      <c r="D3" s="366" t="s">
        <v>130</v>
      </c>
      <c r="E3" s="365"/>
      <c r="F3" s="80" t="s">
        <v>3</v>
      </c>
    </row>
    <row r="4" spans="1:6" ht="14.4" customHeight="1" thickBot="1" x14ac:dyDescent="0.35">
      <c r="A4" s="476" t="s">
        <v>145</v>
      </c>
      <c r="B4" s="477" t="s">
        <v>14</v>
      </c>
      <c r="C4" s="478" t="s">
        <v>2</v>
      </c>
      <c r="D4" s="477" t="s">
        <v>14</v>
      </c>
      <c r="E4" s="478" t="s">
        <v>2</v>
      </c>
      <c r="F4" s="479" t="s">
        <v>14</v>
      </c>
    </row>
    <row r="5" spans="1:6" ht="14.4" customHeight="1" thickBot="1" x14ac:dyDescent="0.35">
      <c r="A5" s="490" t="s">
        <v>503</v>
      </c>
      <c r="B5" s="456"/>
      <c r="C5" s="480">
        <v>0</v>
      </c>
      <c r="D5" s="456">
        <v>52.810000000000016</v>
      </c>
      <c r="E5" s="480">
        <v>1</v>
      </c>
      <c r="F5" s="457">
        <v>52.810000000000016</v>
      </c>
    </row>
    <row r="6" spans="1:6" ht="14.4" customHeight="1" thickBot="1" x14ac:dyDescent="0.35">
      <c r="A6" s="486" t="s">
        <v>3</v>
      </c>
      <c r="B6" s="487"/>
      <c r="C6" s="488">
        <v>0</v>
      </c>
      <c r="D6" s="487">
        <v>52.810000000000016</v>
      </c>
      <c r="E6" s="488">
        <v>1</v>
      </c>
      <c r="F6" s="489">
        <v>52.810000000000016</v>
      </c>
    </row>
    <row r="7" spans="1:6" ht="14.4" customHeight="1" thickBot="1" x14ac:dyDescent="0.35"/>
    <row r="8" spans="1:6" ht="14.4" customHeight="1" thickBot="1" x14ac:dyDescent="0.35">
      <c r="A8" s="490" t="s">
        <v>504</v>
      </c>
      <c r="B8" s="456"/>
      <c r="C8" s="480">
        <v>0</v>
      </c>
      <c r="D8" s="456">
        <v>52.810000000000016</v>
      </c>
      <c r="E8" s="480">
        <v>1</v>
      </c>
      <c r="F8" s="457">
        <v>52.810000000000016</v>
      </c>
    </row>
    <row r="9" spans="1:6" ht="14.4" customHeight="1" thickBot="1" x14ac:dyDescent="0.35">
      <c r="A9" s="486" t="s">
        <v>3</v>
      </c>
      <c r="B9" s="487"/>
      <c r="C9" s="488">
        <v>0</v>
      </c>
      <c r="D9" s="487">
        <v>52.810000000000016</v>
      </c>
      <c r="E9" s="488">
        <v>1</v>
      </c>
      <c r="F9" s="489">
        <v>52.810000000000016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25</vt:i4>
      </vt:variant>
      <vt:variant>
        <vt:lpstr>Pojmenované oblasti</vt:lpstr>
      </vt:variant>
      <vt:variant>
        <vt:i4>1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2015-01-30T11:06:06Z</dcterms:modified>
</cp:coreProperties>
</file>