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20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Lékaři" sheetId="429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Žádanky'!$A$4:$I$4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13" hidden="1">'Materiál Žádanky'!$A$4:$I$4</definedName>
    <definedName name="_xlnm._FilterDatabase" localSheetId="14" hidden="1">'MŽ Detail'!$A$4:$K$4</definedName>
    <definedName name="_xlnm._FilterDatabase" localSheetId="19" hidden="1">'ZV Vykáz.-A Detail'!$A$5:$P$5</definedName>
    <definedName name="_xlnm._FilterDatabase" localSheetId="18" hidden="1">'ZV Vykáz.-A Lékaři'!$A$4:$A$5</definedName>
    <definedName name="_xlnm._FilterDatabase" localSheetId="21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4" i="383"/>
  <c r="G3" i="429"/>
  <c r="F3" i="429"/>
  <c r="E3" i="429"/>
  <c r="D3" i="429"/>
  <c r="C3" i="429"/>
  <c r="B3" i="42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8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D4" i="414"/>
  <c r="D18" i="414"/>
  <c r="D15" i="414"/>
  <c r="C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4" i="383" l="1"/>
  <c r="A17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C21" i="414"/>
  <c r="D21" i="414"/>
  <c r="H3" i="390" l="1"/>
  <c r="F13" i="339"/>
  <c r="E13" i="339"/>
  <c r="E15" i="339" s="1"/>
  <c r="H12" i="339"/>
  <c r="G12" i="339"/>
  <c r="K3" i="390"/>
  <c r="A4" i="383"/>
  <c r="A27" i="383"/>
  <c r="A26" i="383"/>
  <c r="A25" i="383"/>
  <c r="A23" i="383"/>
  <c r="A20" i="383"/>
  <c r="A19" i="383"/>
  <c r="A16" i="383"/>
  <c r="A15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<sst xmlns="http://schemas.openxmlformats.org/spreadsheetml/2006/main" count="2580" uniqueCount="921">
  <si>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</si>
  <si>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</si>
  <si>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</si>
  <si>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</si>
  <si>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</si>
  <si>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</si>
  <si>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</si>
  <si>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</si>
  <si>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</si>
  <si>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</si>
  <si>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</si>
  <si>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</si>
  <si>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</si>
  <si>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</si>
  <si>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</si>
  <si>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</si>
  <si>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</si>
  <si>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</si>
  <si>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</si>
  <si>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</si>
  <si>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</si>
  <si>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</si>
  <si>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</si>
  <si>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</si>
  <si>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</si>
  <si>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</si>
  <si>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</si>
  <si>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</si>
  <si>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</si>
  <si>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</si>
  <si>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</si>
  <si>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</si>
  <si>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</si>
  <si>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</si>
  <si>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</si>
  <si>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</si>
  <si>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</si>
  <si>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</si>
  <si>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</si>
  <si>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</si>
  <si>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</si>
  <si>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</si>
  <si>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</si>
  <si>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</si>
  <si>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</si>
  <si>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</si>
  <si>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</si>
  <si>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</si>
  <si>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</si>
  <si>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</si>
  <si>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</si>
  <si>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</si>
  <si>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</si>
  <si>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</si>
  <si>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</si>
  <si>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</si>
  <si>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</si>
  <si>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</si>
  <si>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</si>
  <si>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</si>
  <si>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</si>
  <si>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</si>
  <si>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</si>
  <si>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</si>
  <si>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</si>
  <si>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</si>
  <si>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</si>
  <si>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</si>
  <si>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</si>
  <si>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</si>
  <si>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</si>
  <si>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</si>
  <si>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</si>
  <si>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</si>
  <si>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</si>
  <si>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</si>
  <si>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</si>
  <si>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</si>
  <si>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</si>
  <si>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</si>
  <si>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</si>
  <si>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</si>
  <si>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</si>
  <si>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</si>
  <si>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</si>
  <si>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</si>
  <si>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</si>
  <si>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</si>
  <si>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</si>
  <si>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</si>
  <si>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</si>
  <si>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</si>
  <si>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</si>
  <si>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</si>
  <si>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</si>
  <si>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</si>
  <si>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</si>
  <si>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</si>
  <si>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</si>
  <si>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</si>
  <si>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</si>
  <si>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</si>
  <si>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</si>
  <si>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</si>
  <si>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</si>
  <si>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</si>
  <si>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</si>
  <si>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</si>
  <si>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</si>
  <si>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</si>
  <si>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</si>
  <si>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</si>
  <si>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</si>
  <si>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</si>
  <si>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</si>
  <si>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</si>
  <si>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</si>
  <si>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</si>
  <si>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</si>
  <si>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</si>
  <si>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</si>
  <si>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</si>
  <si>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</si>
  <si>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</si>
  <si>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</si>
  <si>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</si>
  <si>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</si>
  <si>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</si>
  <si>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</si>
  <si>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</si>
  <si>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</si>
  <si>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</si>
  <si>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</si>
  <si>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</si>
  <si>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</si>
  <si>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</si>
  <si>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</si>
  <si>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</si>
  <si>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</si>
  <si>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</si>
  <si>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</si>
  <si>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</si>
  <si>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</si>
  <si>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</si>
  <si>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</si>
  <si>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</si>
  <si>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</si>
  <si>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</si>
  <si>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</si>
  <si>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</si>
  <si>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</si>
  <si>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</si>
  <si>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</si>
  <si>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</si>
  <si>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</si>
  <si>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</si>
  <si>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</si>
  <si>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</si>
  <si>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</si>
  <si>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</si>
  <si>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</si>
  <si>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</si>
  <si>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</si>
  <si>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</si>
  <si>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</si>
  <si>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</si>
  <si>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</si>
  <si>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</si>
  <si>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</si>
  <si>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</si>
  <si>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</si>
  <si>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</si>
  <si>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</si>
  <si>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</si>
  <si>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</si>
  <si>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</si>
  <si>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</si>
  <si>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</si>
  <si>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</si>
  <si>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</si>
  <si>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</si>
  <si>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</si>
  <si>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</si>
  <si>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</si>
  <si>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</si>
  <si>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</si>
  <si>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</si>
  <si>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</si>
  <si>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</si>
  <si>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</si>
  <si>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</si>
  <si>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</si>
  <si>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</si>
  <si>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</si>
  <si>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</si>
  <si>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</si>
  <si>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</si>
  <si>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</si>
  <si>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</si>
  <si>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</si>
  <si>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</si>
  <si>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</si>
  <si>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</si>
  <si>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</si>
  <si>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</si>
  <si>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</si>
  <si>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</si>
  <si>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</si>
  <si>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</si>
  <si>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</si>
  <si>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</si>
  <si>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</si>
  <si>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</si>
  <si>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</si>
  <si>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</si>
  <si>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</si>
  <si>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</si>
  <si>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</si>
  <si>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</si>
  <si>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</si>
  <si>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</si>
  <si>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</si>
  <si>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</si>
  <si>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</si>
  <si>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</si>
  <si>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</si>
  <si>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</si>
  <si>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</si>
  <si>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</si>
  <si>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</si>
  <si>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</si>
  <si>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</si>
  <si>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</si>
  <si>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</si>
  <si>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</si>
  <si>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</si>
  <si>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</si>
  <si>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</si>
  <si>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</si>
  <si>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</si>
  <si>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</si>
  <si>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</si>
  <si>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</si>
  <si>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</si>
  <si>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</si>
  <si>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</si>
  <si>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</si>
  <si>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</si>
  <si>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</si>
  <si>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</si>
  <si>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</si>
  <si>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</si>
  <si>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</si>
  <si>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</si>
  <si>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</si>
  <si>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</si>
  <si>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</si>
  <si>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</si>
  <si>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</si>
  <si>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</si>
  <si>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</si>
  <si>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</si>
  <si>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</si>
  <si>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</si>
  <si>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</si>
  <si>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</si>
  <si>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</si>
  <si>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</si>
  <si>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</si>
  <si>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</si>
  <si>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</si>
  <si>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</si>
  <si>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</si>
  <si>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</si>
  <si>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</si>
  <si>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</si>
  <si>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</si>
  <si>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</si>
  <si>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</si>
  <si>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</si>
  <si>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</si>
  <si>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</si>
  <si>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</si>
  <si>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</si>
  <si>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</si>
  <si>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</si>
  <si>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</si>
  <si>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50115065     ostatní ZPr - vpichovací materiál (sk.Z_530)</t>
  </si>
  <si>
    <t>--</t>
  </si>
  <si>
    <t>50115067     ostatní ZPr - rukavice (sk.Z_532)</t>
  </si>
  <si>
    <t>50115079     ostatní ZPr - intenzivní péče (sk.Z_542)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</si>
  <si>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</si>
  <si>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</si>
  <si>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</si>
  <si>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</si>
  <si>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</si>
  <si>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</si>
  <si>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</si>
  <si>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</si>
  <si>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</si>
  <si>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</si>
  <si>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</si>
  <si>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</si>
  <si>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</si>
  <si>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</si>
  <si>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</si>
  <si>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</si>
  <si>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</si>
  <si>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</si>
  <si>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</si>
  <si>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</si>
  <si>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</si>
  <si>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</si>
  <si>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</si>
  <si>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</si>
  <si>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</si>
  <si>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</si>
  <si>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</si>
  <si>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</si>
  <si>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</si>
  <si>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</si>
  <si>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</si>
  <si>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</si>
  <si>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</si>
  <si>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</si>
  <si>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</si>
  <si>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</si>
  <si>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</si>
  <si>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</si>
  <si>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</si>
  <si>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</si>
  <si>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</si>
  <si>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</si>
  <si>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</si>
  <si>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</si>
  <si>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</si>
  <si>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</si>
  <si>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</si>
  <si>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</si>
  <si>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</si>
  <si>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</si>
  <si>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</si>
  <si>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</si>
  <si>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</si>
  <si>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</si>
  <si>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</si>
  <si>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</si>
  <si>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</si>
  <si>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</si>
  <si>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</si>
  <si>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</si>
  <si>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</si>
  <si>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</si>
  <si>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</si>
  <si>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</si>
  <si>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</si>
  <si>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</si>
  <si>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</si>
  <si>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</si>
  <si>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</si>
  <si>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</si>
  <si>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</si>
  <si>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</si>
  <si>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</si>
  <si>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</si>
  <si>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</si>
  <si>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</si>
  <si>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</si>
  <si>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</si>
  <si>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</si>
  <si>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</si>
  <si>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</si>
  <si>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</si>
  <si>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</si>
  <si>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</si>
  <si>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</si>
  <si>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</si>
  <si>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</si>
  <si>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</si>
  <si>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</si>
  <si>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</si>
  <si>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</si>
  <si>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</si>
  <si>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</si>
  <si>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</si>
  <si>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</si>
  <si>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</si>
  <si>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</si>
  <si>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</si>
  <si>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</si>
  <si>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</si>
  <si>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</si>
  <si>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</si>
  <si>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</si>
  <si>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</si>
  <si>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</si>
  <si>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</si>
  <si>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</si>
  <si>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</si>
  <si>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</si>
  <si>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</si>
  <si>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</si>
  <si>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</si>
  <si>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</si>
  <si>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</si>
  <si>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</si>
  <si>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</si>
  <si>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</si>
  <si>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</si>
  <si>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</si>
  <si>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</si>
  <si>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</si>
  <si>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</si>
  <si>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</si>
  <si>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</si>
  <si>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</si>
  <si>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</si>
  <si>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</si>
  <si>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</si>
  <si>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</si>
  <si>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</si>
  <si>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</si>
  <si>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</si>
  <si>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</si>
  <si>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</si>
  <si>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</si>
  <si>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50113190     medicinální plyny</t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</si>
  <si>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</si>
  <si>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</si>
  <si>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</si>
  <si>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</si>
  <si>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</si>
  <si>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</si>
  <si>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</si>
  <si>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27 - Klinika tělovýchovného lékařství a kardiovaskulární rehabilitace</t>
  </si>
  <si>
    <t>2721 - TVL ambulance</t>
  </si>
  <si>
    <t>Klinika TVL a kardiovaskulární rehabilitace</t>
  </si>
  <si>
    <t>HVLP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</si>
  <si>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</si>
  <si>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</si>
  <si>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</si>
  <si>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</si>
  <si>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</si>
  <si>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</si>
  <si>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</si>
  <si>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Fargašová Hana</t>
  </si>
  <si>
    <t>Houda Jiří</t>
  </si>
  <si>
    <t>Malinčíková Jana</t>
  </si>
  <si>
    <t>Pastucha Dalibor</t>
  </si>
  <si>
    <t>Sovová Eliška</t>
  </si>
  <si>
    <t>Amoxicilin a enzymový inhibitor</t>
  </si>
  <si>
    <t>12494</t>
  </si>
  <si>
    <t>AUGMENTIN 1 G</t>
  </si>
  <si>
    <t>POR TBL FLM 14 I</t>
  </si>
  <si>
    <t>Drospirenon a ethinylestradiol</t>
  </si>
  <si>
    <t>66196</t>
  </si>
  <si>
    <t>YADINE</t>
  </si>
  <si>
    <t>POR TBL FLM 3X21</t>
  </si>
  <si>
    <t>Hořčík (různé sole v kombinaci)</t>
  </si>
  <si>
    <t>66555</t>
  </si>
  <si>
    <t>MAGNOSOLV</t>
  </si>
  <si>
    <t>POR GRA SOL 30</t>
  </si>
  <si>
    <t>Ibuprofen</t>
  </si>
  <si>
    <t>11063</t>
  </si>
  <si>
    <t>IBALGIN 600</t>
  </si>
  <si>
    <t>POR TBL FLM 30X600MG</t>
  </si>
  <si>
    <t>Klíšťová encefalitida, inaktivovaný celý virus</t>
  </si>
  <si>
    <t>55111</t>
  </si>
  <si>
    <t>FSME-IMMUN 0,5 ML</t>
  </si>
  <si>
    <t>INJ SUS ISP 1X0.5ML/DÁV+ INTJ</t>
  </si>
  <si>
    <t>Klotrimazol</t>
  </si>
  <si>
    <t>6412</t>
  </si>
  <si>
    <t>CLOTRIMAZOL HBF</t>
  </si>
  <si>
    <t>DRM CRM 1X30GM 1%</t>
  </si>
  <si>
    <t>Nimesulid</t>
  </si>
  <si>
    <t>12892</t>
  </si>
  <si>
    <t>AULIN</t>
  </si>
  <si>
    <t>POR TBL NOB 30X100MG</t>
  </si>
  <si>
    <t>Perindopril</t>
  </si>
  <si>
    <t>101205</t>
  </si>
  <si>
    <t>PRESTARIUM NEO</t>
  </si>
  <si>
    <t>POR TBL FLM 30X5MG</t>
  </si>
  <si>
    <t>Pitofenon a analgetika</t>
  </si>
  <si>
    <t>176954</t>
  </si>
  <si>
    <t>ALGIFEN NEO</t>
  </si>
  <si>
    <t>POR GTT SOL 1X50ML</t>
  </si>
  <si>
    <t>Pseudoefedrin, kombinace</t>
  </si>
  <si>
    <t>83059</t>
  </si>
  <si>
    <t>CLARINASE REPETABS</t>
  </si>
  <si>
    <t>POR TBL RET 14</t>
  </si>
  <si>
    <t>Ranitidin</t>
  </si>
  <si>
    <t>91280</t>
  </si>
  <si>
    <t>RANITAL 150 MG POTAHOVANÉ TABLETY</t>
  </si>
  <si>
    <t>POR TBL FLM 30X150MG</t>
  </si>
  <si>
    <t>Sumatriptan</t>
  </si>
  <si>
    <t>102500</t>
  </si>
  <si>
    <t>CINIE 100</t>
  </si>
  <si>
    <t>POR TBL NOB 6X100MG</t>
  </si>
  <si>
    <t>Erdostein</t>
  </si>
  <si>
    <t>199680</t>
  </si>
  <si>
    <t>ERDOMED</t>
  </si>
  <si>
    <t>POR CPS DUR 60X300MG</t>
  </si>
  <si>
    <t>Diosmin, kombinace</t>
  </si>
  <si>
    <t>14075</t>
  </si>
  <si>
    <t>DETRALEX</t>
  </si>
  <si>
    <t>POR TBL FLM 60X500MG</t>
  </si>
  <si>
    <t>Fytomenadion</t>
  </si>
  <si>
    <t>720</t>
  </si>
  <si>
    <t>KANAVIT</t>
  </si>
  <si>
    <t>POR GTT EML 1X5ML/100MG</t>
  </si>
  <si>
    <t>Klarithromycin</t>
  </si>
  <si>
    <t>53283</t>
  </si>
  <si>
    <t>FROMILID 500</t>
  </si>
  <si>
    <t>POR TBL FLM 14X500MG</t>
  </si>
  <si>
    <t>Kyselina ursodeoxycholová</t>
  </si>
  <si>
    <t>13808</t>
  </si>
  <si>
    <t>URSOSAN</t>
  </si>
  <si>
    <t>POR CPS DUR 100X250MG</t>
  </si>
  <si>
    <t>Metoklopramid</t>
  </si>
  <si>
    <t>93104</t>
  </si>
  <si>
    <t>DEGAN 10 MG TABLETY</t>
  </si>
  <si>
    <t>POR TBL NOB 40X10MG</t>
  </si>
  <si>
    <t>Pantoprazol</t>
  </si>
  <si>
    <t>49123</t>
  </si>
  <si>
    <t>CONTROLOC 40 MG</t>
  </si>
  <si>
    <t>POR TBL ENT 28X40MG I</t>
  </si>
  <si>
    <t>Perindopril a amlodipin</t>
  </si>
  <si>
    <t>124087</t>
  </si>
  <si>
    <t>PRESTANCE 5 MG/5 MG</t>
  </si>
  <si>
    <t>POR TBL NOB 30</t>
  </si>
  <si>
    <t>Amidy</t>
  </si>
  <si>
    <t>2684</t>
  </si>
  <si>
    <t>MESOCAIN</t>
  </si>
  <si>
    <t>URT GEL 1X20GM/200MG</t>
  </si>
  <si>
    <t>Atorvastatin</t>
  </si>
  <si>
    <t>93015</t>
  </si>
  <si>
    <t>SORTIS 10 MG</t>
  </si>
  <si>
    <t>POR TBL FLM 100X10MG</t>
  </si>
  <si>
    <t>93018</t>
  </si>
  <si>
    <t>SORTIS 20 MG</t>
  </si>
  <si>
    <t>POR TBL FLM 100X20MG</t>
  </si>
  <si>
    <t>Azithromycin</t>
  </si>
  <si>
    <t>155859</t>
  </si>
  <si>
    <t>SUMAMED 500 MG</t>
  </si>
  <si>
    <t>POR TBL FLM 3X500MG</t>
  </si>
  <si>
    <t>45010</t>
  </si>
  <si>
    <t>AZITROMYCIN SANDOZ 500 MG</t>
  </si>
  <si>
    <t>Bilastin</t>
  </si>
  <si>
    <t>148675</t>
  </si>
  <si>
    <t>XADOS 20 MG TABLETY</t>
  </si>
  <si>
    <t>POR TBL NOB 50X20MG</t>
  </si>
  <si>
    <t>Bromazepam</t>
  </si>
  <si>
    <t>132676</t>
  </si>
  <si>
    <t>LEXAURIN 1,5</t>
  </si>
  <si>
    <t>POR TBL NOB 30X1.5MG</t>
  </si>
  <si>
    <t>Ciklopirox</t>
  </si>
  <si>
    <t>76150</t>
  </si>
  <si>
    <t>BATRAFEN KRÉM</t>
  </si>
  <si>
    <t>DRM CRM 1X20GM/200MG</t>
  </si>
  <si>
    <t>Diazepam</t>
  </si>
  <si>
    <t>2478</t>
  </si>
  <si>
    <t>DIAZEPAM SLOVAKOFARMA 10 MG</t>
  </si>
  <si>
    <t>POR TBL NOB 20X10MG</t>
  </si>
  <si>
    <t>Diklofenak</t>
  </si>
  <si>
    <t>125122</t>
  </si>
  <si>
    <t>APO-DICLO SR 100</t>
  </si>
  <si>
    <t>POR TBL RET 100X100MG</t>
  </si>
  <si>
    <t>Doxycyklin</t>
  </si>
  <si>
    <t>32954</t>
  </si>
  <si>
    <t>DOXYHEXAL TABS</t>
  </si>
  <si>
    <t>POR TBL NOB 20X100MG</t>
  </si>
  <si>
    <t>95560</t>
  </si>
  <si>
    <t>POR CPS DUR 30X300MG</t>
  </si>
  <si>
    <t>Esomeprazol</t>
  </si>
  <si>
    <t>147919</t>
  </si>
  <si>
    <t>EMANERA 20 MG</t>
  </si>
  <si>
    <t>POR CPS ETD 56X20MG I</t>
  </si>
  <si>
    <t>180058</t>
  </si>
  <si>
    <t>HELIDES 20 MG ENTEROSOLVENTNÍ TVRDÉ TOBOLKY</t>
  </si>
  <si>
    <t>POR CPS ETD 90X20MG</t>
  </si>
  <si>
    <t>Fenoxymethylpenicilin</t>
  </si>
  <si>
    <t>45997</t>
  </si>
  <si>
    <t>OSPEN 1000</t>
  </si>
  <si>
    <t>POR TBL FLM 30X1000KU</t>
  </si>
  <si>
    <t>Hydroxyzin</t>
  </si>
  <si>
    <t>85060</t>
  </si>
  <si>
    <t>ATARAX</t>
  </si>
  <si>
    <t>POR TBL FLM 25X25MG</t>
  </si>
  <si>
    <t>Imidazolové a triazolové deriváty, kombinace</t>
  </si>
  <si>
    <t>16896</t>
  </si>
  <si>
    <t>IMAZOL PLUS</t>
  </si>
  <si>
    <t>DRM CRM 1X30GM</t>
  </si>
  <si>
    <t>Indapamid</t>
  </si>
  <si>
    <t>158290</t>
  </si>
  <si>
    <t>INDAP 2,5 MG</t>
  </si>
  <si>
    <t>POR TBL NOB 100X2.5MG</t>
  </si>
  <si>
    <t>Indometacin</t>
  </si>
  <si>
    <t>93724</t>
  </si>
  <si>
    <t>INDOMETACIN 100 BERLIN-CHEMIE</t>
  </si>
  <si>
    <t>RCT SUP 10X100MG</t>
  </si>
  <si>
    <t>Jiná antibiotika pro lokální aplikaci</t>
  </si>
  <si>
    <t>1066</t>
  </si>
  <si>
    <t>FRAMYKOIN</t>
  </si>
  <si>
    <t>DRM UNG 10GM</t>
  </si>
  <si>
    <t>Ketoprofen</t>
  </si>
  <si>
    <t>16287</t>
  </si>
  <si>
    <t>FASTUM GEL</t>
  </si>
  <si>
    <t>DRM GEL 1X100GM</t>
  </si>
  <si>
    <t>132644</t>
  </si>
  <si>
    <t>KLACID 500</t>
  </si>
  <si>
    <t>POR TBL NOB 14X500MG</t>
  </si>
  <si>
    <t>Kodein</t>
  </si>
  <si>
    <t>56993</t>
  </si>
  <si>
    <t>CODEIN SLOVAKOFARMA 30 MG</t>
  </si>
  <si>
    <t>POR TBL NOB 10X30MG</t>
  </si>
  <si>
    <t>90</t>
  </si>
  <si>
    <t>Kortikosteroidy</t>
  </si>
  <si>
    <t>84700</t>
  </si>
  <si>
    <t>OTOBACID N</t>
  </si>
  <si>
    <t>AUR GTT SOL 1X5ML</t>
  </si>
  <si>
    <t>Mebendazol</t>
  </si>
  <si>
    <t>122198</t>
  </si>
  <si>
    <t>VERMOX</t>
  </si>
  <si>
    <t>Mefenoxalon</t>
  </si>
  <si>
    <t>85656</t>
  </si>
  <si>
    <t>DORSIFLEX 200 MG</t>
  </si>
  <si>
    <t>POR TBL NOB 30X200MG</t>
  </si>
  <si>
    <t>Nifuroxazid</t>
  </si>
  <si>
    <t>46405</t>
  </si>
  <si>
    <t>ERCEFURYL 200 MG CPS.</t>
  </si>
  <si>
    <t>POR CPS DUR 14X200MG</t>
  </si>
  <si>
    <t>12893</t>
  </si>
  <si>
    <t>POR TBL NOB 60X100MG</t>
  </si>
  <si>
    <t>Omeprazol</t>
  </si>
  <si>
    <t>132531</t>
  </si>
  <si>
    <t>HELICID 20</t>
  </si>
  <si>
    <t>202860</t>
  </si>
  <si>
    <t>HELICID 40 MG</t>
  </si>
  <si>
    <t>POR CPS ETD 90X40MG IV SKLO</t>
  </si>
  <si>
    <t>124119</t>
  </si>
  <si>
    <t>PRESTANCE 10 MG/5 MG</t>
  </si>
  <si>
    <t>POR TBL NOB 90</t>
  </si>
  <si>
    <t>124133</t>
  </si>
  <si>
    <t>PRESTANCE 10 MG/10 MG</t>
  </si>
  <si>
    <t>Rifaximin</t>
  </si>
  <si>
    <t>202740</t>
  </si>
  <si>
    <t>NORMIX</t>
  </si>
  <si>
    <t>POR TBL FLM 28X200MG</t>
  </si>
  <si>
    <t>Tramadol</t>
  </si>
  <si>
    <t>32083</t>
  </si>
  <si>
    <t>TRALGIT GTT.</t>
  </si>
  <si>
    <t>POR GTT SOL 1X10ML</t>
  </si>
  <si>
    <t>32086</t>
  </si>
  <si>
    <t>TRALGIT</t>
  </si>
  <si>
    <t>POR CPS DUR 20X50MG</t>
  </si>
  <si>
    <t>Zolpidem</t>
  </si>
  <si>
    <t>16286</t>
  </si>
  <si>
    <t>STILNOX</t>
  </si>
  <si>
    <t>POR TBL FLM 20X10MG</t>
  </si>
  <si>
    <t>132803</t>
  </si>
  <si>
    <t>Kombinace vakcín proti hepatitidě</t>
  </si>
  <si>
    <t>26810</t>
  </si>
  <si>
    <t>TWINRIX ADULT</t>
  </si>
  <si>
    <t>INJ SUS 1X1ML-STŘ+BS</t>
  </si>
  <si>
    <t>Alopurinol</t>
  </si>
  <si>
    <t>119773</t>
  </si>
  <si>
    <t>MILURIT 100</t>
  </si>
  <si>
    <t>POR TBL NOB 100X100MG</t>
  </si>
  <si>
    <t>93013</t>
  </si>
  <si>
    <t>POR TBL FLM 30X10MG</t>
  </si>
  <si>
    <t>Dabigatran-etexilát</t>
  </si>
  <si>
    <t>29328</t>
  </si>
  <si>
    <t>PRADAXA 110 MG</t>
  </si>
  <si>
    <t>POR CPS DUR 60X1X110MG</t>
  </si>
  <si>
    <t>Klopidogrel</t>
  </si>
  <si>
    <t>149480</t>
  </si>
  <si>
    <t>ZYLLT 75 MG</t>
  </si>
  <si>
    <t>POR TBL FLM 28X75MG</t>
  </si>
  <si>
    <t>Kyselina acetylsalicylová</t>
  </si>
  <si>
    <t>155781</t>
  </si>
  <si>
    <t>GODASAL 100</t>
  </si>
  <si>
    <t>POR TBL NOB 50</t>
  </si>
  <si>
    <t>Metoprolol</t>
  </si>
  <si>
    <t>49934</t>
  </si>
  <si>
    <t>BETALOC ZOK 25 MG</t>
  </si>
  <si>
    <t>POR TBL PRO 30X25MG</t>
  </si>
  <si>
    <t>Nadroparin</t>
  </si>
  <si>
    <t>59810</t>
  </si>
  <si>
    <t>FRAXIPARINE FORTE</t>
  </si>
  <si>
    <t>INJ SOL 10X1ML</t>
  </si>
  <si>
    <t>124091</t>
  </si>
  <si>
    <t>Propafenon</t>
  </si>
  <si>
    <t>91276</t>
  </si>
  <si>
    <t>PROLEKOFEN 150 MG</t>
  </si>
  <si>
    <t>POR TBL FLM 50X150MG</t>
  </si>
  <si>
    <t>Telmisartan a diuretika</t>
  </si>
  <si>
    <t>189681</t>
  </si>
  <si>
    <t>TEZEO HCT 40 MG/12,5 MG</t>
  </si>
  <si>
    <t>125526</t>
  </si>
  <si>
    <t>APO-IBUPROFEN 400 MG</t>
  </si>
  <si>
    <t>POR TBL FLM 100X400MG</t>
  </si>
  <si>
    <t>Karvedilol</t>
  </si>
  <si>
    <t>102608</t>
  </si>
  <si>
    <t>CARVESAN 25</t>
  </si>
  <si>
    <t>POR TBL NOB 30X25MG</t>
  </si>
  <si>
    <t>14837</t>
  </si>
  <si>
    <t>DILATREND 25</t>
  </si>
  <si>
    <t>Telmisartan a amlodipin</t>
  </si>
  <si>
    <t>167853</t>
  </si>
  <si>
    <t>TWYNSTA 80 MG/5 MG</t>
  </si>
  <si>
    <t>POR TBL NOB 30X1</t>
  </si>
  <si>
    <t>167860</t>
  </si>
  <si>
    <t>TWYNSTA 80 MG/10 MG</t>
  </si>
  <si>
    <t>124129</t>
  </si>
  <si>
    <t>Acebutolol</t>
  </si>
  <si>
    <t>80058</t>
  </si>
  <si>
    <t>SECTRAL 400 MG</t>
  </si>
  <si>
    <t>POR TBL FLM 30X400MG</t>
  </si>
  <si>
    <t>93021</t>
  </si>
  <si>
    <t>SORTIS 40 MG</t>
  </si>
  <si>
    <t>POR TBL FLM 100X40MG</t>
  </si>
  <si>
    <t>193506</t>
  </si>
  <si>
    <t>PRADAXA 150 MG</t>
  </si>
  <si>
    <t>POR CPS DUR 60X1X150MG</t>
  </si>
  <si>
    <t>29326</t>
  </si>
  <si>
    <t>POR CPS DUR 10X1X110MG</t>
  </si>
  <si>
    <t>185435</t>
  </si>
  <si>
    <t>POR TBL FLM 120X500MG</t>
  </si>
  <si>
    <t>Moxonidin</t>
  </si>
  <si>
    <t>40388</t>
  </si>
  <si>
    <t>CYNT 0,4</t>
  </si>
  <si>
    <t>POR TBL FLM 30X0.4MG</t>
  </si>
  <si>
    <t>53535</t>
  </si>
  <si>
    <t>PROPAFENON AL 150</t>
  </si>
  <si>
    <t>Telmisartan</t>
  </si>
  <si>
    <t>26555</t>
  </si>
  <si>
    <t>MICARDIS 80 MG</t>
  </si>
  <si>
    <t>POR TBL NOB 56X80MG</t>
  </si>
  <si>
    <t>500129</t>
  </si>
  <si>
    <t>POR TBL NOB 30X1X80MG</t>
  </si>
  <si>
    <t>Ambulance - tělovýchovné lékařství</t>
  </si>
  <si>
    <t>Ambulance-tělovýchovné lékařství</t>
  </si>
  <si>
    <t>Ambulance kardiologická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</si>
  <si>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</si>
  <si>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</si>
  <si>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</si>
  <si>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</si>
  <si>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J01FA10 - Azithromycin</t>
  </si>
  <si>
    <t>C02AC05 - Moxonidin</t>
  </si>
  <si>
    <t>N02CC01 - Sumatriptan</t>
  </si>
  <si>
    <t>J01FA09 - Klarithromycin</t>
  </si>
  <si>
    <t>J01AA02 - Doxycyklin</t>
  </si>
  <si>
    <t>C07AG02 - Karvedilol</t>
  </si>
  <si>
    <t>B01AE07 - Dabigatran-etexilát</t>
  </si>
  <si>
    <t>A02BC05 - Esomeprazol</t>
  </si>
  <si>
    <t>M01AX17 - Nimesulid</t>
  </si>
  <si>
    <t>B01AB06 - Nadroparin</t>
  </si>
  <si>
    <t>B01AC04 - Klopidogrel</t>
  </si>
  <si>
    <t>A02BA02 - Ranitidin</t>
  </si>
  <si>
    <t>A02BC02 - Pantoprazol</t>
  </si>
  <si>
    <t>C09BB04 - Perindopril a amlodipin</t>
  </si>
  <si>
    <t>N02AX02 - Tramadol</t>
  </si>
  <si>
    <t>C09CA07 - Telmisartan</t>
  </si>
  <si>
    <t>C10AA05 - Atorvastatin</t>
  </si>
  <si>
    <t>C09AA04 - Perindopril</t>
  </si>
  <si>
    <t>A02BA02</t>
  </si>
  <si>
    <t>C09AA04</t>
  </si>
  <si>
    <t>M01AX17</t>
  </si>
  <si>
    <t>N02CC01</t>
  </si>
  <si>
    <t>A02BC02</t>
  </si>
  <si>
    <t>C09BB04</t>
  </si>
  <si>
    <t>J01FA09</t>
  </si>
  <si>
    <t>A02BC05</t>
  </si>
  <si>
    <t>C10AA05</t>
  </si>
  <si>
    <t>J01AA02</t>
  </si>
  <si>
    <t>J01FA10</t>
  </si>
  <si>
    <t>N02AX02</t>
  </si>
  <si>
    <t>B01AB06</t>
  </si>
  <si>
    <t>B01AC04</t>
  </si>
  <si>
    <t>B01AE07</t>
  </si>
  <si>
    <t>C01BC03</t>
  </si>
  <si>
    <t>C02AC05</t>
  </si>
  <si>
    <t>C07AG02</t>
  </si>
  <si>
    <t>C09CA07</t>
  </si>
  <si>
    <t>Přehled plnění PL - Preskripce léčivých přípravků - orientační přehled</t>
  </si>
  <si>
    <t>2722</t>
  </si>
  <si>
    <t>(prázdné)</t>
  </si>
  <si>
    <t>(prázdné) Celkem</t>
  </si>
  <si>
    <t>ZC648</t>
  </si>
  <si>
    <t>Elektroda EKG s gelem ovál 51 x 33 mm pro dospělé H-108006</t>
  </si>
  <si>
    <t>ZB173</t>
  </si>
  <si>
    <t>Maska kyslíková s hadičkou a nosní svorkou dospělá H-103013, OS/100</t>
  </si>
  <si>
    <t>TVL, TVL ambulance</t>
  </si>
  <si>
    <t>50115060</t>
  </si>
  <si>
    <t>503 SZM ostatní zdravotnický (112 02 100)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</si>
  <si>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</si>
  <si>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</si>
  <si>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</si>
  <si>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</si>
  <si>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</si>
  <si>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</si>
  <si>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</si>
  <si>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</si>
  <si>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</si>
  <si>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</si>
  <si>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</si>
  <si>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</si>
  <si>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</si>
  <si>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</si>
  <si>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Kocvrlich Marek</t>
  </si>
  <si>
    <t>Ripplová Dana</t>
  </si>
  <si>
    <t>Saitzová Kateřina</t>
  </si>
  <si>
    <t>Tozzi Igor</t>
  </si>
  <si>
    <t>Zdravotní výkony vykázané na pracovišti v rámci ambulantní péče dle lékařů *</t>
  </si>
  <si>
    <t>V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</si>
  <si>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</si>
  <si>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</si>
  <si>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</si>
  <si>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</si>
  <si>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</si>
  <si>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</si>
  <si>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</si>
  <si>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</si>
  <si>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</si>
  <si>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</si>
  <si>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</si>
  <si>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</si>
  <si>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</si>
  <si>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</si>
  <si>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</si>
  <si>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</si>
  <si>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</si>
  <si>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</si>
  <si>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</si>
  <si>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</si>
  <si>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</si>
  <si>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</si>
  <si>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</si>
  <si>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</si>
  <si>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</si>
  <si>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</si>
  <si>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</si>
  <si>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</si>
  <si>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</si>
  <si>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</si>
  <si>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</si>
  <si>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</si>
  <si>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</si>
  <si>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</si>
  <si>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</si>
  <si>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</si>
  <si>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</si>
  <si>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</si>
  <si>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</si>
  <si>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</si>
  <si>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</si>
  <si>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</si>
  <si>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</si>
  <si>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</si>
  <si>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</si>
  <si>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</si>
  <si>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09220</t>
  </si>
  <si>
    <t>KANYLACE PERIFERNÍ ŽÍLY VČETNĚ INFÚZE</t>
  </si>
  <si>
    <t>24040</t>
  </si>
  <si>
    <t>TELEMETRICKÉ SLEDOVÁNÍ ZÁKLADNÍCH KARDIORESPIRAČNÍ</t>
  </si>
  <si>
    <t>09215</t>
  </si>
  <si>
    <t>INJEKCE I. M., S. C., I. D.</t>
  </si>
  <si>
    <t>24023</t>
  </si>
  <si>
    <t>KONTROLNÍ VYŠETŘENÍ TĚLOVÝCHOVNÝM LÉKAŘEM ZE ZDRAV</t>
  </si>
  <si>
    <t>09113</t>
  </si>
  <si>
    <t>ODBĚR KRVE Z ARTERIE</t>
  </si>
  <si>
    <t>09219</t>
  </si>
  <si>
    <t xml:space="preserve">INTRAVENÓZNÍ INJEKCE U DOSPĚLÉHO ČI DÍTĚTE NAD 10 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</si>
  <si>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</si>
  <si>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</si>
  <si>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</si>
  <si>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</si>
  <si>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</si>
  <si>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</si>
  <si>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</si>
  <si>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</si>
  <si>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</si>
  <si>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</si>
  <si>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</si>
  <si>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</si>
  <si>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</si>
  <si>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902</t>
  </si>
  <si>
    <t>21115</t>
  </si>
  <si>
    <t>FYZIKÁLNÍ TERAPIE III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</si>
  <si>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</si>
  <si>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</si>
  <si>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</si>
  <si>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</si>
  <si>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</si>
  <si>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</si>
  <si>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</si>
  <si>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</si>
  <si>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</si>
  <si>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</si>
  <si>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</si>
  <si>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</si>
  <si>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</si>
  <si>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</si>
  <si>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</si>
  <si>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</si>
  <si>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</si>
  <si>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</si>
  <si>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</si>
  <si>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</si>
  <si>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</si>
  <si>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</si>
  <si>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</si>
  <si>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</si>
  <si>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</si>
  <si>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10 - Dětská klinika</t>
  </si>
  <si>
    <t>16 - Klinika plicních nemocí a tuberkulózy</t>
  </si>
  <si>
    <t>02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</si>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</sst>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9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3" fontId="33" fillId="0" borderId="79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3" fontId="33" fillId="0" borderId="82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3" fontId="33" fillId="0" borderId="80" xfId="0" applyNumberFormat="1" applyFont="1" applyFill="1" applyBorder="1"/>
    <xf numFmtId="3" fontId="33" fillId="0" borderId="83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0" fontId="33" fillId="0" borderId="79" xfId="0" applyFont="1" applyFill="1" applyBorder="1"/>
    <xf numFmtId="3" fontId="33" fillId="0" borderId="88" xfId="0" applyNumberFormat="1" applyFont="1" applyFill="1" applyBorder="1"/>
    <xf numFmtId="0" fontId="33" fillId="0" borderId="89" xfId="0" applyFont="1" applyFill="1" applyBorder="1"/>
    <xf numFmtId="3" fontId="33" fillId="0" borderId="89" xfId="0" applyNumberFormat="1" applyFont="1" applyFill="1" applyBorder="1"/>
    <xf numFmtId="0" fontId="33" fillId="0" borderId="82" xfId="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88" xfId="0" applyFont="1" applyFill="1" applyBorder="1"/>
    <xf numFmtId="0" fontId="33" fillId="0" borderId="81" xfId="0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9" xfId="0" applyFont="1" applyFill="1" applyBorder="1" applyAlignment="1">
      <alignment horizontal="right"/>
    </xf>
    <xf numFmtId="0" fontId="33" fillId="0" borderId="89" xfId="0" applyFont="1" applyFill="1" applyBorder="1" applyAlignment="1">
      <alignment horizontal="left"/>
    </xf>
    <xf numFmtId="164" fontId="33" fillId="0" borderId="89" xfId="0" applyNumberFormat="1" applyFont="1" applyFill="1" applyBorder="1"/>
    <xf numFmtId="165" fontId="33" fillId="0" borderId="89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4" fontId="33" fillId="0" borderId="82" xfId="0" applyNumberFormat="1" applyFont="1" applyFill="1" applyBorder="1"/>
    <xf numFmtId="165" fontId="33" fillId="0" borderId="82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90" xfId="0" applyNumberFormat="1" applyFont="1" applyFill="1" applyBorder="1"/>
    <xf numFmtId="3" fontId="33" fillId="0" borderId="95" xfId="0" applyNumberFormat="1" applyFont="1" applyFill="1" applyBorder="1"/>
    <xf numFmtId="9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88" xfId="0" applyFont="1" applyFill="1" applyBorder="1"/>
    <xf numFmtId="0" fontId="40" fillId="0" borderId="13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82" xfId="0" applyNumberFormat="1" applyFont="1" applyFill="1" applyBorder="1" applyAlignment="1">
      <alignment horizontal="right"/>
    </xf>
    <xf numFmtId="173" fontId="40" fillId="4" borderId="134" xfId="0" applyNumberFormat="1" applyFont="1" applyFill="1" applyBorder="1" applyAlignment="1">
      <alignment horizontal="center"/>
    </xf>
    <xf numFmtId="173" fontId="40" fillId="4" borderId="135" xfId="0" applyNumberFormat="1" applyFont="1" applyFill="1" applyBorder="1" applyAlignment="1">
      <alignment horizontal="center"/>
    </xf>
    <xf numFmtId="173" fontId="33" fillId="0" borderId="136" xfId="0" applyNumberFormat="1" applyFont="1" applyBorder="1" applyAlignment="1">
      <alignment horizontal="right"/>
    </xf>
    <xf numFmtId="173" fontId="33" fillId="0" borderId="137" xfId="0" applyNumberFormat="1" applyFont="1" applyBorder="1" applyAlignment="1">
      <alignment horizontal="right"/>
    </xf>
    <xf numFmtId="173" fontId="33" fillId="0" borderId="137" xfId="0" applyNumberFormat="1" applyFont="1" applyBorder="1" applyAlignment="1">
      <alignment horizontal="right" wrapText="1"/>
    </xf>
    <xf numFmtId="175" fontId="33" fillId="0" borderId="136" xfId="0" applyNumberFormat="1" applyFont="1" applyBorder="1" applyAlignment="1">
      <alignment horizontal="right"/>
    </xf>
    <xf numFmtId="175" fontId="33" fillId="0" borderId="137" xfId="0" applyNumberFormat="1" applyFont="1" applyBorder="1" applyAlignment="1">
      <alignment horizontal="right"/>
    </xf>
    <xf numFmtId="173" fontId="33" fillId="0" borderId="138" xfId="0" applyNumberFormat="1" applyFont="1" applyBorder="1" applyAlignment="1">
      <alignment horizontal="right"/>
    </xf>
    <xf numFmtId="173" fontId="33" fillId="0" borderId="139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04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3" xfId="0" applyNumberFormat="1" applyFont="1" applyBorder="1"/>
    <xf numFmtId="174" fontId="33" fillId="0" borderId="140" xfId="0" applyNumberFormat="1" applyFont="1" applyBorder="1"/>
    <xf numFmtId="173" fontId="40" fillId="4" borderId="57" xfId="0" applyNumberFormat="1" applyFont="1" applyFill="1" applyBorder="1" applyAlignment="1"/>
    <xf numFmtId="173" fontId="33" fillId="0" borderId="103" xfId="0" applyNumberFormat="1" applyFont="1" applyBorder="1"/>
    <xf numFmtId="173" fontId="33" fillId="0" borderId="104" xfId="0" applyNumberFormat="1" applyFont="1" applyBorder="1"/>
    <xf numFmtId="173" fontId="40" fillId="2" borderId="57" xfId="0" applyNumberFormat="1" applyFont="1" applyFill="1" applyBorder="1" applyAlignment="1"/>
    <xf numFmtId="173" fontId="33" fillId="0" borderId="140" xfId="0" applyNumberFormat="1" applyFont="1" applyBorder="1"/>
    <xf numFmtId="173" fontId="33" fillId="0" borderId="57" xfId="0" applyNumberFormat="1" applyFont="1" applyBorder="1"/>
    <xf numFmtId="9" fontId="33" fillId="0" borderId="103" xfId="0" applyNumberFormat="1" applyFont="1" applyBorder="1"/>
    <xf numFmtId="173" fontId="40" fillId="4" borderId="141" xfId="0" applyNumberFormat="1" applyFont="1" applyFill="1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175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97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9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90" xfId="0" applyNumberFormat="1" applyFont="1" applyFill="1" applyBorder="1"/>
    <xf numFmtId="169" fontId="33" fillId="0" borderId="83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0.53131506937502548</c:v>
                </c:pt>
                <c:pt idx="1">
                  <c:v>0.61136887358279091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2128"/>
        <c:axId val="1520831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0.26077038258664437</c:v>
                </c:pt>
                <c:pt idx="1">
                  <c:v>0.26077038258664437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3696"/>
        <c:axId val="1520832912"/>
      </c:scatterChart>
      <c:catAx>
        <c:axId val="15208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1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1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0832128"/>
        <c:crosses val="autoZero"/>
        <c:crossBetween val="between"/>
      </c:valAx>
      <c:valAx>
        <c:axId val="1520833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2912"/>
        <c:crosses val="max"/>
        <c:crossBetween val="midCat"/>
      </c:valAx>
      <c:valAx>
        <c:axId val="1520832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08336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273</v>
      </c>
      <c r="B2" s="46"/>
    </row>
    <row r="3" spans="1:3" ht="14.4" customHeight="1" thickBot="1" x14ac:dyDescent="0.35">
      <c r="A3" s="321" t="s">
        <v>139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6" t="str">
        <f t="shared" si="0"/>
        <v>HI</v>
      </c>
      <c r="B5" s="89" t="s">
        <v>135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136</v>
      </c>
      <c r="C11" s="47" t="s">
        <v>114</v>
      </c>
    </row>
    <row r="12" spans="1:3" ht="14.4" customHeight="1" x14ac:dyDescent="0.3">
      <c r="A12" s="147" t="str">
        <f t="shared" ref="A12:A20" si="2">HYPERLINK("#'"&amp;C12&amp;"'!A1",C12)</f>
        <v>LŽ Statim</v>
      </c>
      <c r="B12" s="309" t="s">
        <v>238</v>
      </c>
      <c r="C12" s="47" t="s">
        <v>248</v>
      </c>
    </row>
    <row r="13" spans="1:3" ht="14.4" customHeight="1" x14ac:dyDescent="0.3">
      <c r="A13" s="147" t="str">
        <f t="shared" si="2"/>
        <v>Léky Recepty</v>
      </c>
      <c r="B13" s="90" t="s">
        <v>137</v>
      </c>
      <c r="C13" s="47" t="s">
        <v>115</v>
      </c>
    </row>
    <row r="14" spans="1:3" ht="14.4" customHeight="1" x14ac:dyDescent="0.3">
      <c r="A14" s="147" t="str">
        <f t="shared" si="2"/>
        <v>LRp Lékaři</v>
      </c>
      <c r="B14" s="90" t="s">
        <v>145</v>
      </c>
      <c r="C14" s="47" t="s">
        <v>146</v>
      </c>
    </row>
    <row r="15" spans="1:3" ht="14.4" customHeight="1" x14ac:dyDescent="0.3">
      <c r="A15" s="147" t="str">
        <f t="shared" si="2"/>
        <v>LRp Detail</v>
      </c>
      <c r="B15" s="90" t="s">
        <v>744</v>
      </c>
      <c r="C15" s="47" t="s">
        <v>116</v>
      </c>
    </row>
    <row r="16" spans="1:3" ht="28.8" customHeight="1" x14ac:dyDescent="0.3">
      <c r="A16" s="147" t="str">
        <f t="shared" si="2"/>
        <v>LRp PL</v>
      </c>
      <c r="B16" s="530" t="s">
        <v>745</v>
      </c>
      <c r="C16" s="47" t="s">
        <v>142</v>
      </c>
    </row>
    <row r="17" spans="1:3" ht="14.4" customHeight="1" x14ac:dyDescent="0.3">
      <c r="A17" s="147" t="str">
        <f>HYPERLINK("#'"&amp;C17&amp;"'!A1",C17)</f>
        <v>LRp PL Detail</v>
      </c>
      <c r="B17" s="90" t="s">
        <v>784</v>
      </c>
      <c r="C17" s="47" t="s">
        <v>143</v>
      </c>
    </row>
    <row r="18" spans="1:3" ht="14.4" customHeight="1" x14ac:dyDescent="0.3">
      <c r="A18" s="149" t="str">
        <f t="shared" ref="A18" si="3">HYPERLINK("#'"&amp;C18&amp;"'!A1",C18)</f>
        <v>Materiál Žádanky</v>
      </c>
      <c r="B18" s="90" t="s">
        <v>138</v>
      </c>
      <c r="C18" s="47" t="s">
        <v>117</v>
      </c>
    </row>
    <row r="19" spans="1:3" ht="14.4" customHeight="1" x14ac:dyDescent="0.3">
      <c r="A19" s="147" t="str">
        <f t="shared" si="2"/>
        <v>MŽ Detail</v>
      </c>
      <c r="B19" s="90" t="s">
        <v>797</v>
      </c>
      <c r="C19" s="47" t="s">
        <v>118</v>
      </c>
    </row>
    <row r="20" spans="1:3" ht="14.4" customHeight="1" thickBot="1" x14ac:dyDescent="0.35">
      <c r="A20" s="149" t="str">
        <f t="shared" si="2"/>
        <v>Osobní náklady</v>
      </c>
      <c r="B20" s="90" t="s">
        <v>106</v>
      </c>
      <c r="C20" s="47" t="s">
        <v>119</v>
      </c>
    </row>
    <row r="21" spans="1:3" ht="14.4" customHeight="1" thickBot="1" x14ac:dyDescent="0.35">
      <c r="A21" s="93"/>
      <c r="B21" s="93"/>
    </row>
    <row r="22" spans="1:3" ht="14.4" customHeight="1" thickBot="1" x14ac:dyDescent="0.35">
      <c r="A22" s="324" t="s">
        <v>110</v>
      </c>
      <c r="B22" s="322"/>
    </row>
    <row r="23" spans="1:3" ht="14.4" customHeight="1" x14ac:dyDescent="0.3">
      <c r="A23" s="150" t="str">
        <f t="shared" ref="A23:A27" si="4">HYPERLINK("#'"&amp;C23&amp;"'!A1",C23)</f>
        <v>ZV Vykáz.-A</v>
      </c>
      <c r="B23" s="89" t="s">
        <v>807</v>
      </c>
      <c r="C23" s="47" t="s">
        <v>122</v>
      </c>
    </row>
    <row r="24" spans="1:3" ht="14.4" customHeight="1" x14ac:dyDescent="0.3">
      <c r="A24" s="147" t="str">
        <f t="shared" ref="A24" si="5">HYPERLINK("#'"&amp;C24&amp;"'!A1",C24)</f>
        <v>ZV Vykáz.-A Lékaři</v>
      </c>
      <c r="B24" s="90" t="s">
        <v>813</v>
      </c>
      <c r="C24" s="47" t="s">
        <v>251</v>
      </c>
    </row>
    <row r="25" spans="1:3" ht="14.4" customHeight="1" x14ac:dyDescent="0.3">
      <c r="A25" s="147" t="str">
        <f t="shared" si="4"/>
        <v>ZV Vykáz.-A Detail</v>
      </c>
      <c r="B25" s="90" t="s">
        <v>911</v>
      </c>
      <c r="C25" s="47" t="s">
        <v>123</v>
      </c>
    </row>
    <row r="26" spans="1:3" ht="14.4" customHeight="1" x14ac:dyDescent="0.3">
      <c r="A26" s="147" t="str">
        <f t="shared" si="4"/>
        <v>ZV Vykáz.-H</v>
      </c>
      <c r="B26" s="90" t="s">
        <v>126</v>
      </c>
      <c r="C26" s="47" t="s">
        <v>124</v>
      </c>
    </row>
    <row r="27" spans="1:3" ht="14.4" customHeight="1" x14ac:dyDescent="0.3">
      <c r="A27" s="147" t="str">
        <f t="shared" si="4"/>
        <v>ZV Vykáz.-H Detail</v>
      </c>
      <c r="B27" s="90" t="s">
        <v>920</v>
      </c>
      <c r="C27" s="47" t="s">
        <v>125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1" t="s">
        <v>145</v>
      </c>
      <c r="B1" s="361"/>
      <c r="C1" s="361"/>
      <c r="D1" s="361"/>
      <c r="E1" s="361"/>
      <c r="F1" s="361"/>
      <c r="G1" s="361"/>
      <c r="H1" s="361"/>
      <c r="I1" s="361"/>
      <c r="J1" s="326"/>
      <c r="K1" s="326"/>
      <c r="L1" s="326"/>
      <c r="M1" s="326"/>
    </row>
    <row r="2" spans="1:13" ht="14.4" customHeight="1" thickBot="1" x14ac:dyDescent="0.35">
      <c r="A2" s="235" t="s">
        <v>273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78" t="s">
        <v>14</v>
      </c>
      <c r="C3" s="380"/>
      <c r="D3" s="377"/>
      <c r="E3" s="143"/>
      <c r="F3" s="377" t="s">
        <v>15</v>
      </c>
      <c r="G3" s="377"/>
      <c r="H3" s="377"/>
      <c r="I3" s="377"/>
      <c r="J3" s="377" t="s">
        <v>144</v>
      </c>
      <c r="K3" s="377"/>
      <c r="L3" s="377"/>
      <c r="M3" s="379"/>
    </row>
    <row r="4" spans="1:13" ht="14.4" customHeight="1" thickBot="1" x14ac:dyDescent="0.35">
      <c r="A4" s="449" t="s">
        <v>134</v>
      </c>
      <c r="B4" s="450" t="s">
        <v>18</v>
      </c>
      <c r="C4" s="475"/>
      <c r="D4" s="450" t="s">
        <v>19</v>
      </c>
      <c r="E4" s="475"/>
      <c r="F4" s="450" t="s">
        <v>18</v>
      </c>
      <c r="G4" s="453" t="s">
        <v>2</v>
      </c>
      <c r="H4" s="450" t="s">
        <v>19</v>
      </c>
      <c r="I4" s="453" t="s">
        <v>2</v>
      </c>
      <c r="J4" s="450" t="s">
        <v>18</v>
      </c>
      <c r="K4" s="453" t="s">
        <v>2</v>
      </c>
      <c r="L4" s="450" t="s">
        <v>19</v>
      </c>
      <c r="M4" s="454" t="s">
        <v>2</v>
      </c>
    </row>
    <row r="5" spans="1:13" ht="14.4" customHeight="1" x14ac:dyDescent="0.3">
      <c r="A5" s="472" t="s">
        <v>445</v>
      </c>
      <c r="B5" s="465">
        <v>1542.5700000000002</v>
      </c>
      <c r="C5" s="476">
        <v>1</v>
      </c>
      <c r="D5" s="481">
        <v>8</v>
      </c>
      <c r="E5" s="488" t="s">
        <v>445</v>
      </c>
      <c r="F5" s="465">
        <v>1156.22</v>
      </c>
      <c r="G5" s="456">
        <v>0.74954134982529153</v>
      </c>
      <c r="H5" s="455">
        <v>4</v>
      </c>
      <c r="I5" s="457">
        <v>0.5</v>
      </c>
      <c r="J5" s="491">
        <v>386.35</v>
      </c>
      <c r="K5" s="456">
        <v>0.25045865017470842</v>
      </c>
      <c r="L5" s="455">
        <v>4</v>
      </c>
      <c r="M5" s="457">
        <v>0.5</v>
      </c>
    </row>
    <row r="6" spans="1:13" ht="14.4" customHeight="1" x14ac:dyDescent="0.3">
      <c r="A6" s="473" t="s">
        <v>446</v>
      </c>
      <c r="B6" s="477">
        <v>369.91</v>
      </c>
      <c r="C6" s="478">
        <v>1</v>
      </c>
      <c r="D6" s="482">
        <v>1</v>
      </c>
      <c r="E6" s="489" t="s">
        <v>446</v>
      </c>
      <c r="F6" s="477">
        <v>369.91</v>
      </c>
      <c r="G6" s="486">
        <v>1</v>
      </c>
      <c r="H6" s="479">
        <v>1</v>
      </c>
      <c r="I6" s="487">
        <v>1</v>
      </c>
      <c r="J6" s="492"/>
      <c r="K6" s="486">
        <v>0</v>
      </c>
      <c r="L6" s="479"/>
      <c r="M6" s="487">
        <v>0</v>
      </c>
    </row>
    <row r="7" spans="1:13" ht="14.4" customHeight="1" x14ac:dyDescent="0.3">
      <c r="A7" s="473" t="s">
        <v>447</v>
      </c>
      <c r="B7" s="477">
        <v>2170.92</v>
      </c>
      <c r="C7" s="478">
        <v>1</v>
      </c>
      <c r="D7" s="482">
        <v>8</v>
      </c>
      <c r="E7" s="489" t="s">
        <v>447</v>
      </c>
      <c r="F7" s="477">
        <v>2170.92</v>
      </c>
      <c r="G7" s="486">
        <v>1</v>
      </c>
      <c r="H7" s="479">
        <v>8</v>
      </c>
      <c r="I7" s="487">
        <v>1</v>
      </c>
      <c r="J7" s="492"/>
      <c r="K7" s="486">
        <v>0</v>
      </c>
      <c r="L7" s="479"/>
      <c r="M7" s="487">
        <v>0</v>
      </c>
    </row>
    <row r="8" spans="1:13" ht="14.4" customHeight="1" x14ac:dyDescent="0.3">
      <c r="A8" s="473" t="s">
        <v>448</v>
      </c>
      <c r="B8" s="477">
        <v>10700.460000000001</v>
      </c>
      <c r="C8" s="478">
        <v>1</v>
      </c>
      <c r="D8" s="482">
        <v>42</v>
      </c>
      <c r="E8" s="489" t="s">
        <v>448</v>
      </c>
      <c r="F8" s="477">
        <v>2809.4200000000005</v>
      </c>
      <c r="G8" s="486">
        <v>0.26255132956900923</v>
      </c>
      <c r="H8" s="479">
        <v>13</v>
      </c>
      <c r="I8" s="487">
        <v>0.30952380952380953</v>
      </c>
      <c r="J8" s="492">
        <v>7891.04</v>
      </c>
      <c r="K8" s="486">
        <v>0.73744867043099072</v>
      </c>
      <c r="L8" s="479">
        <v>29</v>
      </c>
      <c r="M8" s="487">
        <v>0.69047619047619047</v>
      </c>
    </row>
    <row r="9" spans="1:13" ht="14.4" customHeight="1" thickBot="1" x14ac:dyDescent="0.35">
      <c r="A9" s="474" t="s">
        <v>449</v>
      </c>
      <c r="B9" s="466">
        <v>29621.85</v>
      </c>
      <c r="C9" s="480">
        <v>1</v>
      </c>
      <c r="D9" s="483">
        <v>30</v>
      </c>
      <c r="E9" s="490" t="s">
        <v>449</v>
      </c>
      <c r="F9" s="466">
        <v>12449.400000000001</v>
      </c>
      <c r="G9" s="459">
        <v>0.42027759913712354</v>
      </c>
      <c r="H9" s="458">
        <v>14</v>
      </c>
      <c r="I9" s="460">
        <v>0.46666666666666667</v>
      </c>
      <c r="J9" s="493">
        <v>17172.449999999997</v>
      </c>
      <c r="K9" s="459">
        <v>0.57972240086287652</v>
      </c>
      <c r="L9" s="458">
        <v>16</v>
      </c>
      <c r="M9" s="460">
        <v>0.53333333333333333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744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273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4"/>
      <c r="B3" s="385"/>
      <c r="C3" s="385"/>
      <c r="D3" s="385"/>
      <c r="E3" s="385"/>
      <c r="F3" s="385"/>
      <c r="G3" s="385"/>
      <c r="H3" s="385"/>
      <c r="I3" s="385"/>
      <c r="J3" s="385"/>
      <c r="K3" s="386" t="s">
        <v>127</v>
      </c>
      <c r="L3" s="387"/>
      <c r="M3" s="66">
        <f>SUBTOTAL(9,M7:M1048576)</f>
        <v>44405.71</v>
      </c>
      <c r="N3" s="66">
        <f>SUBTOTAL(9,N7:N1048576)</f>
        <v>236</v>
      </c>
      <c r="O3" s="66">
        <f>SUBTOTAL(9,O7:O1048576)</f>
        <v>89</v>
      </c>
      <c r="P3" s="66">
        <f>SUBTOTAL(9,P7:P1048576)</f>
        <v>18955.870000000003</v>
      </c>
      <c r="Q3" s="67">
        <f>IF(M3=0,0,P3/M3)</f>
        <v>0.42687911081705487</v>
      </c>
      <c r="R3" s="66">
        <f>SUBTOTAL(9,R7:R1048576)</f>
        <v>93</v>
      </c>
      <c r="S3" s="67">
        <f>IF(N3=0,0,R3/N3)</f>
        <v>0.3940677966101695</v>
      </c>
      <c r="T3" s="66">
        <f>SUBTOTAL(9,T7:T1048576)</f>
        <v>40</v>
      </c>
      <c r="U3" s="68">
        <f>IF(O3=0,0,T3/O3)</f>
        <v>0.449438202247191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8" t="s">
        <v>14</v>
      </c>
      <c r="N4" s="389"/>
      <c r="O4" s="389"/>
      <c r="P4" s="390" t="s">
        <v>20</v>
      </c>
      <c r="Q4" s="389"/>
      <c r="R4" s="389"/>
      <c r="S4" s="389"/>
      <c r="T4" s="389"/>
      <c r="U4" s="391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1" t="s">
        <v>21</v>
      </c>
      <c r="Q5" s="382"/>
      <c r="R5" s="381" t="s">
        <v>12</v>
      </c>
      <c r="S5" s="382"/>
      <c r="T5" s="381" t="s">
        <v>19</v>
      </c>
      <c r="U5" s="383"/>
    </row>
    <row r="6" spans="1:21" s="209" customFormat="1" ht="14.4" customHeight="1" thickBot="1" x14ac:dyDescent="0.35">
      <c r="A6" s="494" t="s">
        <v>22</v>
      </c>
      <c r="B6" s="495" t="s">
        <v>5</v>
      </c>
      <c r="C6" s="494" t="s">
        <v>23</v>
      </c>
      <c r="D6" s="495" t="s">
        <v>6</v>
      </c>
      <c r="E6" s="495" t="s">
        <v>147</v>
      </c>
      <c r="F6" s="495" t="s">
        <v>24</v>
      </c>
      <c r="G6" s="495" t="s">
        <v>25</v>
      </c>
      <c r="H6" s="495" t="s">
        <v>8</v>
      </c>
      <c r="I6" s="495" t="s">
        <v>9</v>
      </c>
      <c r="J6" s="495" t="s">
        <v>10</v>
      </c>
      <c r="K6" s="495" t="s">
        <v>11</v>
      </c>
      <c r="L6" s="495" t="s">
        <v>26</v>
      </c>
      <c r="M6" s="496" t="s">
        <v>13</v>
      </c>
      <c r="N6" s="497" t="s">
        <v>27</v>
      </c>
      <c r="O6" s="497" t="s">
        <v>27</v>
      </c>
      <c r="P6" s="497" t="s">
        <v>13</v>
      </c>
      <c r="Q6" s="497" t="s">
        <v>2</v>
      </c>
      <c r="R6" s="497" t="s">
        <v>27</v>
      </c>
      <c r="S6" s="497" t="s">
        <v>2</v>
      </c>
      <c r="T6" s="497" t="s">
        <v>27</v>
      </c>
      <c r="U6" s="498" t="s">
        <v>2</v>
      </c>
    </row>
    <row r="7" spans="1:21" ht="14.4" customHeight="1" x14ac:dyDescent="0.3">
      <c r="A7" s="499">
        <v>27</v>
      </c>
      <c r="B7" s="500" t="s">
        <v>436</v>
      </c>
      <c r="C7" s="500">
        <v>89301273</v>
      </c>
      <c r="D7" s="501" t="s">
        <v>740</v>
      </c>
      <c r="E7" s="502" t="s">
        <v>445</v>
      </c>
      <c r="F7" s="500" t="s">
        <v>437</v>
      </c>
      <c r="G7" s="500" t="s">
        <v>450</v>
      </c>
      <c r="H7" s="500" t="s">
        <v>425</v>
      </c>
      <c r="I7" s="500" t="s">
        <v>451</v>
      </c>
      <c r="J7" s="500" t="s">
        <v>452</v>
      </c>
      <c r="K7" s="500" t="s">
        <v>453</v>
      </c>
      <c r="L7" s="503">
        <v>150.04</v>
      </c>
      <c r="M7" s="503">
        <v>300.08</v>
      </c>
      <c r="N7" s="500">
        <v>2</v>
      </c>
      <c r="O7" s="504">
        <v>0.5</v>
      </c>
      <c r="P7" s="503">
        <v>300.08</v>
      </c>
      <c r="Q7" s="505">
        <v>1</v>
      </c>
      <c r="R7" s="500">
        <v>2</v>
      </c>
      <c r="S7" s="505">
        <v>1</v>
      </c>
      <c r="T7" s="504">
        <v>0.5</v>
      </c>
      <c r="U7" s="122">
        <v>1</v>
      </c>
    </row>
    <row r="8" spans="1:21" ht="14.4" customHeight="1" x14ac:dyDescent="0.3">
      <c r="A8" s="484">
        <v>27</v>
      </c>
      <c r="B8" s="478" t="s">
        <v>436</v>
      </c>
      <c r="C8" s="478">
        <v>89301273</v>
      </c>
      <c r="D8" s="506" t="s">
        <v>740</v>
      </c>
      <c r="E8" s="507" t="s">
        <v>445</v>
      </c>
      <c r="F8" s="478" t="s">
        <v>437</v>
      </c>
      <c r="G8" s="478" t="s">
        <v>454</v>
      </c>
      <c r="H8" s="478" t="s">
        <v>425</v>
      </c>
      <c r="I8" s="478" t="s">
        <v>455</v>
      </c>
      <c r="J8" s="478" t="s">
        <v>456</v>
      </c>
      <c r="K8" s="478" t="s">
        <v>457</v>
      </c>
      <c r="L8" s="508">
        <v>0</v>
      </c>
      <c r="M8" s="508">
        <v>0</v>
      </c>
      <c r="N8" s="478">
        <v>1</v>
      </c>
      <c r="O8" s="509">
        <v>0.5</v>
      </c>
      <c r="P8" s="508"/>
      <c r="Q8" s="486"/>
      <c r="R8" s="478"/>
      <c r="S8" s="486">
        <v>0</v>
      </c>
      <c r="T8" s="509"/>
      <c r="U8" s="487">
        <v>0</v>
      </c>
    </row>
    <row r="9" spans="1:21" ht="14.4" customHeight="1" x14ac:dyDescent="0.3">
      <c r="A9" s="484">
        <v>27</v>
      </c>
      <c r="B9" s="478" t="s">
        <v>436</v>
      </c>
      <c r="C9" s="478">
        <v>89301273</v>
      </c>
      <c r="D9" s="506" t="s">
        <v>740</v>
      </c>
      <c r="E9" s="507" t="s">
        <v>445</v>
      </c>
      <c r="F9" s="478" t="s">
        <v>437</v>
      </c>
      <c r="G9" s="478" t="s">
        <v>458</v>
      </c>
      <c r="H9" s="478" t="s">
        <v>425</v>
      </c>
      <c r="I9" s="478" t="s">
        <v>459</v>
      </c>
      <c r="J9" s="478" t="s">
        <v>460</v>
      </c>
      <c r="K9" s="478" t="s">
        <v>461</v>
      </c>
      <c r="L9" s="508">
        <v>156.77000000000001</v>
      </c>
      <c r="M9" s="508">
        <v>313.54000000000002</v>
      </c>
      <c r="N9" s="478">
        <v>2</v>
      </c>
      <c r="O9" s="509">
        <v>0.5</v>
      </c>
      <c r="P9" s="508">
        <v>313.54000000000002</v>
      </c>
      <c r="Q9" s="486">
        <v>1</v>
      </c>
      <c r="R9" s="478">
        <v>2</v>
      </c>
      <c r="S9" s="486">
        <v>1</v>
      </c>
      <c r="T9" s="509">
        <v>0.5</v>
      </c>
      <c r="U9" s="487">
        <v>1</v>
      </c>
    </row>
    <row r="10" spans="1:21" ht="14.4" customHeight="1" x14ac:dyDescent="0.3">
      <c r="A10" s="484">
        <v>27</v>
      </c>
      <c r="B10" s="478" t="s">
        <v>436</v>
      </c>
      <c r="C10" s="478">
        <v>89301273</v>
      </c>
      <c r="D10" s="506" t="s">
        <v>740</v>
      </c>
      <c r="E10" s="507" t="s">
        <v>445</v>
      </c>
      <c r="F10" s="478" t="s">
        <v>437</v>
      </c>
      <c r="G10" s="478" t="s">
        <v>462</v>
      </c>
      <c r="H10" s="478" t="s">
        <v>425</v>
      </c>
      <c r="I10" s="478" t="s">
        <v>463</v>
      </c>
      <c r="J10" s="478" t="s">
        <v>464</v>
      </c>
      <c r="K10" s="478" t="s">
        <v>465</v>
      </c>
      <c r="L10" s="508">
        <v>48.42</v>
      </c>
      <c r="M10" s="508">
        <v>96.84</v>
      </c>
      <c r="N10" s="478">
        <v>2</v>
      </c>
      <c r="O10" s="509">
        <v>0.5</v>
      </c>
      <c r="P10" s="508">
        <v>96.84</v>
      </c>
      <c r="Q10" s="486">
        <v>1</v>
      </c>
      <c r="R10" s="478">
        <v>2</v>
      </c>
      <c r="S10" s="486">
        <v>1</v>
      </c>
      <c r="T10" s="509">
        <v>0.5</v>
      </c>
      <c r="U10" s="487">
        <v>1</v>
      </c>
    </row>
    <row r="11" spans="1:21" ht="14.4" customHeight="1" x14ac:dyDescent="0.3">
      <c r="A11" s="484">
        <v>27</v>
      </c>
      <c r="B11" s="478" t="s">
        <v>436</v>
      </c>
      <c r="C11" s="478">
        <v>89301273</v>
      </c>
      <c r="D11" s="506" t="s">
        <v>740</v>
      </c>
      <c r="E11" s="507" t="s">
        <v>445</v>
      </c>
      <c r="F11" s="478" t="s">
        <v>437</v>
      </c>
      <c r="G11" s="478" t="s">
        <v>466</v>
      </c>
      <c r="H11" s="478" t="s">
        <v>425</v>
      </c>
      <c r="I11" s="478" t="s">
        <v>467</v>
      </c>
      <c r="J11" s="478" t="s">
        <v>468</v>
      </c>
      <c r="K11" s="478" t="s">
        <v>469</v>
      </c>
      <c r="L11" s="508">
        <v>0</v>
      </c>
      <c r="M11" s="508">
        <v>0</v>
      </c>
      <c r="N11" s="478">
        <v>1</v>
      </c>
      <c r="O11" s="509">
        <v>1</v>
      </c>
      <c r="P11" s="508"/>
      <c r="Q11" s="486"/>
      <c r="R11" s="478"/>
      <c r="S11" s="486">
        <v>0</v>
      </c>
      <c r="T11" s="509"/>
      <c r="U11" s="487">
        <v>0</v>
      </c>
    </row>
    <row r="12" spans="1:21" ht="14.4" customHeight="1" x14ac:dyDescent="0.3">
      <c r="A12" s="484">
        <v>27</v>
      </c>
      <c r="B12" s="478" t="s">
        <v>436</v>
      </c>
      <c r="C12" s="478">
        <v>89301273</v>
      </c>
      <c r="D12" s="506" t="s">
        <v>740</v>
      </c>
      <c r="E12" s="507" t="s">
        <v>445</v>
      </c>
      <c r="F12" s="478" t="s">
        <v>437</v>
      </c>
      <c r="G12" s="478" t="s">
        <v>470</v>
      </c>
      <c r="H12" s="478" t="s">
        <v>425</v>
      </c>
      <c r="I12" s="478" t="s">
        <v>471</v>
      </c>
      <c r="J12" s="478" t="s">
        <v>472</v>
      </c>
      <c r="K12" s="478" t="s">
        <v>473</v>
      </c>
      <c r="L12" s="508">
        <v>0</v>
      </c>
      <c r="M12" s="508">
        <v>0</v>
      </c>
      <c r="N12" s="478">
        <v>1</v>
      </c>
      <c r="O12" s="509">
        <v>1</v>
      </c>
      <c r="P12" s="508"/>
      <c r="Q12" s="486"/>
      <c r="R12" s="478"/>
      <c r="S12" s="486">
        <v>0</v>
      </c>
      <c r="T12" s="509"/>
      <c r="U12" s="487">
        <v>0</v>
      </c>
    </row>
    <row r="13" spans="1:21" ht="14.4" customHeight="1" x14ac:dyDescent="0.3">
      <c r="A13" s="484">
        <v>27</v>
      </c>
      <c r="B13" s="478" t="s">
        <v>436</v>
      </c>
      <c r="C13" s="478">
        <v>89301273</v>
      </c>
      <c r="D13" s="506" t="s">
        <v>740</v>
      </c>
      <c r="E13" s="507" t="s">
        <v>445</v>
      </c>
      <c r="F13" s="478" t="s">
        <v>437</v>
      </c>
      <c r="G13" s="478" t="s">
        <v>474</v>
      </c>
      <c r="H13" s="478" t="s">
        <v>743</v>
      </c>
      <c r="I13" s="478" t="s">
        <v>475</v>
      </c>
      <c r="J13" s="478" t="s">
        <v>476</v>
      </c>
      <c r="K13" s="478" t="s">
        <v>477</v>
      </c>
      <c r="L13" s="508">
        <v>48.42</v>
      </c>
      <c r="M13" s="508">
        <v>48.42</v>
      </c>
      <c r="N13" s="478">
        <v>1</v>
      </c>
      <c r="O13" s="509">
        <v>1</v>
      </c>
      <c r="P13" s="508">
        <v>48.42</v>
      </c>
      <c r="Q13" s="486">
        <v>1</v>
      </c>
      <c r="R13" s="478">
        <v>1</v>
      </c>
      <c r="S13" s="486">
        <v>1</v>
      </c>
      <c r="T13" s="509">
        <v>1</v>
      </c>
      <c r="U13" s="487">
        <v>1</v>
      </c>
    </row>
    <row r="14" spans="1:21" ht="14.4" customHeight="1" x14ac:dyDescent="0.3">
      <c r="A14" s="484">
        <v>27</v>
      </c>
      <c r="B14" s="478" t="s">
        <v>436</v>
      </c>
      <c r="C14" s="478">
        <v>89301273</v>
      </c>
      <c r="D14" s="506" t="s">
        <v>740</v>
      </c>
      <c r="E14" s="507" t="s">
        <v>445</v>
      </c>
      <c r="F14" s="478" t="s">
        <v>437</v>
      </c>
      <c r="G14" s="478" t="s">
        <v>478</v>
      </c>
      <c r="H14" s="478" t="s">
        <v>743</v>
      </c>
      <c r="I14" s="478" t="s">
        <v>479</v>
      </c>
      <c r="J14" s="478" t="s">
        <v>480</v>
      </c>
      <c r="K14" s="478" t="s">
        <v>481</v>
      </c>
      <c r="L14" s="508">
        <v>48.27</v>
      </c>
      <c r="M14" s="508">
        <v>144.81</v>
      </c>
      <c r="N14" s="478">
        <v>3</v>
      </c>
      <c r="O14" s="509">
        <v>0.5</v>
      </c>
      <c r="P14" s="508"/>
      <c r="Q14" s="486">
        <v>0</v>
      </c>
      <c r="R14" s="478"/>
      <c r="S14" s="486">
        <v>0</v>
      </c>
      <c r="T14" s="509"/>
      <c r="U14" s="487">
        <v>0</v>
      </c>
    </row>
    <row r="15" spans="1:21" ht="14.4" customHeight="1" x14ac:dyDescent="0.3">
      <c r="A15" s="484">
        <v>27</v>
      </c>
      <c r="B15" s="478" t="s">
        <v>436</v>
      </c>
      <c r="C15" s="478">
        <v>89301273</v>
      </c>
      <c r="D15" s="506" t="s">
        <v>740</v>
      </c>
      <c r="E15" s="507" t="s">
        <v>445</v>
      </c>
      <c r="F15" s="478" t="s">
        <v>437</v>
      </c>
      <c r="G15" s="478" t="s">
        <v>482</v>
      </c>
      <c r="H15" s="478" t="s">
        <v>425</v>
      </c>
      <c r="I15" s="478" t="s">
        <v>483</v>
      </c>
      <c r="J15" s="478" t="s">
        <v>484</v>
      </c>
      <c r="K15" s="478" t="s">
        <v>485</v>
      </c>
      <c r="L15" s="508">
        <v>108.44</v>
      </c>
      <c r="M15" s="508">
        <v>325.32</v>
      </c>
      <c r="N15" s="478">
        <v>3</v>
      </c>
      <c r="O15" s="509">
        <v>1</v>
      </c>
      <c r="P15" s="508">
        <v>325.32</v>
      </c>
      <c r="Q15" s="486">
        <v>1</v>
      </c>
      <c r="R15" s="478">
        <v>3</v>
      </c>
      <c r="S15" s="486">
        <v>1</v>
      </c>
      <c r="T15" s="509">
        <v>1</v>
      </c>
      <c r="U15" s="487">
        <v>1</v>
      </c>
    </row>
    <row r="16" spans="1:21" ht="14.4" customHeight="1" x14ac:dyDescent="0.3">
      <c r="A16" s="484">
        <v>27</v>
      </c>
      <c r="B16" s="478" t="s">
        <v>436</v>
      </c>
      <c r="C16" s="478">
        <v>89301273</v>
      </c>
      <c r="D16" s="506" t="s">
        <v>740</v>
      </c>
      <c r="E16" s="507" t="s">
        <v>445</v>
      </c>
      <c r="F16" s="478" t="s">
        <v>437</v>
      </c>
      <c r="G16" s="478" t="s">
        <v>486</v>
      </c>
      <c r="H16" s="478" t="s">
        <v>425</v>
      </c>
      <c r="I16" s="478" t="s">
        <v>487</v>
      </c>
      <c r="J16" s="478" t="s">
        <v>488</v>
      </c>
      <c r="K16" s="478" t="s">
        <v>489</v>
      </c>
      <c r="L16" s="508">
        <v>0</v>
      </c>
      <c r="M16" s="508">
        <v>0</v>
      </c>
      <c r="N16" s="478">
        <v>1</v>
      </c>
      <c r="O16" s="509">
        <v>0.5</v>
      </c>
      <c r="P16" s="508"/>
      <c r="Q16" s="486"/>
      <c r="R16" s="478"/>
      <c r="S16" s="486">
        <v>0</v>
      </c>
      <c r="T16" s="509"/>
      <c r="U16" s="487">
        <v>0</v>
      </c>
    </row>
    <row r="17" spans="1:21" ht="14.4" customHeight="1" x14ac:dyDescent="0.3">
      <c r="A17" s="484">
        <v>27</v>
      </c>
      <c r="B17" s="478" t="s">
        <v>436</v>
      </c>
      <c r="C17" s="478">
        <v>89301273</v>
      </c>
      <c r="D17" s="506" t="s">
        <v>740</v>
      </c>
      <c r="E17" s="507" t="s">
        <v>445</v>
      </c>
      <c r="F17" s="478" t="s">
        <v>437</v>
      </c>
      <c r="G17" s="478" t="s">
        <v>490</v>
      </c>
      <c r="H17" s="478" t="s">
        <v>743</v>
      </c>
      <c r="I17" s="478" t="s">
        <v>491</v>
      </c>
      <c r="J17" s="478" t="s">
        <v>492</v>
      </c>
      <c r="K17" s="478" t="s">
        <v>493</v>
      </c>
      <c r="L17" s="508">
        <v>36.01</v>
      </c>
      <c r="M17" s="508">
        <v>72.02</v>
      </c>
      <c r="N17" s="478">
        <v>2</v>
      </c>
      <c r="O17" s="509">
        <v>0.5</v>
      </c>
      <c r="P17" s="508">
        <v>72.02</v>
      </c>
      <c r="Q17" s="486">
        <v>1</v>
      </c>
      <c r="R17" s="478">
        <v>2</v>
      </c>
      <c r="S17" s="486">
        <v>1</v>
      </c>
      <c r="T17" s="509">
        <v>0.5</v>
      </c>
      <c r="U17" s="487">
        <v>1</v>
      </c>
    </row>
    <row r="18" spans="1:21" ht="14.4" customHeight="1" x14ac:dyDescent="0.3">
      <c r="A18" s="484">
        <v>27</v>
      </c>
      <c r="B18" s="478" t="s">
        <v>436</v>
      </c>
      <c r="C18" s="478">
        <v>89301273</v>
      </c>
      <c r="D18" s="506" t="s">
        <v>740</v>
      </c>
      <c r="E18" s="507" t="s">
        <v>445</v>
      </c>
      <c r="F18" s="478" t="s">
        <v>437</v>
      </c>
      <c r="G18" s="478" t="s">
        <v>494</v>
      </c>
      <c r="H18" s="478" t="s">
        <v>425</v>
      </c>
      <c r="I18" s="478" t="s">
        <v>495</v>
      </c>
      <c r="J18" s="478" t="s">
        <v>496</v>
      </c>
      <c r="K18" s="478" t="s">
        <v>497</v>
      </c>
      <c r="L18" s="508">
        <v>120.77</v>
      </c>
      <c r="M18" s="508">
        <v>241.54</v>
      </c>
      <c r="N18" s="478">
        <v>2</v>
      </c>
      <c r="O18" s="509">
        <v>0.5</v>
      </c>
      <c r="P18" s="508"/>
      <c r="Q18" s="486">
        <v>0</v>
      </c>
      <c r="R18" s="478"/>
      <c r="S18" s="486">
        <v>0</v>
      </c>
      <c r="T18" s="509"/>
      <c r="U18" s="487">
        <v>0</v>
      </c>
    </row>
    <row r="19" spans="1:21" ht="14.4" customHeight="1" x14ac:dyDescent="0.3">
      <c r="A19" s="484">
        <v>27</v>
      </c>
      <c r="B19" s="478" t="s">
        <v>436</v>
      </c>
      <c r="C19" s="478">
        <v>89301273</v>
      </c>
      <c r="D19" s="506" t="s">
        <v>740</v>
      </c>
      <c r="E19" s="507" t="s">
        <v>446</v>
      </c>
      <c r="F19" s="478" t="s">
        <v>437</v>
      </c>
      <c r="G19" s="478" t="s">
        <v>498</v>
      </c>
      <c r="H19" s="478" t="s">
        <v>425</v>
      </c>
      <c r="I19" s="478" t="s">
        <v>499</v>
      </c>
      <c r="J19" s="478" t="s">
        <v>500</v>
      </c>
      <c r="K19" s="478" t="s">
        <v>501</v>
      </c>
      <c r="L19" s="508">
        <v>369.91</v>
      </c>
      <c r="M19" s="508">
        <v>369.91</v>
      </c>
      <c r="N19" s="478">
        <v>1</v>
      </c>
      <c r="O19" s="509">
        <v>1</v>
      </c>
      <c r="P19" s="508">
        <v>369.91</v>
      </c>
      <c r="Q19" s="486">
        <v>1</v>
      </c>
      <c r="R19" s="478">
        <v>1</v>
      </c>
      <c r="S19" s="486">
        <v>1</v>
      </c>
      <c r="T19" s="509">
        <v>1</v>
      </c>
      <c r="U19" s="487">
        <v>1</v>
      </c>
    </row>
    <row r="20" spans="1:21" ht="14.4" customHeight="1" x14ac:dyDescent="0.3">
      <c r="A20" s="484">
        <v>27</v>
      </c>
      <c r="B20" s="478" t="s">
        <v>436</v>
      </c>
      <c r="C20" s="478">
        <v>89301273</v>
      </c>
      <c r="D20" s="506" t="s">
        <v>740</v>
      </c>
      <c r="E20" s="507" t="s">
        <v>447</v>
      </c>
      <c r="F20" s="478" t="s">
        <v>437</v>
      </c>
      <c r="G20" s="478" t="s">
        <v>450</v>
      </c>
      <c r="H20" s="478" t="s">
        <v>425</v>
      </c>
      <c r="I20" s="478" t="s">
        <v>451</v>
      </c>
      <c r="J20" s="478" t="s">
        <v>452</v>
      </c>
      <c r="K20" s="478" t="s">
        <v>453</v>
      </c>
      <c r="L20" s="508">
        <v>150.04</v>
      </c>
      <c r="M20" s="508">
        <v>150.04</v>
      </c>
      <c r="N20" s="478">
        <v>1</v>
      </c>
      <c r="O20" s="509">
        <v>1</v>
      </c>
      <c r="P20" s="508">
        <v>150.04</v>
      </c>
      <c r="Q20" s="486">
        <v>1</v>
      </c>
      <c r="R20" s="478">
        <v>1</v>
      </c>
      <c r="S20" s="486">
        <v>1</v>
      </c>
      <c r="T20" s="509">
        <v>1</v>
      </c>
      <c r="U20" s="487">
        <v>1</v>
      </c>
    </row>
    <row r="21" spans="1:21" ht="14.4" customHeight="1" x14ac:dyDescent="0.3">
      <c r="A21" s="484">
        <v>27</v>
      </c>
      <c r="B21" s="478" t="s">
        <v>436</v>
      </c>
      <c r="C21" s="478">
        <v>89301273</v>
      </c>
      <c r="D21" s="506" t="s">
        <v>740</v>
      </c>
      <c r="E21" s="507" t="s">
        <v>447</v>
      </c>
      <c r="F21" s="478" t="s">
        <v>437</v>
      </c>
      <c r="G21" s="478" t="s">
        <v>502</v>
      </c>
      <c r="H21" s="478" t="s">
        <v>425</v>
      </c>
      <c r="I21" s="478" t="s">
        <v>503</v>
      </c>
      <c r="J21" s="478" t="s">
        <v>504</v>
      </c>
      <c r="K21" s="478" t="s">
        <v>505</v>
      </c>
      <c r="L21" s="508">
        <v>110.28</v>
      </c>
      <c r="M21" s="508">
        <v>110.28</v>
      </c>
      <c r="N21" s="478">
        <v>1</v>
      </c>
      <c r="O21" s="509">
        <v>1</v>
      </c>
      <c r="P21" s="508">
        <v>110.28</v>
      </c>
      <c r="Q21" s="486">
        <v>1</v>
      </c>
      <c r="R21" s="478">
        <v>1</v>
      </c>
      <c r="S21" s="486">
        <v>1</v>
      </c>
      <c r="T21" s="509">
        <v>1</v>
      </c>
      <c r="U21" s="487">
        <v>1</v>
      </c>
    </row>
    <row r="22" spans="1:21" ht="14.4" customHeight="1" x14ac:dyDescent="0.3">
      <c r="A22" s="484">
        <v>27</v>
      </c>
      <c r="B22" s="478" t="s">
        <v>436</v>
      </c>
      <c r="C22" s="478">
        <v>89301273</v>
      </c>
      <c r="D22" s="506" t="s">
        <v>740</v>
      </c>
      <c r="E22" s="507" t="s">
        <v>447</v>
      </c>
      <c r="F22" s="478" t="s">
        <v>437</v>
      </c>
      <c r="G22" s="478" t="s">
        <v>506</v>
      </c>
      <c r="H22" s="478" t="s">
        <v>425</v>
      </c>
      <c r="I22" s="478" t="s">
        <v>507</v>
      </c>
      <c r="J22" s="478" t="s">
        <v>508</v>
      </c>
      <c r="K22" s="478" t="s">
        <v>509</v>
      </c>
      <c r="L22" s="508">
        <v>98.63</v>
      </c>
      <c r="M22" s="508">
        <v>98.63</v>
      </c>
      <c r="N22" s="478">
        <v>1</v>
      </c>
      <c r="O22" s="509">
        <v>0.5</v>
      </c>
      <c r="P22" s="508">
        <v>98.63</v>
      </c>
      <c r="Q22" s="486">
        <v>1</v>
      </c>
      <c r="R22" s="478">
        <v>1</v>
      </c>
      <c r="S22" s="486">
        <v>1</v>
      </c>
      <c r="T22" s="509">
        <v>0.5</v>
      </c>
      <c r="U22" s="487">
        <v>1</v>
      </c>
    </row>
    <row r="23" spans="1:21" ht="14.4" customHeight="1" x14ac:dyDescent="0.3">
      <c r="A23" s="484">
        <v>27</v>
      </c>
      <c r="B23" s="478" t="s">
        <v>436</v>
      </c>
      <c r="C23" s="478">
        <v>89301273</v>
      </c>
      <c r="D23" s="506" t="s">
        <v>740</v>
      </c>
      <c r="E23" s="507" t="s">
        <v>447</v>
      </c>
      <c r="F23" s="478" t="s">
        <v>437</v>
      </c>
      <c r="G23" s="478" t="s">
        <v>510</v>
      </c>
      <c r="H23" s="478" t="s">
        <v>425</v>
      </c>
      <c r="I23" s="478" t="s">
        <v>511</v>
      </c>
      <c r="J23" s="478" t="s">
        <v>512</v>
      </c>
      <c r="K23" s="478" t="s">
        <v>513</v>
      </c>
      <c r="L23" s="508">
        <v>111.72</v>
      </c>
      <c r="M23" s="508">
        <v>223.44</v>
      </c>
      <c r="N23" s="478">
        <v>2</v>
      </c>
      <c r="O23" s="509">
        <v>1</v>
      </c>
      <c r="P23" s="508">
        <v>223.44</v>
      </c>
      <c r="Q23" s="486">
        <v>1</v>
      </c>
      <c r="R23" s="478">
        <v>2</v>
      </c>
      <c r="S23" s="486">
        <v>1</v>
      </c>
      <c r="T23" s="509">
        <v>1</v>
      </c>
      <c r="U23" s="487">
        <v>1</v>
      </c>
    </row>
    <row r="24" spans="1:21" ht="14.4" customHeight="1" x14ac:dyDescent="0.3">
      <c r="A24" s="484">
        <v>27</v>
      </c>
      <c r="B24" s="478" t="s">
        <v>436</v>
      </c>
      <c r="C24" s="478">
        <v>89301273</v>
      </c>
      <c r="D24" s="506" t="s">
        <v>740</v>
      </c>
      <c r="E24" s="507" t="s">
        <v>447</v>
      </c>
      <c r="F24" s="478" t="s">
        <v>437</v>
      </c>
      <c r="G24" s="478" t="s">
        <v>514</v>
      </c>
      <c r="H24" s="478" t="s">
        <v>425</v>
      </c>
      <c r="I24" s="478" t="s">
        <v>515</v>
      </c>
      <c r="J24" s="478" t="s">
        <v>516</v>
      </c>
      <c r="K24" s="478" t="s">
        <v>517</v>
      </c>
      <c r="L24" s="508">
        <v>733.55</v>
      </c>
      <c r="M24" s="508">
        <v>733.55</v>
      </c>
      <c r="N24" s="478">
        <v>1</v>
      </c>
      <c r="O24" s="509">
        <v>0.5</v>
      </c>
      <c r="P24" s="508">
        <v>733.55</v>
      </c>
      <c r="Q24" s="486">
        <v>1</v>
      </c>
      <c r="R24" s="478">
        <v>1</v>
      </c>
      <c r="S24" s="486">
        <v>1</v>
      </c>
      <c r="T24" s="509">
        <v>0.5</v>
      </c>
      <c r="U24" s="487">
        <v>1</v>
      </c>
    </row>
    <row r="25" spans="1:21" ht="14.4" customHeight="1" x14ac:dyDescent="0.3">
      <c r="A25" s="484">
        <v>27</v>
      </c>
      <c r="B25" s="478" t="s">
        <v>436</v>
      </c>
      <c r="C25" s="478">
        <v>89301273</v>
      </c>
      <c r="D25" s="506" t="s">
        <v>740</v>
      </c>
      <c r="E25" s="507" t="s">
        <v>447</v>
      </c>
      <c r="F25" s="478" t="s">
        <v>437</v>
      </c>
      <c r="G25" s="478" t="s">
        <v>518</v>
      </c>
      <c r="H25" s="478" t="s">
        <v>425</v>
      </c>
      <c r="I25" s="478" t="s">
        <v>519</v>
      </c>
      <c r="J25" s="478" t="s">
        <v>520</v>
      </c>
      <c r="K25" s="478" t="s">
        <v>521</v>
      </c>
      <c r="L25" s="508">
        <v>53.57</v>
      </c>
      <c r="M25" s="508">
        <v>107.14</v>
      </c>
      <c r="N25" s="478">
        <v>2</v>
      </c>
      <c r="O25" s="509">
        <v>0.5</v>
      </c>
      <c r="P25" s="508">
        <v>107.14</v>
      </c>
      <c r="Q25" s="486">
        <v>1</v>
      </c>
      <c r="R25" s="478">
        <v>2</v>
      </c>
      <c r="S25" s="486">
        <v>1</v>
      </c>
      <c r="T25" s="509">
        <v>0.5</v>
      </c>
      <c r="U25" s="487">
        <v>1</v>
      </c>
    </row>
    <row r="26" spans="1:21" ht="14.4" customHeight="1" x14ac:dyDescent="0.3">
      <c r="A26" s="484">
        <v>27</v>
      </c>
      <c r="B26" s="478" t="s">
        <v>436</v>
      </c>
      <c r="C26" s="478">
        <v>89301273</v>
      </c>
      <c r="D26" s="506" t="s">
        <v>740</v>
      </c>
      <c r="E26" s="507" t="s">
        <v>447</v>
      </c>
      <c r="F26" s="478" t="s">
        <v>437</v>
      </c>
      <c r="G26" s="478" t="s">
        <v>474</v>
      </c>
      <c r="H26" s="478" t="s">
        <v>743</v>
      </c>
      <c r="I26" s="478" t="s">
        <v>475</v>
      </c>
      <c r="J26" s="478" t="s">
        <v>476</v>
      </c>
      <c r="K26" s="478" t="s">
        <v>477</v>
      </c>
      <c r="L26" s="508">
        <v>48.42</v>
      </c>
      <c r="M26" s="508">
        <v>48.42</v>
      </c>
      <c r="N26" s="478">
        <v>1</v>
      </c>
      <c r="O26" s="509">
        <v>1</v>
      </c>
      <c r="P26" s="508">
        <v>48.42</v>
      </c>
      <c r="Q26" s="486">
        <v>1</v>
      </c>
      <c r="R26" s="478">
        <v>1</v>
      </c>
      <c r="S26" s="486">
        <v>1</v>
      </c>
      <c r="T26" s="509">
        <v>1</v>
      </c>
      <c r="U26" s="487">
        <v>1</v>
      </c>
    </row>
    <row r="27" spans="1:21" ht="14.4" customHeight="1" x14ac:dyDescent="0.3">
      <c r="A27" s="484">
        <v>27</v>
      </c>
      <c r="B27" s="478" t="s">
        <v>436</v>
      </c>
      <c r="C27" s="478">
        <v>89301273</v>
      </c>
      <c r="D27" s="506" t="s">
        <v>740</v>
      </c>
      <c r="E27" s="507" t="s">
        <v>447</v>
      </c>
      <c r="F27" s="478" t="s">
        <v>437</v>
      </c>
      <c r="G27" s="478" t="s">
        <v>522</v>
      </c>
      <c r="H27" s="478" t="s">
        <v>743</v>
      </c>
      <c r="I27" s="478" t="s">
        <v>523</v>
      </c>
      <c r="J27" s="478" t="s">
        <v>524</v>
      </c>
      <c r="K27" s="478" t="s">
        <v>525</v>
      </c>
      <c r="L27" s="508">
        <v>93.71</v>
      </c>
      <c r="M27" s="508">
        <v>187.42</v>
      </c>
      <c r="N27" s="478">
        <v>2</v>
      </c>
      <c r="O27" s="509">
        <v>0.5</v>
      </c>
      <c r="P27" s="508">
        <v>187.42</v>
      </c>
      <c r="Q27" s="486">
        <v>1</v>
      </c>
      <c r="R27" s="478">
        <v>2</v>
      </c>
      <c r="S27" s="486">
        <v>1</v>
      </c>
      <c r="T27" s="509">
        <v>0.5</v>
      </c>
      <c r="U27" s="487">
        <v>1</v>
      </c>
    </row>
    <row r="28" spans="1:21" ht="14.4" customHeight="1" x14ac:dyDescent="0.3">
      <c r="A28" s="484">
        <v>27</v>
      </c>
      <c r="B28" s="478" t="s">
        <v>436</v>
      </c>
      <c r="C28" s="478">
        <v>89301273</v>
      </c>
      <c r="D28" s="506" t="s">
        <v>740</v>
      </c>
      <c r="E28" s="507" t="s">
        <v>447</v>
      </c>
      <c r="F28" s="478" t="s">
        <v>437</v>
      </c>
      <c r="G28" s="478" t="s">
        <v>526</v>
      </c>
      <c r="H28" s="478" t="s">
        <v>743</v>
      </c>
      <c r="I28" s="478" t="s">
        <v>527</v>
      </c>
      <c r="J28" s="478" t="s">
        <v>528</v>
      </c>
      <c r="K28" s="478" t="s">
        <v>529</v>
      </c>
      <c r="L28" s="508">
        <v>153.62</v>
      </c>
      <c r="M28" s="508">
        <v>307.24</v>
      </c>
      <c r="N28" s="478">
        <v>2</v>
      </c>
      <c r="O28" s="509">
        <v>1</v>
      </c>
      <c r="P28" s="508">
        <v>307.24</v>
      </c>
      <c r="Q28" s="486">
        <v>1</v>
      </c>
      <c r="R28" s="478">
        <v>2</v>
      </c>
      <c r="S28" s="486">
        <v>1</v>
      </c>
      <c r="T28" s="509">
        <v>1</v>
      </c>
      <c r="U28" s="487">
        <v>1</v>
      </c>
    </row>
    <row r="29" spans="1:21" ht="14.4" customHeight="1" x14ac:dyDescent="0.3">
      <c r="A29" s="484">
        <v>27</v>
      </c>
      <c r="B29" s="478" t="s">
        <v>436</v>
      </c>
      <c r="C29" s="478">
        <v>89301273</v>
      </c>
      <c r="D29" s="506" t="s">
        <v>740</v>
      </c>
      <c r="E29" s="507" t="s">
        <v>448</v>
      </c>
      <c r="F29" s="478" t="s">
        <v>437</v>
      </c>
      <c r="G29" s="478" t="s">
        <v>530</v>
      </c>
      <c r="H29" s="478" t="s">
        <v>425</v>
      </c>
      <c r="I29" s="478" t="s">
        <v>531</v>
      </c>
      <c r="J29" s="478" t="s">
        <v>532</v>
      </c>
      <c r="K29" s="478" t="s">
        <v>533</v>
      </c>
      <c r="L29" s="508">
        <v>33.840000000000003</v>
      </c>
      <c r="M29" s="508">
        <v>101.52000000000001</v>
      </c>
      <c r="N29" s="478">
        <v>3</v>
      </c>
      <c r="O29" s="509">
        <v>0.5</v>
      </c>
      <c r="P29" s="508"/>
      <c r="Q29" s="486">
        <v>0</v>
      </c>
      <c r="R29" s="478"/>
      <c r="S29" s="486">
        <v>0</v>
      </c>
      <c r="T29" s="509"/>
      <c r="U29" s="487">
        <v>0</v>
      </c>
    </row>
    <row r="30" spans="1:21" ht="14.4" customHeight="1" x14ac:dyDescent="0.3">
      <c r="A30" s="484">
        <v>27</v>
      </c>
      <c r="B30" s="478" t="s">
        <v>436</v>
      </c>
      <c r="C30" s="478">
        <v>89301273</v>
      </c>
      <c r="D30" s="506" t="s">
        <v>740</v>
      </c>
      <c r="E30" s="507" t="s">
        <v>448</v>
      </c>
      <c r="F30" s="478" t="s">
        <v>437</v>
      </c>
      <c r="G30" s="478" t="s">
        <v>450</v>
      </c>
      <c r="H30" s="478" t="s">
        <v>425</v>
      </c>
      <c r="I30" s="478" t="s">
        <v>451</v>
      </c>
      <c r="J30" s="478" t="s">
        <v>452</v>
      </c>
      <c r="K30" s="478" t="s">
        <v>453</v>
      </c>
      <c r="L30" s="508">
        <v>150.04</v>
      </c>
      <c r="M30" s="508">
        <v>450.12</v>
      </c>
      <c r="N30" s="478">
        <v>3</v>
      </c>
      <c r="O30" s="509">
        <v>1</v>
      </c>
      <c r="P30" s="508"/>
      <c r="Q30" s="486">
        <v>0</v>
      </c>
      <c r="R30" s="478"/>
      <c r="S30" s="486">
        <v>0</v>
      </c>
      <c r="T30" s="509"/>
      <c r="U30" s="487">
        <v>0</v>
      </c>
    </row>
    <row r="31" spans="1:21" ht="14.4" customHeight="1" x14ac:dyDescent="0.3">
      <c r="A31" s="484">
        <v>27</v>
      </c>
      <c r="B31" s="478" t="s">
        <v>436</v>
      </c>
      <c r="C31" s="478">
        <v>89301273</v>
      </c>
      <c r="D31" s="506" t="s">
        <v>740</v>
      </c>
      <c r="E31" s="507" t="s">
        <v>448</v>
      </c>
      <c r="F31" s="478" t="s">
        <v>437</v>
      </c>
      <c r="G31" s="478" t="s">
        <v>534</v>
      </c>
      <c r="H31" s="478" t="s">
        <v>743</v>
      </c>
      <c r="I31" s="478" t="s">
        <v>535</v>
      </c>
      <c r="J31" s="478" t="s">
        <v>536</v>
      </c>
      <c r="K31" s="478" t="s">
        <v>537</v>
      </c>
      <c r="L31" s="508">
        <v>208.19</v>
      </c>
      <c r="M31" s="508">
        <v>208.19</v>
      </c>
      <c r="N31" s="478">
        <v>1</v>
      </c>
      <c r="O31" s="509">
        <v>0.5</v>
      </c>
      <c r="P31" s="508"/>
      <c r="Q31" s="486">
        <v>0</v>
      </c>
      <c r="R31" s="478"/>
      <c r="S31" s="486">
        <v>0</v>
      </c>
      <c r="T31" s="509"/>
      <c r="U31" s="487">
        <v>0</v>
      </c>
    </row>
    <row r="32" spans="1:21" ht="14.4" customHeight="1" x14ac:dyDescent="0.3">
      <c r="A32" s="484">
        <v>27</v>
      </c>
      <c r="B32" s="478" t="s">
        <v>436</v>
      </c>
      <c r="C32" s="478">
        <v>89301273</v>
      </c>
      <c r="D32" s="506" t="s">
        <v>740</v>
      </c>
      <c r="E32" s="507" t="s">
        <v>448</v>
      </c>
      <c r="F32" s="478" t="s">
        <v>437</v>
      </c>
      <c r="G32" s="478" t="s">
        <v>534</v>
      </c>
      <c r="H32" s="478" t="s">
        <v>743</v>
      </c>
      <c r="I32" s="478" t="s">
        <v>538</v>
      </c>
      <c r="J32" s="478" t="s">
        <v>539</v>
      </c>
      <c r="K32" s="478" t="s">
        <v>540</v>
      </c>
      <c r="L32" s="508">
        <v>416.37</v>
      </c>
      <c r="M32" s="508">
        <v>416.37</v>
      </c>
      <c r="N32" s="478">
        <v>1</v>
      </c>
      <c r="O32" s="509">
        <v>0.5</v>
      </c>
      <c r="P32" s="508"/>
      <c r="Q32" s="486">
        <v>0</v>
      </c>
      <c r="R32" s="478"/>
      <c r="S32" s="486">
        <v>0</v>
      </c>
      <c r="T32" s="509"/>
      <c r="U32" s="487">
        <v>0</v>
      </c>
    </row>
    <row r="33" spans="1:21" ht="14.4" customHeight="1" x14ac:dyDescent="0.3">
      <c r="A33" s="484">
        <v>27</v>
      </c>
      <c r="B33" s="478" t="s">
        <v>436</v>
      </c>
      <c r="C33" s="478">
        <v>89301273</v>
      </c>
      <c r="D33" s="506" t="s">
        <v>740</v>
      </c>
      <c r="E33" s="507" t="s">
        <v>448</v>
      </c>
      <c r="F33" s="478" t="s">
        <v>437</v>
      </c>
      <c r="G33" s="478" t="s">
        <v>541</v>
      </c>
      <c r="H33" s="478" t="s">
        <v>425</v>
      </c>
      <c r="I33" s="478" t="s">
        <v>542</v>
      </c>
      <c r="J33" s="478" t="s">
        <v>543</v>
      </c>
      <c r="K33" s="478" t="s">
        <v>544</v>
      </c>
      <c r="L33" s="508">
        <v>212.59</v>
      </c>
      <c r="M33" s="508">
        <v>850.36</v>
      </c>
      <c r="N33" s="478">
        <v>4</v>
      </c>
      <c r="O33" s="509">
        <v>2</v>
      </c>
      <c r="P33" s="508">
        <v>850.36</v>
      </c>
      <c r="Q33" s="486">
        <v>1</v>
      </c>
      <c r="R33" s="478">
        <v>4</v>
      </c>
      <c r="S33" s="486">
        <v>1</v>
      </c>
      <c r="T33" s="509">
        <v>2</v>
      </c>
      <c r="U33" s="487">
        <v>1</v>
      </c>
    </row>
    <row r="34" spans="1:21" ht="14.4" customHeight="1" x14ac:dyDescent="0.3">
      <c r="A34" s="484">
        <v>27</v>
      </c>
      <c r="B34" s="478" t="s">
        <v>436</v>
      </c>
      <c r="C34" s="478">
        <v>89301273</v>
      </c>
      <c r="D34" s="506" t="s">
        <v>740</v>
      </c>
      <c r="E34" s="507" t="s">
        <v>448</v>
      </c>
      <c r="F34" s="478" t="s">
        <v>437</v>
      </c>
      <c r="G34" s="478" t="s">
        <v>541</v>
      </c>
      <c r="H34" s="478" t="s">
        <v>743</v>
      </c>
      <c r="I34" s="478" t="s">
        <v>545</v>
      </c>
      <c r="J34" s="478" t="s">
        <v>546</v>
      </c>
      <c r="K34" s="478" t="s">
        <v>544</v>
      </c>
      <c r="L34" s="508">
        <v>119.7</v>
      </c>
      <c r="M34" s="508">
        <v>239.4</v>
      </c>
      <c r="N34" s="478">
        <v>2</v>
      </c>
      <c r="O34" s="509">
        <v>1</v>
      </c>
      <c r="P34" s="508"/>
      <c r="Q34" s="486">
        <v>0</v>
      </c>
      <c r="R34" s="478"/>
      <c r="S34" s="486">
        <v>0</v>
      </c>
      <c r="T34" s="509"/>
      <c r="U34" s="487">
        <v>0</v>
      </c>
    </row>
    <row r="35" spans="1:21" ht="14.4" customHeight="1" x14ac:dyDescent="0.3">
      <c r="A35" s="484">
        <v>27</v>
      </c>
      <c r="B35" s="478" t="s">
        <v>436</v>
      </c>
      <c r="C35" s="478">
        <v>89301273</v>
      </c>
      <c r="D35" s="506" t="s">
        <v>740</v>
      </c>
      <c r="E35" s="507" t="s">
        <v>448</v>
      </c>
      <c r="F35" s="478" t="s">
        <v>437</v>
      </c>
      <c r="G35" s="478" t="s">
        <v>547</v>
      </c>
      <c r="H35" s="478" t="s">
        <v>425</v>
      </c>
      <c r="I35" s="478" t="s">
        <v>548</v>
      </c>
      <c r="J35" s="478" t="s">
        <v>549</v>
      </c>
      <c r="K35" s="478" t="s">
        <v>550</v>
      </c>
      <c r="L35" s="508">
        <v>189.43</v>
      </c>
      <c r="M35" s="508">
        <v>1136.5800000000002</v>
      </c>
      <c r="N35" s="478">
        <v>6</v>
      </c>
      <c r="O35" s="509">
        <v>2.5</v>
      </c>
      <c r="P35" s="508">
        <v>189.43</v>
      </c>
      <c r="Q35" s="486">
        <v>0.16666666666666666</v>
      </c>
      <c r="R35" s="478">
        <v>1</v>
      </c>
      <c r="S35" s="486">
        <v>0.16666666666666666</v>
      </c>
      <c r="T35" s="509">
        <v>0.5</v>
      </c>
      <c r="U35" s="487">
        <v>0.2</v>
      </c>
    </row>
    <row r="36" spans="1:21" ht="14.4" customHeight="1" x14ac:dyDescent="0.3">
      <c r="A36" s="484">
        <v>27</v>
      </c>
      <c r="B36" s="478" t="s">
        <v>436</v>
      </c>
      <c r="C36" s="478">
        <v>89301273</v>
      </c>
      <c r="D36" s="506" t="s">
        <v>740</v>
      </c>
      <c r="E36" s="507" t="s">
        <v>448</v>
      </c>
      <c r="F36" s="478" t="s">
        <v>437</v>
      </c>
      <c r="G36" s="478" t="s">
        <v>551</v>
      </c>
      <c r="H36" s="478" t="s">
        <v>425</v>
      </c>
      <c r="I36" s="478" t="s">
        <v>552</v>
      </c>
      <c r="J36" s="478" t="s">
        <v>553</v>
      </c>
      <c r="K36" s="478" t="s">
        <v>554</v>
      </c>
      <c r="L36" s="508">
        <v>0</v>
      </c>
      <c r="M36" s="508">
        <v>0</v>
      </c>
      <c r="N36" s="478">
        <v>3</v>
      </c>
      <c r="O36" s="509">
        <v>0.5</v>
      </c>
      <c r="P36" s="508">
        <v>0</v>
      </c>
      <c r="Q36" s="486"/>
      <c r="R36" s="478">
        <v>3</v>
      </c>
      <c r="S36" s="486">
        <v>1</v>
      </c>
      <c r="T36" s="509">
        <v>0.5</v>
      </c>
      <c r="U36" s="487">
        <v>1</v>
      </c>
    </row>
    <row r="37" spans="1:21" ht="14.4" customHeight="1" x14ac:dyDescent="0.3">
      <c r="A37" s="484">
        <v>27</v>
      </c>
      <c r="B37" s="478" t="s">
        <v>436</v>
      </c>
      <c r="C37" s="478">
        <v>89301273</v>
      </c>
      <c r="D37" s="506" t="s">
        <v>740</v>
      </c>
      <c r="E37" s="507" t="s">
        <v>448</v>
      </c>
      <c r="F37" s="478" t="s">
        <v>437</v>
      </c>
      <c r="G37" s="478" t="s">
        <v>555</v>
      </c>
      <c r="H37" s="478" t="s">
        <v>425</v>
      </c>
      <c r="I37" s="478" t="s">
        <v>556</v>
      </c>
      <c r="J37" s="478" t="s">
        <v>557</v>
      </c>
      <c r="K37" s="478" t="s">
        <v>558</v>
      </c>
      <c r="L37" s="508">
        <v>72.5</v>
      </c>
      <c r="M37" s="508">
        <v>72.5</v>
      </c>
      <c r="N37" s="478">
        <v>1</v>
      </c>
      <c r="O37" s="509">
        <v>0.5</v>
      </c>
      <c r="P37" s="508"/>
      <c r="Q37" s="486">
        <v>0</v>
      </c>
      <c r="R37" s="478"/>
      <c r="S37" s="486">
        <v>0</v>
      </c>
      <c r="T37" s="509"/>
      <c r="U37" s="487">
        <v>0</v>
      </c>
    </row>
    <row r="38" spans="1:21" ht="14.4" customHeight="1" x14ac:dyDescent="0.3">
      <c r="A38" s="484">
        <v>27</v>
      </c>
      <c r="B38" s="478" t="s">
        <v>436</v>
      </c>
      <c r="C38" s="478">
        <v>89301273</v>
      </c>
      <c r="D38" s="506" t="s">
        <v>740</v>
      </c>
      <c r="E38" s="507" t="s">
        <v>448</v>
      </c>
      <c r="F38" s="478" t="s">
        <v>437</v>
      </c>
      <c r="G38" s="478" t="s">
        <v>559</v>
      </c>
      <c r="H38" s="478" t="s">
        <v>425</v>
      </c>
      <c r="I38" s="478" t="s">
        <v>560</v>
      </c>
      <c r="J38" s="478" t="s">
        <v>561</v>
      </c>
      <c r="K38" s="478" t="s">
        <v>562</v>
      </c>
      <c r="L38" s="508">
        <v>18.11</v>
      </c>
      <c r="M38" s="508">
        <v>18.11</v>
      </c>
      <c r="N38" s="478">
        <v>1</v>
      </c>
      <c r="O38" s="509">
        <v>0.5</v>
      </c>
      <c r="P38" s="508"/>
      <c r="Q38" s="486">
        <v>0</v>
      </c>
      <c r="R38" s="478"/>
      <c r="S38" s="486">
        <v>0</v>
      </c>
      <c r="T38" s="509"/>
      <c r="U38" s="487">
        <v>0</v>
      </c>
    </row>
    <row r="39" spans="1:21" ht="14.4" customHeight="1" x14ac:dyDescent="0.3">
      <c r="A39" s="484">
        <v>27</v>
      </c>
      <c r="B39" s="478" t="s">
        <v>436</v>
      </c>
      <c r="C39" s="478">
        <v>89301273</v>
      </c>
      <c r="D39" s="506" t="s">
        <v>740</v>
      </c>
      <c r="E39" s="507" t="s">
        <v>448</v>
      </c>
      <c r="F39" s="478" t="s">
        <v>437</v>
      </c>
      <c r="G39" s="478" t="s">
        <v>563</v>
      </c>
      <c r="H39" s="478" t="s">
        <v>425</v>
      </c>
      <c r="I39" s="478" t="s">
        <v>564</v>
      </c>
      <c r="J39" s="478" t="s">
        <v>565</v>
      </c>
      <c r="K39" s="478" t="s">
        <v>566</v>
      </c>
      <c r="L39" s="508">
        <v>322.8</v>
      </c>
      <c r="M39" s="508">
        <v>968.40000000000009</v>
      </c>
      <c r="N39" s="478">
        <v>3</v>
      </c>
      <c r="O39" s="509">
        <v>1.5</v>
      </c>
      <c r="P39" s="508"/>
      <c r="Q39" s="486">
        <v>0</v>
      </c>
      <c r="R39" s="478"/>
      <c r="S39" s="486">
        <v>0</v>
      </c>
      <c r="T39" s="509"/>
      <c r="U39" s="487">
        <v>0</v>
      </c>
    </row>
    <row r="40" spans="1:21" ht="14.4" customHeight="1" x14ac:dyDescent="0.3">
      <c r="A40" s="484">
        <v>27</v>
      </c>
      <c r="B40" s="478" t="s">
        <v>436</v>
      </c>
      <c r="C40" s="478">
        <v>89301273</v>
      </c>
      <c r="D40" s="506" t="s">
        <v>740</v>
      </c>
      <c r="E40" s="507" t="s">
        <v>448</v>
      </c>
      <c r="F40" s="478" t="s">
        <v>437</v>
      </c>
      <c r="G40" s="478" t="s">
        <v>567</v>
      </c>
      <c r="H40" s="478" t="s">
        <v>425</v>
      </c>
      <c r="I40" s="478" t="s">
        <v>568</v>
      </c>
      <c r="J40" s="478" t="s">
        <v>569</v>
      </c>
      <c r="K40" s="478" t="s">
        <v>570</v>
      </c>
      <c r="L40" s="508">
        <v>79.48</v>
      </c>
      <c r="M40" s="508">
        <v>158.96</v>
      </c>
      <c r="N40" s="478">
        <v>2</v>
      </c>
      <c r="O40" s="509">
        <v>0.5</v>
      </c>
      <c r="P40" s="508">
        <v>158.96</v>
      </c>
      <c r="Q40" s="486">
        <v>1</v>
      </c>
      <c r="R40" s="478">
        <v>2</v>
      </c>
      <c r="S40" s="486">
        <v>1</v>
      </c>
      <c r="T40" s="509">
        <v>0.5</v>
      </c>
      <c r="U40" s="487">
        <v>1</v>
      </c>
    </row>
    <row r="41" spans="1:21" ht="14.4" customHeight="1" x14ac:dyDescent="0.3">
      <c r="A41" s="484">
        <v>27</v>
      </c>
      <c r="B41" s="478" t="s">
        <v>436</v>
      </c>
      <c r="C41" s="478">
        <v>89301273</v>
      </c>
      <c r="D41" s="506" t="s">
        <v>740</v>
      </c>
      <c r="E41" s="507" t="s">
        <v>448</v>
      </c>
      <c r="F41" s="478" t="s">
        <v>437</v>
      </c>
      <c r="G41" s="478" t="s">
        <v>498</v>
      </c>
      <c r="H41" s="478" t="s">
        <v>425</v>
      </c>
      <c r="I41" s="478" t="s">
        <v>571</v>
      </c>
      <c r="J41" s="478" t="s">
        <v>500</v>
      </c>
      <c r="K41" s="478" t="s">
        <v>572</v>
      </c>
      <c r="L41" s="508">
        <v>0</v>
      </c>
      <c r="M41" s="508">
        <v>0</v>
      </c>
      <c r="N41" s="478">
        <v>2</v>
      </c>
      <c r="O41" s="509">
        <v>0.5</v>
      </c>
      <c r="P41" s="508"/>
      <c r="Q41" s="486"/>
      <c r="R41" s="478"/>
      <c r="S41" s="486">
        <v>0</v>
      </c>
      <c r="T41" s="509"/>
      <c r="U41" s="487">
        <v>0</v>
      </c>
    </row>
    <row r="42" spans="1:21" ht="14.4" customHeight="1" x14ac:dyDescent="0.3">
      <c r="A42" s="484">
        <v>27</v>
      </c>
      <c r="B42" s="478" t="s">
        <v>436</v>
      </c>
      <c r="C42" s="478">
        <v>89301273</v>
      </c>
      <c r="D42" s="506" t="s">
        <v>740</v>
      </c>
      <c r="E42" s="507" t="s">
        <v>448</v>
      </c>
      <c r="F42" s="478" t="s">
        <v>437</v>
      </c>
      <c r="G42" s="478" t="s">
        <v>498</v>
      </c>
      <c r="H42" s="478" t="s">
        <v>425</v>
      </c>
      <c r="I42" s="478" t="s">
        <v>499</v>
      </c>
      <c r="J42" s="478" t="s">
        <v>500</v>
      </c>
      <c r="K42" s="478" t="s">
        <v>501</v>
      </c>
      <c r="L42" s="508">
        <v>369.91</v>
      </c>
      <c r="M42" s="508">
        <v>369.91</v>
      </c>
      <c r="N42" s="478">
        <v>1</v>
      </c>
      <c r="O42" s="509">
        <v>0.5</v>
      </c>
      <c r="P42" s="508">
        <v>369.91</v>
      </c>
      <c r="Q42" s="486">
        <v>1</v>
      </c>
      <c r="R42" s="478">
        <v>1</v>
      </c>
      <c r="S42" s="486">
        <v>1</v>
      </c>
      <c r="T42" s="509">
        <v>0.5</v>
      </c>
      <c r="U42" s="487">
        <v>1</v>
      </c>
    </row>
    <row r="43" spans="1:21" ht="14.4" customHeight="1" x14ac:dyDescent="0.3">
      <c r="A43" s="484">
        <v>27</v>
      </c>
      <c r="B43" s="478" t="s">
        <v>436</v>
      </c>
      <c r="C43" s="478">
        <v>89301273</v>
      </c>
      <c r="D43" s="506" t="s">
        <v>740</v>
      </c>
      <c r="E43" s="507" t="s">
        <v>448</v>
      </c>
      <c r="F43" s="478" t="s">
        <v>437</v>
      </c>
      <c r="G43" s="478" t="s">
        <v>573</v>
      </c>
      <c r="H43" s="478" t="s">
        <v>425</v>
      </c>
      <c r="I43" s="478" t="s">
        <v>574</v>
      </c>
      <c r="J43" s="478" t="s">
        <v>575</v>
      </c>
      <c r="K43" s="478" t="s">
        <v>576</v>
      </c>
      <c r="L43" s="508">
        <v>0</v>
      </c>
      <c r="M43" s="508">
        <v>0</v>
      </c>
      <c r="N43" s="478">
        <v>2</v>
      </c>
      <c r="O43" s="509">
        <v>0.5</v>
      </c>
      <c r="P43" s="508">
        <v>0</v>
      </c>
      <c r="Q43" s="486"/>
      <c r="R43" s="478">
        <v>2</v>
      </c>
      <c r="S43" s="486">
        <v>1</v>
      </c>
      <c r="T43" s="509">
        <v>0.5</v>
      </c>
      <c r="U43" s="487">
        <v>1</v>
      </c>
    </row>
    <row r="44" spans="1:21" ht="14.4" customHeight="1" x14ac:dyDescent="0.3">
      <c r="A44" s="484">
        <v>27</v>
      </c>
      <c r="B44" s="478" t="s">
        <v>436</v>
      </c>
      <c r="C44" s="478">
        <v>89301273</v>
      </c>
      <c r="D44" s="506" t="s">
        <v>740</v>
      </c>
      <c r="E44" s="507" t="s">
        <v>448</v>
      </c>
      <c r="F44" s="478" t="s">
        <v>437</v>
      </c>
      <c r="G44" s="478" t="s">
        <v>573</v>
      </c>
      <c r="H44" s="478" t="s">
        <v>743</v>
      </c>
      <c r="I44" s="478" t="s">
        <v>577</v>
      </c>
      <c r="J44" s="478" t="s">
        <v>578</v>
      </c>
      <c r="K44" s="478" t="s">
        <v>579</v>
      </c>
      <c r="L44" s="508">
        <v>0</v>
      </c>
      <c r="M44" s="508">
        <v>0</v>
      </c>
      <c r="N44" s="478">
        <v>1</v>
      </c>
      <c r="O44" s="509">
        <v>0.5</v>
      </c>
      <c r="P44" s="508"/>
      <c r="Q44" s="486"/>
      <c r="R44" s="478"/>
      <c r="S44" s="486">
        <v>0</v>
      </c>
      <c r="T44" s="509"/>
      <c r="U44" s="487">
        <v>0</v>
      </c>
    </row>
    <row r="45" spans="1:21" ht="14.4" customHeight="1" x14ac:dyDescent="0.3">
      <c r="A45" s="484">
        <v>27</v>
      </c>
      <c r="B45" s="478" t="s">
        <v>436</v>
      </c>
      <c r="C45" s="478">
        <v>89301273</v>
      </c>
      <c r="D45" s="506" t="s">
        <v>740</v>
      </c>
      <c r="E45" s="507" t="s">
        <v>448</v>
      </c>
      <c r="F45" s="478" t="s">
        <v>437</v>
      </c>
      <c r="G45" s="478" t="s">
        <v>580</v>
      </c>
      <c r="H45" s="478" t="s">
        <v>425</v>
      </c>
      <c r="I45" s="478" t="s">
        <v>581</v>
      </c>
      <c r="J45" s="478" t="s">
        <v>582</v>
      </c>
      <c r="K45" s="478" t="s">
        <v>583</v>
      </c>
      <c r="L45" s="508">
        <v>151.26</v>
      </c>
      <c r="M45" s="508">
        <v>151.26</v>
      </c>
      <c r="N45" s="478">
        <v>1</v>
      </c>
      <c r="O45" s="509">
        <v>1</v>
      </c>
      <c r="P45" s="508">
        <v>151.26</v>
      </c>
      <c r="Q45" s="486">
        <v>1</v>
      </c>
      <c r="R45" s="478">
        <v>1</v>
      </c>
      <c r="S45" s="486">
        <v>1</v>
      </c>
      <c r="T45" s="509">
        <v>1</v>
      </c>
      <c r="U45" s="487">
        <v>1</v>
      </c>
    </row>
    <row r="46" spans="1:21" ht="14.4" customHeight="1" x14ac:dyDescent="0.3">
      <c r="A46" s="484">
        <v>27</v>
      </c>
      <c r="B46" s="478" t="s">
        <v>436</v>
      </c>
      <c r="C46" s="478">
        <v>89301273</v>
      </c>
      <c r="D46" s="506" t="s">
        <v>740</v>
      </c>
      <c r="E46" s="507" t="s">
        <v>448</v>
      </c>
      <c r="F46" s="478" t="s">
        <v>437</v>
      </c>
      <c r="G46" s="478" t="s">
        <v>458</v>
      </c>
      <c r="H46" s="478" t="s">
        <v>425</v>
      </c>
      <c r="I46" s="478" t="s">
        <v>459</v>
      </c>
      <c r="J46" s="478" t="s">
        <v>460</v>
      </c>
      <c r="K46" s="478" t="s">
        <v>461</v>
      </c>
      <c r="L46" s="508">
        <v>156.77000000000001</v>
      </c>
      <c r="M46" s="508">
        <v>627.08000000000004</v>
      </c>
      <c r="N46" s="478">
        <v>4</v>
      </c>
      <c r="O46" s="509">
        <v>1.5</v>
      </c>
      <c r="P46" s="508"/>
      <c r="Q46" s="486">
        <v>0</v>
      </c>
      <c r="R46" s="478"/>
      <c r="S46" s="486">
        <v>0</v>
      </c>
      <c r="T46" s="509"/>
      <c r="U46" s="487">
        <v>0</v>
      </c>
    </row>
    <row r="47" spans="1:21" ht="14.4" customHeight="1" x14ac:dyDescent="0.3">
      <c r="A47" s="484">
        <v>27</v>
      </c>
      <c r="B47" s="478" t="s">
        <v>436</v>
      </c>
      <c r="C47" s="478">
        <v>89301273</v>
      </c>
      <c r="D47" s="506" t="s">
        <v>740</v>
      </c>
      <c r="E47" s="507" t="s">
        <v>448</v>
      </c>
      <c r="F47" s="478" t="s">
        <v>437</v>
      </c>
      <c r="G47" s="478" t="s">
        <v>584</v>
      </c>
      <c r="H47" s="478" t="s">
        <v>425</v>
      </c>
      <c r="I47" s="478" t="s">
        <v>585</v>
      </c>
      <c r="J47" s="478" t="s">
        <v>586</v>
      </c>
      <c r="K47" s="478" t="s">
        <v>587</v>
      </c>
      <c r="L47" s="508">
        <v>0</v>
      </c>
      <c r="M47" s="508">
        <v>0</v>
      </c>
      <c r="N47" s="478">
        <v>2</v>
      </c>
      <c r="O47" s="509">
        <v>0.5</v>
      </c>
      <c r="P47" s="508"/>
      <c r="Q47" s="486"/>
      <c r="R47" s="478"/>
      <c r="S47" s="486">
        <v>0</v>
      </c>
      <c r="T47" s="509"/>
      <c r="U47" s="487">
        <v>0</v>
      </c>
    </row>
    <row r="48" spans="1:21" ht="14.4" customHeight="1" x14ac:dyDescent="0.3">
      <c r="A48" s="484">
        <v>27</v>
      </c>
      <c r="B48" s="478" t="s">
        <v>436</v>
      </c>
      <c r="C48" s="478">
        <v>89301273</v>
      </c>
      <c r="D48" s="506" t="s">
        <v>740</v>
      </c>
      <c r="E48" s="507" t="s">
        <v>448</v>
      </c>
      <c r="F48" s="478" t="s">
        <v>437</v>
      </c>
      <c r="G48" s="478" t="s">
        <v>588</v>
      </c>
      <c r="H48" s="478" t="s">
        <v>425</v>
      </c>
      <c r="I48" s="478" t="s">
        <v>589</v>
      </c>
      <c r="J48" s="478" t="s">
        <v>590</v>
      </c>
      <c r="K48" s="478" t="s">
        <v>591</v>
      </c>
      <c r="L48" s="508">
        <v>0</v>
      </c>
      <c r="M48" s="508">
        <v>0</v>
      </c>
      <c r="N48" s="478">
        <v>2</v>
      </c>
      <c r="O48" s="509">
        <v>0.5</v>
      </c>
      <c r="P48" s="508"/>
      <c r="Q48" s="486"/>
      <c r="R48" s="478"/>
      <c r="S48" s="486">
        <v>0</v>
      </c>
      <c r="T48" s="509"/>
      <c r="U48" s="487">
        <v>0</v>
      </c>
    </row>
    <row r="49" spans="1:21" ht="14.4" customHeight="1" x14ac:dyDescent="0.3">
      <c r="A49" s="484">
        <v>27</v>
      </c>
      <c r="B49" s="478" t="s">
        <v>436</v>
      </c>
      <c r="C49" s="478">
        <v>89301273</v>
      </c>
      <c r="D49" s="506" t="s">
        <v>740</v>
      </c>
      <c r="E49" s="507" t="s">
        <v>448</v>
      </c>
      <c r="F49" s="478" t="s">
        <v>437</v>
      </c>
      <c r="G49" s="478" t="s">
        <v>592</v>
      </c>
      <c r="H49" s="478" t="s">
        <v>425</v>
      </c>
      <c r="I49" s="478" t="s">
        <v>593</v>
      </c>
      <c r="J49" s="478" t="s">
        <v>594</v>
      </c>
      <c r="K49" s="478" t="s">
        <v>595</v>
      </c>
      <c r="L49" s="508">
        <v>152.84</v>
      </c>
      <c r="M49" s="508">
        <v>152.84</v>
      </c>
      <c r="N49" s="478">
        <v>1</v>
      </c>
      <c r="O49" s="509">
        <v>0.5</v>
      </c>
      <c r="P49" s="508">
        <v>152.84</v>
      </c>
      <c r="Q49" s="486">
        <v>1</v>
      </c>
      <c r="R49" s="478">
        <v>1</v>
      </c>
      <c r="S49" s="486">
        <v>1</v>
      </c>
      <c r="T49" s="509">
        <v>0.5</v>
      </c>
      <c r="U49" s="487">
        <v>1</v>
      </c>
    </row>
    <row r="50" spans="1:21" ht="14.4" customHeight="1" x14ac:dyDescent="0.3">
      <c r="A50" s="484">
        <v>27</v>
      </c>
      <c r="B50" s="478" t="s">
        <v>436</v>
      </c>
      <c r="C50" s="478">
        <v>89301273</v>
      </c>
      <c r="D50" s="506" t="s">
        <v>740</v>
      </c>
      <c r="E50" s="507" t="s">
        <v>448</v>
      </c>
      <c r="F50" s="478" t="s">
        <v>437</v>
      </c>
      <c r="G50" s="478" t="s">
        <v>596</v>
      </c>
      <c r="H50" s="478" t="s">
        <v>425</v>
      </c>
      <c r="I50" s="478" t="s">
        <v>597</v>
      </c>
      <c r="J50" s="478" t="s">
        <v>598</v>
      </c>
      <c r="K50" s="478" t="s">
        <v>599</v>
      </c>
      <c r="L50" s="508">
        <v>60.9</v>
      </c>
      <c r="M50" s="508">
        <v>243.6</v>
      </c>
      <c r="N50" s="478">
        <v>4</v>
      </c>
      <c r="O50" s="509">
        <v>1</v>
      </c>
      <c r="P50" s="508"/>
      <c r="Q50" s="486">
        <v>0</v>
      </c>
      <c r="R50" s="478"/>
      <c r="S50" s="486">
        <v>0</v>
      </c>
      <c r="T50" s="509"/>
      <c r="U50" s="487">
        <v>0</v>
      </c>
    </row>
    <row r="51" spans="1:21" ht="14.4" customHeight="1" x14ac:dyDescent="0.3">
      <c r="A51" s="484">
        <v>27</v>
      </c>
      <c r="B51" s="478" t="s">
        <v>436</v>
      </c>
      <c r="C51" s="478">
        <v>89301273</v>
      </c>
      <c r="D51" s="506" t="s">
        <v>740</v>
      </c>
      <c r="E51" s="507" t="s">
        <v>448</v>
      </c>
      <c r="F51" s="478" t="s">
        <v>437</v>
      </c>
      <c r="G51" s="478" t="s">
        <v>600</v>
      </c>
      <c r="H51" s="478" t="s">
        <v>425</v>
      </c>
      <c r="I51" s="478" t="s">
        <v>601</v>
      </c>
      <c r="J51" s="478" t="s">
        <v>602</v>
      </c>
      <c r="K51" s="478" t="s">
        <v>603</v>
      </c>
      <c r="L51" s="508">
        <v>48.09</v>
      </c>
      <c r="M51" s="508">
        <v>96.18</v>
      </c>
      <c r="N51" s="478">
        <v>2</v>
      </c>
      <c r="O51" s="509">
        <v>0.5</v>
      </c>
      <c r="P51" s="508">
        <v>96.18</v>
      </c>
      <c r="Q51" s="486">
        <v>1</v>
      </c>
      <c r="R51" s="478">
        <v>2</v>
      </c>
      <c r="S51" s="486">
        <v>1</v>
      </c>
      <c r="T51" s="509">
        <v>0.5</v>
      </c>
      <c r="U51" s="487">
        <v>1</v>
      </c>
    </row>
    <row r="52" spans="1:21" ht="14.4" customHeight="1" x14ac:dyDescent="0.3">
      <c r="A52" s="484">
        <v>27</v>
      </c>
      <c r="B52" s="478" t="s">
        <v>436</v>
      </c>
      <c r="C52" s="478">
        <v>89301273</v>
      </c>
      <c r="D52" s="506" t="s">
        <v>740</v>
      </c>
      <c r="E52" s="507" t="s">
        <v>448</v>
      </c>
      <c r="F52" s="478" t="s">
        <v>437</v>
      </c>
      <c r="G52" s="478" t="s">
        <v>604</v>
      </c>
      <c r="H52" s="478" t="s">
        <v>425</v>
      </c>
      <c r="I52" s="478" t="s">
        <v>605</v>
      </c>
      <c r="J52" s="478" t="s">
        <v>606</v>
      </c>
      <c r="K52" s="478" t="s">
        <v>607</v>
      </c>
      <c r="L52" s="508">
        <v>73.73</v>
      </c>
      <c r="M52" s="508">
        <v>589.84</v>
      </c>
      <c r="N52" s="478">
        <v>8</v>
      </c>
      <c r="O52" s="509">
        <v>3.5</v>
      </c>
      <c r="P52" s="508">
        <v>73.73</v>
      </c>
      <c r="Q52" s="486">
        <v>0.125</v>
      </c>
      <c r="R52" s="478">
        <v>1</v>
      </c>
      <c r="S52" s="486">
        <v>0.125</v>
      </c>
      <c r="T52" s="509">
        <v>1</v>
      </c>
      <c r="U52" s="487">
        <v>0.2857142857142857</v>
      </c>
    </row>
    <row r="53" spans="1:21" ht="14.4" customHeight="1" x14ac:dyDescent="0.3">
      <c r="A53" s="484">
        <v>27</v>
      </c>
      <c r="B53" s="478" t="s">
        <v>436</v>
      </c>
      <c r="C53" s="478">
        <v>89301273</v>
      </c>
      <c r="D53" s="506" t="s">
        <v>740</v>
      </c>
      <c r="E53" s="507" t="s">
        <v>448</v>
      </c>
      <c r="F53" s="478" t="s">
        <v>437</v>
      </c>
      <c r="G53" s="478" t="s">
        <v>510</v>
      </c>
      <c r="H53" s="478" t="s">
        <v>425</v>
      </c>
      <c r="I53" s="478" t="s">
        <v>608</v>
      </c>
      <c r="J53" s="478" t="s">
        <v>609</v>
      </c>
      <c r="K53" s="478" t="s">
        <v>610</v>
      </c>
      <c r="L53" s="508">
        <v>0</v>
      </c>
      <c r="M53" s="508">
        <v>0</v>
      </c>
      <c r="N53" s="478">
        <v>4</v>
      </c>
      <c r="O53" s="509">
        <v>1.5</v>
      </c>
      <c r="P53" s="508">
        <v>0</v>
      </c>
      <c r="Q53" s="486"/>
      <c r="R53" s="478">
        <v>3</v>
      </c>
      <c r="S53" s="486">
        <v>0.75</v>
      </c>
      <c r="T53" s="509">
        <v>1</v>
      </c>
      <c r="U53" s="487">
        <v>0.66666666666666663</v>
      </c>
    </row>
    <row r="54" spans="1:21" ht="14.4" customHeight="1" x14ac:dyDescent="0.3">
      <c r="A54" s="484">
        <v>27</v>
      </c>
      <c r="B54" s="478" t="s">
        <v>436</v>
      </c>
      <c r="C54" s="478">
        <v>89301273</v>
      </c>
      <c r="D54" s="506" t="s">
        <v>740</v>
      </c>
      <c r="E54" s="507" t="s">
        <v>448</v>
      </c>
      <c r="F54" s="478" t="s">
        <v>437</v>
      </c>
      <c r="G54" s="478" t="s">
        <v>611</v>
      </c>
      <c r="H54" s="478" t="s">
        <v>425</v>
      </c>
      <c r="I54" s="478" t="s">
        <v>612</v>
      </c>
      <c r="J54" s="478" t="s">
        <v>613</v>
      </c>
      <c r="K54" s="478" t="s">
        <v>614</v>
      </c>
      <c r="L54" s="508">
        <v>73.989999999999995</v>
      </c>
      <c r="M54" s="508">
        <v>665.91</v>
      </c>
      <c r="N54" s="478">
        <v>9</v>
      </c>
      <c r="O54" s="509">
        <v>2</v>
      </c>
      <c r="P54" s="508">
        <v>147.97999999999999</v>
      </c>
      <c r="Q54" s="486">
        <v>0.22222222222222221</v>
      </c>
      <c r="R54" s="478">
        <v>2</v>
      </c>
      <c r="S54" s="486">
        <v>0.22222222222222221</v>
      </c>
      <c r="T54" s="509">
        <v>0.5</v>
      </c>
      <c r="U54" s="487">
        <v>0.25</v>
      </c>
    </row>
    <row r="55" spans="1:21" ht="14.4" customHeight="1" x14ac:dyDescent="0.3">
      <c r="A55" s="484">
        <v>27</v>
      </c>
      <c r="B55" s="478" t="s">
        <v>436</v>
      </c>
      <c r="C55" s="478">
        <v>89301273</v>
      </c>
      <c r="D55" s="506" t="s">
        <v>740</v>
      </c>
      <c r="E55" s="507" t="s">
        <v>448</v>
      </c>
      <c r="F55" s="478" t="s">
        <v>437</v>
      </c>
      <c r="G55" s="478" t="s">
        <v>611</v>
      </c>
      <c r="H55" s="478" t="s">
        <v>425</v>
      </c>
      <c r="I55" s="478" t="s">
        <v>615</v>
      </c>
      <c r="J55" s="478" t="s">
        <v>613</v>
      </c>
      <c r="K55" s="478" t="s">
        <v>614</v>
      </c>
      <c r="L55" s="508">
        <v>0</v>
      </c>
      <c r="M55" s="508">
        <v>0</v>
      </c>
      <c r="N55" s="478">
        <v>2</v>
      </c>
      <c r="O55" s="509">
        <v>0.5</v>
      </c>
      <c r="P55" s="508"/>
      <c r="Q55" s="486"/>
      <c r="R55" s="478"/>
      <c r="S55" s="486">
        <v>0</v>
      </c>
      <c r="T55" s="509"/>
      <c r="U55" s="487">
        <v>0</v>
      </c>
    </row>
    <row r="56" spans="1:21" ht="14.4" customHeight="1" x14ac:dyDescent="0.3">
      <c r="A56" s="484">
        <v>27</v>
      </c>
      <c r="B56" s="478" t="s">
        <v>436</v>
      </c>
      <c r="C56" s="478">
        <v>89301273</v>
      </c>
      <c r="D56" s="506" t="s">
        <v>740</v>
      </c>
      <c r="E56" s="507" t="s">
        <v>448</v>
      </c>
      <c r="F56" s="478" t="s">
        <v>437</v>
      </c>
      <c r="G56" s="478" t="s">
        <v>616</v>
      </c>
      <c r="H56" s="478" t="s">
        <v>425</v>
      </c>
      <c r="I56" s="478" t="s">
        <v>617</v>
      </c>
      <c r="J56" s="478" t="s">
        <v>618</v>
      </c>
      <c r="K56" s="478" t="s">
        <v>619</v>
      </c>
      <c r="L56" s="508">
        <v>126.59</v>
      </c>
      <c r="M56" s="508">
        <v>126.59</v>
      </c>
      <c r="N56" s="478">
        <v>1</v>
      </c>
      <c r="O56" s="509">
        <v>0.5</v>
      </c>
      <c r="P56" s="508">
        <v>126.59</v>
      </c>
      <c r="Q56" s="486">
        <v>1</v>
      </c>
      <c r="R56" s="478">
        <v>1</v>
      </c>
      <c r="S56" s="486">
        <v>1</v>
      </c>
      <c r="T56" s="509">
        <v>0.5</v>
      </c>
      <c r="U56" s="487">
        <v>1</v>
      </c>
    </row>
    <row r="57" spans="1:21" ht="14.4" customHeight="1" x14ac:dyDescent="0.3">
      <c r="A57" s="484">
        <v>27</v>
      </c>
      <c r="B57" s="478" t="s">
        <v>436</v>
      </c>
      <c r="C57" s="478">
        <v>89301273</v>
      </c>
      <c r="D57" s="506" t="s">
        <v>740</v>
      </c>
      <c r="E57" s="507" t="s">
        <v>448</v>
      </c>
      <c r="F57" s="478" t="s">
        <v>437</v>
      </c>
      <c r="G57" s="478" t="s">
        <v>620</v>
      </c>
      <c r="H57" s="478" t="s">
        <v>425</v>
      </c>
      <c r="I57" s="478" t="s">
        <v>621</v>
      </c>
      <c r="J57" s="478" t="s">
        <v>622</v>
      </c>
      <c r="K57" s="478" t="s">
        <v>497</v>
      </c>
      <c r="L57" s="508">
        <v>90.95</v>
      </c>
      <c r="M57" s="508">
        <v>363.8</v>
      </c>
      <c r="N57" s="478">
        <v>4</v>
      </c>
      <c r="O57" s="509">
        <v>1</v>
      </c>
      <c r="P57" s="508"/>
      <c r="Q57" s="486">
        <v>0</v>
      </c>
      <c r="R57" s="478"/>
      <c r="S57" s="486">
        <v>0</v>
      </c>
      <c r="T57" s="509"/>
      <c r="U57" s="487">
        <v>0</v>
      </c>
    </row>
    <row r="58" spans="1:21" ht="14.4" customHeight="1" x14ac:dyDescent="0.3">
      <c r="A58" s="484">
        <v>27</v>
      </c>
      <c r="B58" s="478" t="s">
        <v>436</v>
      </c>
      <c r="C58" s="478">
        <v>89301273</v>
      </c>
      <c r="D58" s="506" t="s">
        <v>740</v>
      </c>
      <c r="E58" s="507" t="s">
        <v>448</v>
      </c>
      <c r="F58" s="478" t="s">
        <v>437</v>
      </c>
      <c r="G58" s="478" t="s">
        <v>623</v>
      </c>
      <c r="H58" s="478" t="s">
        <v>425</v>
      </c>
      <c r="I58" s="478" t="s">
        <v>624</v>
      </c>
      <c r="J58" s="478" t="s">
        <v>625</v>
      </c>
      <c r="K58" s="478" t="s">
        <v>626</v>
      </c>
      <c r="L58" s="508">
        <v>61.34</v>
      </c>
      <c r="M58" s="508">
        <v>552.06000000000006</v>
      </c>
      <c r="N58" s="478">
        <v>9</v>
      </c>
      <c r="O58" s="509">
        <v>2.5</v>
      </c>
      <c r="P58" s="508"/>
      <c r="Q58" s="486">
        <v>0</v>
      </c>
      <c r="R58" s="478"/>
      <c r="S58" s="486">
        <v>0</v>
      </c>
      <c r="T58" s="509"/>
      <c r="U58" s="487">
        <v>0</v>
      </c>
    </row>
    <row r="59" spans="1:21" ht="14.4" customHeight="1" x14ac:dyDescent="0.3">
      <c r="A59" s="484">
        <v>27</v>
      </c>
      <c r="B59" s="478" t="s">
        <v>436</v>
      </c>
      <c r="C59" s="478">
        <v>89301273</v>
      </c>
      <c r="D59" s="506" t="s">
        <v>740</v>
      </c>
      <c r="E59" s="507" t="s">
        <v>448</v>
      </c>
      <c r="F59" s="478" t="s">
        <v>437</v>
      </c>
      <c r="G59" s="478" t="s">
        <v>627</v>
      </c>
      <c r="H59" s="478" t="s">
        <v>425</v>
      </c>
      <c r="I59" s="478" t="s">
        <v>628</v>
      </c>
      <c r="J59" s="478" t="s">
        <v>629</v>
      </c>
      <c r="K59" s="478" t="s">
        <v>630</v>
      </c>
      <c r="L59" s="508">
        <v>0</v>
      </c>
      <c r="M59" s="508">
        <v>0</v>
      </c>
      <c r="N59" s="478">
        <v>2</v>
      </c>
      <c r="O59" s="509">
        <v>1.5</v>
      </c>
      <c r="P59" s="508">
        <v>0</v>
      </c>
      <c r="Q59" s="486"/>
      <c r="R59" s="478">
        <v>2</v>
      </c>
      <c r="S59" s="486">
        <v>1</v>
      </c>
      <c r="T59" s="509">
        <v>1.5</v>
      </c>
      <c r="U59" s="487">
        <v>1</v>
      </c>
    </row>
    <row r="60" spans="1:21" ht="14.4" customHeight="1" x14ac:dyDescent="0.3">
      <c r="A60" s="484">
        <v>27</v>
      </c>
      <c r="B60" s="478" t="s">
        <v>436</v>
      </c>
      <c r="C60" s="478">
        <v>89301273</v>
      </c>
      <c r="D60" s="506" t="s">
        <v>740</v>
      </c>
      <c r="E60" s="507" t="s">
        <v>448</v>
      </c>
      <c r="F60" s="478" t="s">
        <v>437</v>
      </c>
      <c r="G60" s="478" t="s">
        <v>474</v>
      </c>
      <c r="H60" s="478" t="s">
        <v>743</v>
      </c>
      <c r="I60" s="478" t="s">
        <v>475</v>
      </c>
      <c r="J60" s="478" t="s">
        <v>476</v>
      </c>
      <c r="K60" s="478" t="s">
        <v>477</v>
      </c>
      <c r="L60" s="508">
        <v>48.42</v>
      </c>
      <c r="M60" s="508">
        <v>145.26</v>
      </c>
      <c r="N60" s="478">
        <v>3</v>
      </c>
      <c r="O60" s="509">
        <v>1.5</v>
      </c>
      <c r="P60" s="508"/>
      <c r="Q60" s="486">
        <v>0</v>
      </c>
      <c r="R60" s="478"/>
      <c r="S60" s="486">
        <v>0</v>
      </c>
      <c r="T60" s="509"/>
      <c r="U60" s="487">
        <v>0</v>
      </c>
    </row>
    <row r="61" spans="1:21" ht="14.4" customHeight="1" x14ac:dyDescent="0.3">
      <c r="A61" s="484">
        <v>27</v>
      </c>
      <c r="B61" s="478" t="s">
        <v>436</v>
      </c>
      <c r="C61" s="478">
        <v>89301273</v>
      </c>
      <c r="D61" s="506" t="s">
        <v>740</v>
      </c>
      <c r="E61" s="507" t="s">
        <v>448</v>
      </c>
      <c r="F61" s="478" t="s">
        <v>437</v>
      </c>
      <c r="G61" s="478" t="s">
        <v>474</v>
      </c>
      <c r="H61" s="478" t="s">
        <v>743</v>
      </c>
      <c r="I61" s="478" t="s">
        <v>631</v>
      </c>
      <c r="J61" s="478" t="s">
        <v>476</v>
      </c>
      <c r="K61" s="478" t="s">
        <v>632</v>
      </c>
      <c r="L61" s="508">
        <v>0</v>
      </c>
      <c r="M61" s="508">
        <v>0</v>
      </c>
      <c r="N61" s="478">
        <v>7</v>
      </c>
      <c r="O61" s="509">
        <v>2</v>
      </c>
      <c r="P61" s="508">
        <v>0</v>
      </c>
      <c r="Q61" s="486"/>
      <c r="R61" s="478">
        <v>1</v>
      </c>
      <c r="S61" s="486">
        <v>0.14285714285714285</v>
      </c>
      <c r="T61" s="509">
        <v>0.5</v>
      </c>
      <c r="U61" s="487">
        <v>0.25</v>
      </c>
    </row>
    <row r="62" spans="1:21" ht="14.4" customHeight="1" x14ac:dyDescent="0.3">
      <c r="A62" s="484">
        <v>27</v>
      </c>
      <c r="B62" s="478" t="s">
        <v>436</v>
      </c>
      <c r="C62" s="478">
        <v>89301273</v>
      </c>
      <c r="D62" s="506" t="s">
        <v>740</v>
      </c>
      <c r="E62" s="507" t="s">
        <v>448</v>
      </c>
      <c r="F62" s="478" t="s">
        <v>437</v>
      </c>
      <c r="G62" s="478" t="s">
        <v>633</v>
      </c>
      <c r="H62" s="478" t="s">
        <v>425</v>
      </c>
      <c r="I62" s="478" t="s">
        <v>634</v>
      </c>
      <c r="J62" s="478" t="s">
        <v>635</v>
      </c>
      <c r="K62" s="478" t="s">
        <v>579</v>
      </c>
      <c r="L62" s="508">
        <v>301.2</v>
      </c>
      <c r="M62" s="508">
        <v>301.2</v>
      </c>
      <c r="N62" s="478">
        <v>1</v>
      </c>
      <c r="O62" s="509">
        <v>0.5</v>
      </c>
      <c r="P62" s="508"/>
      <c r="Q62" s="486">
        <v>0</v>
      </c>
      <c r="R62" s="478"/>
      <c r="S62" s="486">
        <v>0</v>
      </c>
      <c r="T62" s="509"/>
      <c r="U62" s="487">
        <v>0</v>
      </c>
    </row>
    <row r="63" spans="1:21" ht="14.4" customHeight="1" x14ac:dyDescent="0.3">
      <c r="A63" s="484">
        <v>27</v>
      </c>
      <c r="B63" s="478" t="s">
        <v>436</v>
      </c>
      <c r="C63" s="478">
        <v>89301273</v>
      </c>
      <c r="D63" s="506" t="s">
        <v>740</v>
      </c>
      <c r="E63" s="507" t="s">
        <v>448</v>
      </c>
      <c r="F63" s="478" t="s">
        <v>437</v>
      </c>
      <c r="G63" s="478" t="s">
        <v>633</v>
      </c>
      <c r="H63" s="478" t="s">
        <v>425</v>
      </c>
      <c r="I63" s="478" t="s">
        <v>636</v>
      </c>
      <c r="J63" s="478" t="s">
        <v>637</v>
      </c>
      <c r="K63" s="478" t="s">
        <v>638</v>
      </c>
      <c r="L63" s="508">
        <v>0</v>
      </c>
      <c r="M63" s="508">
        <v>0</v>
      </c>
      <c r="N63" s="478">
        <v>1</v>
      </c>
      <c r="O63" s="509">
        <v>0.5</v>
      </c>
      <c r="P63" s="508"/>
      <c r="Q63" s="486"/>
      <c r="R63" s="478"/>
      <c r="S63" s="486">
        <v>0</v>
      </c>
      <c r="T63" s="509"/>
      <c r="U63" s="487">
        <v>0</v>
      </c>
    </row>
    <row r="64" spans="1:21" ht="14.4" customHeight="1" x14ac:dyDescent="0.3">
      <c r="A64" s="484">
        <v>27</v>
      </c>
      <c r="B64" s="478" t="s">
        <v>436</v>
      </c>
      <c r="C64" s="478">
        <v>89301273</v>
      </c>
      <c r="D64" s="506" t="s">
        <v>740</v>
      </c>
      <c r="E64" s="507" t="s">
        <v>448</v>
      </c>
      <c r="F64" s="478" t="s">
        <v>437</v>
      </c>
      <c r="G64" s="478" t="s">
        <v>526</v>
      </c>
      <c r="H64" s="478" t="s">
        <v>743</v>
      </c>
      <c r="I64" s="478" t="s">
        <v>527</v>
      </c>
      <c r="J64" s="478" t="s">
        <v>528</v>
      </c>
      <c r="K64" s="478" t="s">
        <v>529</v>
      </c>
      <c r="L64" s="508">
        <v>153.62</v>
      </c>
      <c r="M64" s="508">
        <v>460.86</v>
      </c>
      <c r="N64" s="478">
        <v>3</v>
      </c>
      <c r="O64" s="509">
        <v>0.5</v>
      </c>
      <c r="P64" s="508">
        <v>460.86</v>
      </c>
      <c r="Q64" s="486">
        <v>1</v>
      </c>
      <c r="R64" s="478">
        <v>3</v>
      </c>
      <c r="S64" s="486">
        <v>1</v>
      </c>
      <c r="T64" s="509">
        <v>0.5</v>
      </c>
      <c r="U64" s="487">
        <v>1</v>
      </c>
    </row>
    <row r="65" spans="1:21" ht="14.4" customHeight="1" x14ac:dyDescent="0.3">
      <c r="A65" s="484">
        <v>27</v>
      </c>
      <c r="B65" s="478" t="s">
        <v>436</v>
      </c>
      <c r="C65" s="478">
        <v>89301273</v>
      </c>
      <c r="D65" s="506" t="s">
        <v>740</v>
      </c>
      <c r="E65" s="507" t="s">
        <v>448</v>
      </c>
      <c r="F65" s="478" t="s">
        <v>437</v>
      </c>
      <c r="G65" s="478" t="s">
        <v>526</v>
      </c>
      <c r="H65" s="478" t="s">
        <v>743</v>
      </c>
      <c r="I65" s="478" t="s">
        <v>639</v>
      </c>
      <c r="J65" s="478" t="s">
        <v>640</v>
      </c>
      <c r="K65" s="478" t="s">
        <v>641</v>
      </c>
      <c r="L65" s="508">
        <v>556.62</v>
      </c>
      <c r="M65" s="508">
        <v>556.62</v>
      </c>
      <c r="N65" s="478">
        <v>1</v>
      </c>
      <c r="O65" s="509">
        <v>0.5</v>
      </c>
      <c r="P65" s="508"/>
      <c r="Q65" s="486">
        <v>0</v>
      </c>
      <c r="R65" s="478"/>
      <c r="S65" s="486">
        <v>0</v>
      </c>
      <c r="T65" s="509"/>
      <c r="U65" s="487">
        <v>0</v>
      </c>
    </row>
    <row r="66" spans="1:21" ht="14.4" customHeight="1" x14ac:dyDescent="0.3">
      <c r="A66" s="484">
        <v>27</v>
      </c>
      <c r="B66" s="478" t="s">
        <v>436</v>
      </c>
      <c r="C66" s="478">
        <v>89301273</v>
      </c>
      <c r="D66" s="506" t="s">
        <v>740</v>
      </c>
      <c r="E66" s="507" t="s">
        <v>448</v>
      </c>
      <c r="F66" s="478" t="s">
        <v>437</v>
      </c>
      <c r="G66" s="478" t="s">
        <v>526</v>
      </c>
      <c r="H66" s="478" t="s">
        <v>743</v>
      </c>
      <c r="I66" s="478" t="s">
        <v>642</v>
      </c>
      <c r="J66" s="478" t="s">
        <v>643</v>
      </c>
      <c r="K66" s="478" t="s">
        <v>641</v>
      </c>
      <c r="L66" s="508">
        <v>614.29999999999995</v>
      </c>
      <c r="M66" s="508">
        <v>614.29999999999995</v>
      </c>
      <c r="N66" s="478">
        <v>1</v>
      </c>
      <c r="O66" s="509">
        <v>0.5</v>
      </c>
      <c r="P66" s="508"/>
      <c r="Q66" s="486">
        <v>0</v>
      </c>
      <c r="R66" s="478"/>
      <c r="S66" s="486">
        <v>0</v>
      </c>
      <c r="T66" s="509"/>
      <c r="U66" s="487">
        <v>0</v>
      </c>
    </row>
    <row r="67" spans="1:21" ht="14.4" customHeight="1" x14ac:dyDescent="0.3">
      <c r="A67" s="484">
        <v>27</v>
      </c>
      <c r="B67" s="478" t="s">
        <v>436</v>
      </c>
      <c r="C67" s="478">
        <v>89301273</v>
      </c>
      <c r="D67" s="506" t="s">
        <v>740</v>
      </c>
      <c r="E67" s="507" t="s">
        <v>448</v>
      </c>
      <c r="F67" s="478" t="s">
        <v>437</v>
      </c>
      <c r="G67" s="478" t="s">
        <v>644</v>
      </c>
      <c r="H67" s="478" t="s">
        <v>425</v>
      </c>
      <c r="I67" s="478" t="s">
        <v>645</v>
      </c>
      <c r="J67" s="478" t="s">
        <v>646</v>
      </c>
      <c r="K67" s="478" t="s">
        <v>647</v>
      </c>
      <c r="L67" s="508">
        <v>0</v>
      </c>
      <c r="M67" s="508">
        <v>0</v>
      </c>
      <c r="N67" s="478">
        <v>2</v>
      </c>
      <c r="O67" s="509">
        <v>0.5</v>
      </c>
      <c r="P67" s="508"/>
      <c r="Q67" s="486"/>
      <c r="R67" s="478"/>
      <c r="S67" s="486">
        <v>0</v>
      </c>
      <c r="T67" s="509"/>
      <c r="U67" s="487">
        <v>0</v>
      </c>
    </row>
    <row r="68" spans="1:21" ht="14.4" customHeight="1" x14ac:dyDescent="0.3">
      <c r="A68" s="484">
        <v>27</v>
      </c>
      <c r="B68" s="478" t="s">
        <v>436</v>
      </c>
      <c r="C68" s="478">
        <v>89301273</v>
      </c>
      <c r="D68" s="506" t="s">
        <v>740</v>
      </c>
      <c r="E68" s="507" t="s">
        <v>448</v>
      </c>
      <c r="F68" s="478" t="s">
        <v>437</v>
      </c>
      <c r="G68" s="478" t="s">
        <v>648</v>
      </c>
      <c r="H68" s="478" t="s">
        <v>743</v>
      </c>
      <c r="I68" s="478" t="s">
        <v>649</v>
      </c>
      <c r="J68" s="478" t="s">
        <v>650</v>
      </c>
      <c r="K68" s="478" t="s">
        <v>651</v>
      </c>
      <c r="L68" s="508">
        <v>31.32</v>
      </c>
      <c r="M68" s="508">
        <v>31.32</v>
      </c>
      <c r="N68" s="478">
        <v>1</v>
      </c>
      <c r="O68" s="509">
        <v>0.5</v>
      </c>
      <c r="P68" s="508">
        <v>31.32</v>
      </c>
      <c r="Q68" s="486">
        <v>1</v>
      </c>
      <c r="R68" s="478">
        <v>1</v>
      </c>
      <c r="S68" s="486">
        <v>1</v>
      </c>
      <c r="T68" s="509">
        <v>0.5</v>
      </c>
      <c r="U68" s="487">
        <v>1</v>
      </c>
    </row>
    <row r="69" spans="1:21" ht="14.4" customHeight="1" x14ac:dyDescent="0.3">
      <c r="A69" s="484">
        <v>27</v>
      </c>
      <c r="B69" s="478" t="s">
        <v>436</v>
      </c>
      <c r="C69" s="478">
        <v>89301273</v>
      </c>
      <c r="D69" s="506" t="s">
        <v>740</v>
      </c>
      <c r="E69" s="507" t="s">
        <v>448</v>
      </c>
      <c r="F69" s="478" t="s">
        <v>437</v>
      </c>
      <c r="G69" s="478" t="s">
        <v>648</v>
      </c>
      <c r="H69" s="478" t="s">
        <v>743</v>
      </c>
      <c r="I69" s="478" t="s">
        <v>652</v>
      </c>
      <c r="J69" s="478" t="s">
        <v>653</v>
      </c>
      <c r="K69" s="478" t="s">
        <v>654</v>
      </c>
      <c r="L69" s="508">
        <v>31.32</v>
      </c>
      <c r="M69" s="508">
        <v>31.32</v>
      </c>
      <c r="N69" s="478">
        <v>1</v>
      </c>
      <c r="O69" s="509">
        <v>0.5</v>
      </c>
      <c r="P69" s="508"/>
      <c r="Q69" s="486">
        <v>0</v>
      </c>
      <c r="R69" s="478"/>
      <c r="S69" s="486">
        <v>0</v>
      </c>
      <c r="T69" s="509"/>
      <c r="U69" s="487">
        <v>0</v>
      </c>
    </row>
    <row r="70" spans="1:21" ht="14.4" customHeight="1" x14ac:dyDescent="0.3">
      <c r="A70" s="484">
        <v>27</v>
      </c>
      <c r="B70" s="478" t="s">
        <v>436</v>
      </c>
      <c r="C70" s="478">
        <v>89301273</v>
      </c>
      <c r="D70" s="506" t="s">
        <v>740</v>
      </c>
      <c r="E70" s="507" t="s">
        <v>448</v>
      </c>
      <c r="F70" s="478" t="s">
        <v>437</v>
      </c>
      <c r="G70" s="478" t="s">
        <v>655</v>
      </c>
      <c r="H70" s="478" t="s">
        <v>425</v>
      </c>
      <c r="I70" s="478" t="s">
        <v>656</v>
      </c>
      <c r="J70" s="478" t="s">
        <v>657</v>
      </c>
      <c r="K70" s="478" t="s">
        <v>658</v>
      </c>
      <c r="L70" s="508">
        <v>0</v>
      </c>
      <c r="M70" s="508">
        <v>0</v>
      </c>
      <c r="N70" s="478">
        <v>2</v>
      </c>
      <c r="O70" s="509">
        <v>1</v>
      </c>
      <c r="P70" s="508"/>
      <c r="Q70" s="486"/>
      <c r="R70" s="478"/>
      <c r="S70" s="486">
        <v>0</v>
      </c>
      <c r="T70" s="509"/>
      <c r="U70" s="487">
        <v>0</v>
      </c>
    </row>
    <row r="71" spans="1:21" ht="14.4" customHeight="1" x14ac:dyDescent="0.3">
      <c r="A71" s="484">
        <v>27</v>
      </c>
      <c r="B71" s="478" t="s">
        <v>436</v>
      </c>
      <c r="C71" s="478">
        <v>89301273</v>
      </c>
      <c r="D71" s="506" t="s">
        <v>740</v>
      </c>
      <c r="E71" s="507" t="s">
        <v>448</v>
      </c>
      <c r="F71" s="478" t="s">
        <v>437</v>
      </c>
      <c r="G71" s="478" t="s">
        <v>655</v>
      </c>
      <c r="H71" s="478" t="s">
        <v>425</v>
      </c>
      <c r="I71" s="478" t="s">
        <v>659</v>
      </c>
      <c r="J71" s="478" t="s">
        <v>657</v>
      </c>
      <c r="K71" s="478" t="s">
        <v>658</v>
      </c>
      <c r="L71" s="508">
        <v>0</v>
      </c>
      <c r="M71" s="508">
        <v>0</v>
      </c>
      <c r="N71" s="478">
        <v>1</v>
      </c>
      <c r="O71" s="509">
        <v>0.5</v>
      </c>
      <c r="P71" s="508">
        <v>0</v>
      </c>
      <c r="Q71" s="486"/>
      <c r="R71" s="478">
        <v>1</v>
      </c>
      <c r="S71" s="486">
        <v>1</v>
      </c>
      <c r="T71" s="509">
        <v>0.5</v>
      </c>
      <c r="U71" s="487">
        <v>1</v>
      </c>
    </row>
    <row r="72" spans="1:21" ht="14.4" customHeight="1" x14ac:dyDescent="0.3">
      <c r="A72" s="484">
        <v>27</v>
      </c>
      <c r="B72" s="478" t="s">
        <v>436</v>
      </c>
      <c r="C72" s="478">
        <v>89301273</v>
      </c>
      <c r="D72" s="506" t="s">
        <v>740</v>
      </c>
      <c r="E72" s="507" t="s">
        <v>448</v>
      </c>
      <c r="F72" s="478" t="s">
        <v>437</v>
      </c>
      <c r="G72" s="478" t="s">
        <v>660</v>
      </c>
      <c r="H72" s="478" t="s">
        <v>425</v>
      </c>
      <c r="I72" s="478" t="s">
        <v>661</v>
      </c>
      <c r="J72" s="478" t="s">
        <v>662</v>
      </c>
      <c r="K72" s="478" t="s">
        <v>663</v>
      </c>
      <c r="L72" s="508">
        <v>0</v>
      </c>
      <c r="M72" s="508">
        <v>0</v>
      </c>
      <c r="N72" s="478">
        <v>2</v>
      </c>
      <c r="O72" s="509">
        <v>1</v>
      </c>
      <c r="P72" s="508"/>
      <c r="Q72" s="486"/>
      <c r="R72" s="478"/>
      <c r="S72" s="486">
        <v>0</v>
      </c>
      <c r="T72" s="509"/>
      <c r="U72" s="487">
        <v>0</v>
      </c>
    </row>
    <row r="73" spans="1:21" ht="14.4" customHeight="1" x14ac:dyDescent="0.3">
      <c r="A73" s="484">
        <v>27</v>
      </c>
      <c r="B73" s="478" t="s">
        <v>436</v>
      </c>
      <c r="C73" s="478">
        <v>89301273</v>
      </c>
      <c r="D73" s="506" t="s">
        <v>740</v>
      </c>
      <c r="E73" s="507" t="s">
        <v>449</v>
      </c>
      <c r="F73" s="478" t="s">
        <v>437</v>
      </c>
      <c r="G73" s="478" t="s">
        <v>664</v>
      </c>
      <c r="H73" s="478" t="s">
        <v>425</v>
      </c>
      <c r="I73" s="478" t="s">
        <v>665</v>
      </c>
      <c r="J73" s="478" t="s">
        <v>666</v>
      </c>
      <c r="K73" s="478" t="s">
        <v>667</v>
      </c>
      <c r="L73" s="508">
        <v>0</v>
      </c>
      <c r="M73" s="508">
        <v>0</v>
      </c>
      <c r="N73" s="478">
        <v>1</v>
      </c>
      <c r="O73" s="509">
        <v>1</v>
      </c>
      <c r="P73" s="508"/>
      <c r="Q73" s="486"/>
      <c r="R73" s="478"/>
      <c r="S73" s="486">
        <v>0</v>
      </c>
      <c r="T73" s="509"/>
      <c r="U73" s="487">
        <v>0</v>
      </c>
    </row>
    <row r="74" spans="1:21" ht="14.4" customHeight="1" x14ac:dyDescent="0.3">
      <c r="A74" s="484">
        <v>27</v>
      </c>
      <c r="B74" s="478" t="s">
        <v>436</v>
      </c>
      <c r="C74" s="478">
        <v>89301273</v>
      </c>
      <c r="D74" s="506" t="s">
        <v>740</v>
      </c>
      <c r="E74" s="507" t="s">
        <v>449</v>
      </c>
      <c r="F74" s="478" t="s">
        <v>437</v>
      </c>
      <c r="G74" s="478" t="s">
        <v>534</v>
      </c>
      <c r="H74" s="478" t="s">
        <v>743</v>
      </c>
      <c r="I74" s="478" t="s">
        <v>668</v>
      </c>
      <c r="J74" s="478" t="s">
        <v>536</v>
      </c>
      <c r="K74" s="478" t="s">
        <v>669</v>
      </c>
      <c r="L74" s="508">
        <v>62.46</v>
      </c>
      <c r="M74" s="508">
        <v>124.92</v>
      </c>
      <c r="N74" s="478">
        <v>2</v>
      </c>
      <c r="O74" s="509">
        <v>1</v>
      </c>
      <c r="P74" s="508"/>
      <c r="Q74" s="486">
        <v>0</v>
      </c>
      <c r="R74" s="478"/>
      <c r="S74" s="486">
        <v>0</v>
      </c>
      <c r="T74" s="509"/>
      <c r="U74" s="487">
        <v>0</v>
      </c>
    </row>
    <row r="75" spans="1:21" ht="14.4" customHeight="1" x14ac:dyDescent="0.3">
      <c r="A75" s="484">
        <v>27</v>
      </c>
      <c r="B75" s="478" t="s">
        <v>436</v>
      </c>
      <c r="C75" s="478">
        <v>89301273</v>
      </c>
      <c r="D75" s="506" t="s">
        <v>740</v>
      </c>
      <c r="E75" s="507" t="s">
        <v>449</v>
      </c>
      <c r="F75" s="478" t="s">
        <v>437</v>
      </c>
      <c r="G75" s="478" t="s">
        <v>534</v>
      </c>
      <c r="H75" s="478" t="s">
        <v>743</v>
      </c>
      <c r="I75" s="478" t="s">
        <v>538</v>
      </c>
      <c r="J75" s="478" t="s">
        <v>539</v>
      </c>
      <c r="K75" s="478" t="s">
        <v>540</v>
      </c>
      <c r="L75" s="508">
        <v>416.37</v>
      </c>
      <c r="M75" s="508">
        <v>416.37</v>
      </c>
      <c r="N75" s="478">
        <v>1</v>
      </c>
      <c r="O75" s="509">
        <v>0.5</v>
      </c>
      <c r="P75" s="508">
        <v>416.37</v>
      </c>
      <c r="Q75" s="486">
        <v>1</v>
      </c>
      <c r="R75" s="478">
        <v>1</v>
      </c>
      <c r="S75" s="486">
        <v>1</v>
      </c>
      <c r="T75" s="509">
        <v>0.5</v>
      </c>
      <c r="U75" s="487">
        <v>1</v>
      </c>
    </row>
    <row r="76" spans="1:21" ht="14.4" customHeight="1" x14ac:dyDescent="0.3">
      <c r="A76" s="484">
        <v>27</v>
      </c>
      <c r="B76" s="478" t="s">
        <v>436</v>
      </c>
      <c r="C76" s="478">
        <v>89301273</v>
      </c>
      <c r="D76" s="506" t="s">
        <v>740</v>
      </c>
      <c r="E76" s="507" t="s">
        <v>449</v>
      </c>
      <c r="F76" s="478" t="s">
        <v>437</v>
      </c>
      <c r="G76" s="478" t="s">
        <v>670</v>
      </c>
      <c r="H76" s="478" t="s">
        <v>743</v>
      </c>
      <c r="I76" s="478" t="s">
        <v>671</v>
      </c>
      <c r="J76" s="478" t="s">
        <v>672</v>
      </c>
      <c r="K76" s="478" t="s">
        <v>673</v>
      </c>
      <c r="L76" s="508">
        <v>2026.32</v>
      </c>
      <c r="M76" s="508">
        <v>6078.96</v>
      </c>
      <c r="N76" s="478">
        <v>3</v>
      </c>
      <c r="O76" s="509">
        <v>0.5</v>
      </c>
      <c r="P76" s="508"/>
      <c r="Q76" s="486">
        <v>0</v>
      </c>
      <c r="R76" s="478"/>
      <c r="S76" s="486">
        <v>0</v>
      </c>
      <c r="T76" s="509"/>
      <c r="U76" s="487">
        <v>0</v>
      </c>
    </row>
    <row r="77" spans="1:21" ht="14.4" customHeight="1" x14ac:dyDescent="0.3">
      <c r="A77" s="484">
        <v>27</v>
      </c>
      <c r="B77" s="478" t="s">
        <v>436</v>
      </c>
      <c r="C77" s="478">
        <v>89301273</v>
      </c>
      <c r="D77" s="506" t="s">
        <v>740</v>
      </c>
      <c r="E77" s="507" t="s">
        <v>449</v>
      </c>
      <c r="F77" s="478" t="s">
        <v>437</v>
      </c>
      <c r="G77" s="478" t="s">
        <v>674</v>
      </c>
      <c r="H77" s="478" t="s">
        <v>743</v>
      </c>
      <c r="I77" s="478" t="s">
        <v>675</v>
      </c>
      <c r="J77" s="478" t="s">
        <v>676</v>
      </c>
      <c r="K77" s="478" t="s">
        <v>677</v>
      </c>
      <c r="L77" s="508">
        <v>93.43</v>
      </c>
      <c r="M77" s="508">
        <v>93.43</v>
      </c>
      <c r="N77" s="478">
        <v>1</v>
      </c>
      <c r="O77" s="509">
        <v>0.5</v>
      </c>
      <c r="P77" s="508"/>
      <c r="Q77" s="486">
        <v>0</v>
      </c>
      <c r="R77" s="478"/>
      <c r="S77" s="486">
        <v>0</v>
      </c>
      <c r="T77" s="509"/>
      <c r="U77" s="487">
        <v>0</v>
      </c>
    </row>
    <row r="78" spans="1:21" ht="14.4" customHeight="1" x14ac:dyDescent="0.3">
      <c r="A78" s="484">
        <v>27</v>
      </c>
      <c r="B78" s="478" t="s">
        <v>436</v>
      </c>
      <c r="C78" s="478">
        <v>89301273</v>
      </c>
      <c r="D78" s="506" t="s">
        <v>740</v>
      </c>
      <c r="E78" s="507" t="s">
        <v>449</v>
      </c>
      <c r="F78" s="478" t="s">
        <v>437</v>
      </c>
      <c r="G78" s="478" t="s">
        <v>678</v>
      </c>
      <c r="H78" s="478" t="s">
        <v>425</v>
      </c>
      <c r="I78" s="478" t="s">
        <v>679</v>
      </c>
      <c r="J78" s="478" t="s">
        <v>680</v>
      </c>
      <c r="K78" s="478" t="s">
        <v>681</v>
      </c>
      <c r="L78" s="508">
        <v>26.37</v>
      </c>
      <c r="M78" s="508">
        <v>52.74</v>
      </c>
      <c r="N78" s="478">
        <v>2</v>
      </c>
      <c r="O78" s="509">
        <v>1</v>
      </c>
      <c r="P78" s="508">
        <v>52.74</v>
      </c>
      <c r="Q78" s="486">
        <v>1</v>
      </c>
      <c r="R78" s="478">
        <v>2</v>
      </c>
      <c r="S78" s="486">
        <v>1</v>
      </c>
      <c r="T78" s="509">
        <v>1</v>
      </c>
      <c r="U78" s="487">
        <v>1</v>
      </c>
    </row>
    <row r="79" spans="1:21" ht="14.4" customHeight="1" x14ac:dyDescent="0.3">
      <c r="A79" s="484">
        <v>27</v>
      </c>
      <c r="B79" s="478" t="s">
        <v>436</v>
      </c>
      <c r="C79" s="478">
        <v>89301273</v>
      </c>
      <c r="D79" s="506" t="s">
        <v>740</v>
      </c>
      <c r="E79" s="507" t="s">
        <v>449</v>
      </c>
      <c r="F79" s="478" t="s">
        <v>437</v>
      </c>
      <c r="G79" s="478" t="s">
        <v>682</v>
      </c>
      <c r="H79" s="478" t="s">
        <v>425</v>
      </c>
      <c r="I79" s="478" t="s">
        <v>683</v>
      </c>
      <c r="J79" s="478" t="s">
        <v>684</v>
      </c>
      <c r="K79" s="478" t="s">
        <v>685</v>
      </c>
      <c r="L79" s="508">
        <v>0</v>
      </c>
      <c r="M79" s="508">
        <v>0</v>
      </c>
      <c r="N79" s="478">
        <v>3</v>
      </c>
      <c r="O79" s="509">
        <v>0.5</v>
      </c>
      <c r="P79" s="508"/>
      <c r="Q79" s="486"/>
      <c r="R79" s="478"/>
      <c r="S79" s="486">
        <v>0</v>
      </c>
      <c r="T79" s="509"/>
      <c r="U79" s="487">
        <v>0</v>
      </c>
    </row>
    <row r="80" spans="1:21" ht="14.4" customHeight="1" x14ac:dyDescent="0.3">
      <c r="A80" s="484">
        <v>27</v>
      </c>
      <c r="B80" s="478" t="s">
        <v>436</v>
      </c>
      <c r="C80" s="478">
        <v>89301273</v>
      </c>
      <c r="D80" s="506" t="s">
        <v>740</v>
      </c>
      <c r="E80" s="507" t="s">
        <v>449</v>
      </c>
      <c r="F80" s="478" t="s">
        <v>437</v>
      </c>
      <c r="G80" s="478" t="s">
        <v>686</v>
      </c>
      <c r="H80" s="478" t="s">
        <v>743</v>
      </c>
      <c r="I80" s="478" t="s">
        <v>687</v>
      </c>
      <c r="J80" s="478" t="s">
        <v>688</v>
      </c>
      <c r="K80" s="478" t="s">
        <v>689</v>
      </c>
      <c r="L80" s="508">
        <v>2309.36</v>
      </c>
      <c r="M80" s="508">
        <v>9237.44</v>
      </c>
      <c r="N80" s="478">
        <v>4</v>
      </c>
      <c r="O80" s="509">
        <v>0.5</v>
      </c>
      <c r="P80" s="508">
        <v>9237.44</v>
      </c>
      <c r="Q80" s="486">
        <v>1</v>
      </c>
      <c r="R80" s="478">
        <v>4</v>
      </c>
      <c r="S80" s="486">
        <v>1</v>
      </c>
      <c r="T80" s="509">
        <v>0.5</v>
      </c>
      <c r="U80" s="487">
        <v>1</v>
      </c>
    </row>
    <row r="81" spans="1:21" ht="14.4" customHeight="1" x14ac:dyDescent="0.3">
      <c r="A81" s="484">
        <v>27</v>
      </c>
      <c r="B81" s="478" t="s">
        <v>436</v>
      </c>
      <c r="C81" s="478">
        <v>89301273</v>
      </c>
      <c r="D81" s="506" t="s">
        <v>740</v>
      </c>
      <c r="E81" s="507" t="s">
        <v>449</v>
      </c>
      <c r="F81" s="478" t="s">
        <v>437</v>
      </c>
      <c r="G81" s="478" t="s">
        <v>526</v>
      </c>
      <c r="H81" s="478" t="s">
        <v>743</v>
      </c>
      <c r="I81" s="478" t="s">
        <v>690</v>
      </c>
      <c r="J81" s="478" t="s">
        <v>528</v>
      </c>
      <c r="K81" s="478" t="s">
        <v>641</v>
      </c>
      <c r="L81" s="508">
        <v>460.85</v>
      </c>
      <c r="M81" s="508">
        <v>921.7</v>
      </c>
      <c r="N81" s="478">
        <v>2</v>
      </c>
      <c r="O81" s="509">
        <v>0.5</v>
      </c>
      <c r="P81" s="508">
        <v>921.7</v>
      </c>
      <c r="Q81" s="486">
        <v>1</v>
      </c>
      <c r="R81" s="478">
        <v>2</v>
      </c>
      <c r="S81" s="486">
        <v>1</v>
      </c>
      <c r="T81" s="509">
        <v>0.5</v>
      </c>
      <c r="U81" s="487">
        <v>1</v>
      </c>
    </row>
    <row r="82" spans="1:21" ht="14.4" customHeight="1" x14ac:dyDescent="0.3">
      <c r="A82" s="484">
        <v>27</v>
      </c>
      <c r="B82" s="478" t="s">
        <v>436</v>
      </c>
      <c r="C82" s="478">
        <v>89301273</v>
      </c>
      <c r="D82" s="506" t="s">
        <v>740</v>
      </c>
      <c r="E82" s="507" t="s">
        <v>449</v>
      </c>
      <c r="F82" s="478" t="s">
        <v>437</v>
      </c>
      <c r="G82" s="478" t="s">
        <v>691</v>
      </c>
      <c r="H82" s="478" t="s">
        <v>425</v>
      </c>
      <c r="I82" s="478" t="s">
        <v>692</v>
      </c>
      <c r="J82" s="478" t="s">
        <v>693</v>
      </c>
      <c r="K82" s="478" t="s">
        <v>694</v>
      </c>
      <c r="L82" s="508">
        <v>160.1</v>
      </c>
      <c r="M82" s="508">
        <v>480.29999999999995</v>
      </c>
      <c r="N82" s="478">
        <v>3</v>
      </c>
      <c r="O82" s="509">
        <v>0.5</v>
      </c>
      <c r="P82" s="508">
        <v>480.29999999999995</v>
      </c>
      <c r="Q82" s="486">
        <v>1</v>
      </c>
      <c r="R82" s="478">
        <v>3</v>
      </c>
      <c r="S82" s="486">
        <v>1</v>
      </c>
      <c r="T82" s="509">
        <v>0.5</v>
      </c>
      <c r="U82" s="487">
        <v>1</v>
      </c>
    </row>
    <row r="83" spans="1:21" ht="14.4" customHeight="1" x14ac:dyDescent="0.3">
      <c r="A83" s="484">
        <v>27</v>
      </c>
      <c r="B83" s="478" t="s">
        <v>436</v>
      </c>
      <c r="C83" s="478">
        <v>89301273</v>
      </c>
      <c r="D83" s="506" t="s">
        <v>740</v>
      </c>
      <c r="E83" s="507" t="s">
        <v>449</v>
      </c>
      <c r="F83" s="478" t="s">
        <v>437</v>
      </c>
      <c r="G83" s="478" t="s">
        <v>695</v>
      </c>
      <c r="H83" s="478" t="s">
        <v>425</v>
      </c>
      <c r="I83" s="478" t="s">
        <v>696</v>
      </c>
      <c r="J83" s="478" t="s">
        <v>697</v>
      </c>
      <c r="K83" s="478" t="s">
        <v>641</v>
      </c>
      <c r="L83" s="508">
        <v>0</v>
      </c>
      <c r="M83" s="508">
        <v>0</v>
      </c>
      <c r="N83" s="478">
        <v>1</v>
      </c>
      <c r="O83" s="509">
        <v>0.5</v>
      </c>
      <c r="P83" s="508"/>
      <c r="Q83" s="486"/>
      <c r="R83" s="478"/>
      <c r="S83" s="486">
        <v>0</v>
      </c>
      <c r="T83" s="509"/>
      <c r="U83" s="487">
        <v>0</v>
      </c>
    </row>
    <row r="84" spans="1:21" ht="14.4" customHeight="1" x14ac:dyDescent="0.3">
      <c r="A84" s="484">
        <v>27</v>
      </c>
      <c r="B84" s="478" t="s">
        <v>436</v>
      </c>
      <c r="C84" s="478">
        <v>89301274</v>
      </c>
      <c r="D84" s="506" t="s">
        <v>741</v>
      </c>
      <c r="E84" s="507" t="s">
        <v>449</v>
      </c>
      <c r="F84" s="478" t="s">
        <v>437</v>
      </c>
      <c r="G84" s="478" t="s">
        <v>462</v>
      </c>
      <c r="H84" s="478" t="s">
        <v>425</v>
      </c>
      <c r="I84" s="478" t="s">
        <v>698</v>
      </c>
      <c r="J84" s="478" t="s">
        <v>699</v>
      </c>
      <c r="K84" s="478" t="s">
        <v>700</v>
      </c>
      <c r="L84" s="508">
        <v>0</v>
      </c>
      <c r="M84" s="508">
        <v>0</v>
      </c>
      <c r="N84" s="478">
        <v>1</v>
      </c>
      <c r="O84" s="509">
        <v>0.5</v>
      </c>
      <c r="P84" s="508"/>
      <c r="Q84" s="486"/>
      <c r="R84" s="478"/>
      <c r="S84" s="486">
        <v>0</v>
      </c>
      <c r="T84" s="509"/>
      <c r="U84" s="487">
        <v>0</v>
      </c>
    </row>
    <row r="85" spans="1:21" ht="14.4" customHeight="1" x14ac:dyDescent="0.3">
      <c r="A85" s="484">
        <v>27</v>
      </c>
      <c r="B85" s="478" t="s">
        <v>436</v>
      </c>
      <c r="C85" s="478">
        <v>89301274</v>
      </c>
      <c r="D85" s="506" t="s">
        <v>741</v>
      </c>
      <c r="E85" s="507" t="s">
        <v>449</v>
      </c>
      <c r="F85" s="478" t="s">
        <v>437</v>
      </c>
      <c r="G85" s="478" t="s">
        <v>701</v>
      </c>
      <c r="H85" s="478" t="s">
        <v>743</v>
      </c>
      <c r="I85" s="478" t="s">
        <v>702</v>
      </c>
      <c r="J85" s="478" t="s">
        <v>703</v>
      </c>
      <c r="K85" s="478" t="s">
        <v>704</v>
      </c>
      <c r="L85" s="508">
        <v>35.11</v>
      </c>
      <c r="M85" s="508">
        <v>140.44</v>
      </c>
      <c r="N85" s="478">
        <v>4</v>
      </c>
      <c r="O85" s="509">
        <v>1</v>
      </c>
      <c r="P85" s="508"/>
      <c r="Q85" s="486">
        <v>0</v>
      </c>
      <c r="R85" s="478"/>
      <c r="S85" s="486">
        <v>0</v>
      </c>
      <c r="T85" s="509"/>
      <c r="U85" s="487">
        <v>0</v>
      </c>
    </row>
    <row r="86" spans="1:21" ht="14.4" customHeight="1" x14ac:dyDescent="0.3">
      <c r="A86" s="484">
        <v>27</v>
      </c>
      <c r="B86" s="478" t="s">
        <v>436</v>
      </c>
      <c r="C86" s="478">
        <v>89301274</v>
      </c>
      <c r="D86" s="506" t="s">
        <v>741</v>
      </c>
      <c r="E86" s="507" t="s">
        <v>449</v>
      </c>
      <c r="F86" s="478" t="s">
        <v>437</v>
      </c>
      <c r="G86" s="478" t="s">
        <v>701</v>
      </c>
      <c r="H86" s="478" t="s">
        <v>425</v>
      </c>
      <c r="I86" s="478" t="s">
        <v>705</v>
      </c>
      <c r="J86" s="478" t="s">
        <v>706</v>
      </c>
      <c r="K86" s="478" t="s">
        <v>704</v>
      </c>
      <c r="L86" s="508">
        <v>35.11</v>
      </c>
      <c r="M86" s="508">
        <v>70.22</v>
      </c>
      <c r="N86" s="478">
        <v>2</v>
      </c>
      <c r="O86" s="509">
        <v>1</v>
      </c>
      <c r="P86" s="508">
        <v>70.22</v>
      </c>
      <c r="Q86" s="486">
        <v>1</v>
      </c>
      <c r="R86" s="478">
        <v>2</v>
      </c>
      <c r="S86" s="486">
        <v>1</v>
      </c>
      <c r="T86" s="509">
        <v>1</v>
      </c>
      <c r="U86" s="487">
        <v>1</v>
      </c>
    </row>
    <row r="87" spans="1:21" ht="14.4" customHeight="1" x14ac:dyDescent="0.3">
      <c r="A87" s="484">
        <v>27</v>
      </c>
      <c r="B87" s="478" t="s">
        <v>436</v>
      </c>
      <c r="C87" s="478">
        <v>89301274</v>
      </c>
      <c r="D87" s="506" t="s">
        <v>741</v>
      </c>
      <c r="E87" s="507" t="s">
        <v>449</v>
      </c>
      <c r="F87" s="478" t="s">
        <v>437</v>
      </c>
      <c r="G87" s="478" t="s">
        <v>623</v>
      </c>
      <c r="H87" s="478" t="s">
        <v>425</v>
      </c>
      <c r="I87" s="478" t="s">
        <v>624</v>
      </c>
      <c r="J87" s="478" t="s">
        <v>625</v>
      </c>
      <c r="K87" s="478" t="s">
        <v>626</v>
      </c>
      <c r="L87" s="508">
        <v>38.56</v>
      </c>
      <c r="M87" s="508">
        <v>38.56</v>
      </c>
      <c r="N87" s="478">
        <v>1</v>
      </c>
      <c r="O87" s="509">
        <v>0.5</v>
      </c>
      <c r="P87" s="508"/>
      <c r="Q87" s="486">
        <v>0</v>
      </c>
      <c r="R87" s="478"/>
      <c r="S87" s="486">
        <v>0</v>
      </c>
      <c r="T87" s="509"/>
      <c r="U87" s="487">
        <v>0</v>
      </c>
    </row>
    <row r="88" spans="1:21" ht="14.4" customHeight="1" x14ac:dyDescent="0.3">
      <c r="A88" s="484">
        <v>27</v>
      </c>
      <c r="B88" s="478" t="s">
        <v>436</v>
      </c>
      <c r="C88" s="478">
        <v>89301274</v>
      </c>
      <c r="D88" s="506" t="s">
        <v>741</v>
      </c>
      <c r="E88" s="507" t="s">
        <v>449</v>
      </c>
      <c r="F88" s="478" t="s">
        <v>437</v>
      </c>
      <c r="G88" s="478" t="s">
        <v>526</v>
      </c>
      <c r="H88" s="478" t="s">
        <v>743</v>
      </c>
      <c r="I88" s="478" t="s">
        <v>527</v>
      </c>
      <c r="J88" s="478" t="s">
        <v>528</v>
      </c>
      <c r="K88" s="478" t="s">
        <v>529</v>
      </c>
      <c r="L88" s="508">
        <v>153.62</v>
      </c>
      <c r="M88" s="508">
        <v>307.24</v>
      </c>
      <c r="N88" s="478">
        <v>2</v>
      </c>
      <c r="O88" s="509">
        <v>1</v>
      </c>
      <c r="P88" s="508">
        <v>307.24</v>
      </c>
      <c r="Q88" s="486">
        <v>1</v>
      </c>
      <c r="R88" s="478">
        <v>2</v>
      </c>
      <c r="S88" s="486">
        <v>1</v>
      </c>
      <c r="T88" s="509">
        <v>1</v>
      </c>
      <c r="U88" s="487">
        <v>1</v>
      </c>
    </row>
    <row r="89" spans="1:21" ht="14.4" customHeight="1" x14ac:dyDescent="0.3">
      <c r="A89" s="484">
        <v>27</v>
      </c>
      <c r="B89" s="478" t="s">
        <v>436</v>
      </c>
      <c r="C89" s="478">
        <v>89301274</v>
      </c>
      <c r="D89" s="506" t="s">
        <v>741</v>
      </c>
      <c r="E89" s="507" t="s">
        <v>449</v>
      </c>
      <c r="F89" s="478" t="s">
        <v>437</v>
      </c>
      <c r="G89" s="478" t="s">
        <v>707</v>
      </c>
      <c r="H89" s="478" t="s">
        <v>425</v>
      </c>
      <c r="I89" s="478" t="s">
        <v>708</v>
      </c>
      <c r="J89" s="478" t="s">
        <v>709</v>
      </c>
      <c r="K89" s="478" t="s">
        <v>710</v>
      </c>
      <c r="L89" s="508">
        <v>0</v>
      </c>
      <c r="M89" s="508">
        <v>0</v>
      </c>
      <c r="N89" s="478">
        <v>1</v>
      </c>
      <c r="O89" s="509">
        <v>1</v>
      </c>
      <c r="P89" s="508">
        <v>0</v>
      </c>
      <c r="Q89" s="486"/>
      <c r="R89" s="478">
        <v>1</v>
      </c>
      <c r="S89" s="486">
        <v>1</v>
      </c>
      <c r="T89" s="509">
        <v>1</v>
      </c>
      <c r="U89" s="487">
        <v>1</v>
      </c>
    </row>
    <row r="90" spans="1:21" ht="14.4" customHeight="1" x14ac:dyDescent="0.3">
      <c r="A90" s="484">
        <v>27</v>
      </c>
      <c r="B90" s="478" t="s">
        <v>436</v>
      </c>
      <c r="C90" s="478">
        <v>89301274</v>
      </c>
      <c r="D90" s="506" t="s">
        <v>741</v>
      </c>
      <c r="E90" s="507" t="s">
        <v>449</v>
      </c>
      <c r="F90" s="478" t="s">
        <v>437</v>
      </c>
      <c r="G90" s="478" t="s">
        <v>707</v>
      </c>
      <c r="H90" s="478" t="s">
        <v>425</v>
      </c>
      <c r="I90" s="478" t="s">
        <v>711</v>
      </c>
      <c r="J90" s="478" t="s">
        <v>712</v>
      </c>
      <c r="K90" s="478" t="s">
        <v>710</v>
      </c>
      <c r="L90" s="508">
        <v>0</v>
      </c>
      <c r="M90" s="508">
        <v>0</v>
      </c>
      <c r="N90" s="478">
        <v>2</v>
      </c>
      <c r="O90" s="509">
        <v>1</v>
      </c>
      <c r="P90" s="508">
        <v>0</v>
      </c>
      <c r="Q90" s="486"/>
      <c r="R90" s="478">
        <v>2</v>
      </c>
      <c r="S90" s="486">
        <v>1</v>
      </c>
      <c r="T90" s="509">
        <v>1</v>
      </c>
      <c r="U90" s="487">
        <v>1</v>
      </c>
    </row>
    <row r="91" spans="1:21" ht="14.4" customHeight="1" x14ac:dyDescent="0.3">
      <c r="A91" s="484">
        <v>27</v>
      </c>
      <c r="B91" s="478" t="s">
        <v>436</v>
      </c>
      <c r="C91" s="478">
        <v>89301275</v>
      </c>
      <c r="D91" s="506" t="s">
        <v>742</v>
      </c>
      <c r="E91" s="507" t="s">
        <v>447</v>
      </c>
      <c r="F91" s="478" t="s">
        <v>437</v>
      </c>
      <c r="G91" s="478" t="s">
        <v>526</v>
      </c>
      <c r="H91" s="478" t="s">
        <v>743</v>
      </c>
      <c r="I91" s="478" t="s">
        <v>713</v>
      </c>
      <c r="J91" s="478" t="s">
        <v>643</v>
      </c>
      <c r="K91" s="478" t="s">
        <v>529</v>
      </c>
      <c r="L91" s="508">
        <v>204.76</v>
      </c>
      <c r="M91" s="508">
        <v>204.76</v>
      </c>
      <c r="N91" s="478">
        <v>1</v>
      </c>
      <c r="O91" s="509">
        <v>1</v>
      </c>
      <c r="P91" s="508">
        <v>204.76</v>
      </c>
      <c r="Q91" s="486">
        <v>1</v>
      </c>
      <c r="R91" s="478">
        <v>1</v>
      </c>
      <c r="S91" s="486">
        <v>1</v>
      </c>
      <c r="T91" s="509">
        <v>1</v>
      </c>
      <c r="U91" s="487">
        <v>1</v>
      </c>
    </row>
    <row r="92" spans="1:21" ht="14.4" customHeight="1" x14ac:dyDescent="0.3">
      <c r="A92" s="484">
        <v>27</v>
      </c>
      <c r="B92" s="478" t="s">
        <v>436</v>
      </c>
      <c r="C92" s="478">
        <v>89301275</v>
      </c>
      <c r="D92" s="506" t="s">
        <v>742</v>
      </c>
      <c r="E92" s="507" t="s">
        <v>449</v>
      </c>
      <c r="F92" s="478" t="s">
        <v>437</v>
      </c>
      <c r="G92" s="478" t="s">
        <v>714</v>
      </c>
      <c r="H92" s="478" t="s">
        <v>425</v>
      </c>
      <c r="I92" s="478" t="s">
        <v>715</v>
      </c>
      <c r="J92" s="478" t="s">
        <v>716</v>
      </c>
      <c r="K92" s="478" t="s">
        <v>717</v>
      </c>
      <c r="L92" s="508">
        <v>35.11</v>
      </c>
      <c r="M92" s="508">
        <v>70.22</v>
      </c>
      <c r="N92" s="478">
        <v>2</v>
      </c>
      <c r="O92" s="509">
        <v>1</v>
      </c>
      <c r="P92" s="508">
        <v>70.22</v>
      </c>
      <c r="Q92" s="486">
        <v>1</v>
      </c>
      <c r="R92" s="478">
        <v>2</v>
      </c>
      <c r="S92" s="486">
        <v>1</v>
      </c>
      <c r="T92" s="509">
        <v>1</v>
      </c>
      <c r="U92" s="487">
        <v>1</v>
      </c>
    </row>
    <row r="93" spans="1:21" ht="14.4" customHeight="1" x14ac:dyDescent="0.3">
      <c r="A93" s="484">
        <v>27</v>
      </c>
      <c r="B93" s="478" t="s">
        <v>436</v>
      </c>
      <c r="C93" s="478">
        <v>89301275</v>
      </c>
      <c r="D93" s="506" t="s">
        <v>742</v>
      </c>
      <c r="E93" s="507" t="s">
        <v>449</v>
      </c>
      <c r="F93" s="478" t="s">
        <v>437</v>
      </c>
      <c r="G93" s="478" t="s">
        <v>534</v>
      </c>
      <c r="H93" s="478" t="s">
        <v>743</v>
      </c>
      <c r="I93" s="478" t="s">
        <v>535</v>
      </c>
      <c r="J93" s="478" t="s">
        <v>536</v>
      </c>
      <c r="K93" s="478" t="s">
        <v>537</v>
      </c>
      <c r="L93" s="508">
        <v>208.19</v>
      </c>
      <c r="M93" s="508">
        <v>208.19</v>
      </c>
      <c r="N93" s="478">
        <v>1</v>
      </c>
      <c r="O93" s="509">
        <v>1</v>
      </c>
      <c r="P93" s="508">
        <v>208.19</v>
      </c>
      <c r="Q93" s="486">
        <v>1</v>
      </c>
      <c r="R93" s="478">
        <v>1</v>
      </c>
      <c r="S93" s="486">
        <v>1</v>
      </c>
      <c r="T93" s="509">
        <v>1</v>
      </c>
      <c r="U93" s="487">
        <v>1</v>
      </c>
    </row>
    <row r="94" spans="1:21" ht="14.4" customHeight="1" x14ac:dyDescent="0.3">
      <c r="A94" s="484">
        <v>27</v>
      </c>
      <c r="B94" s="478" t="s">
        <v>436</v>
      </c>
      <c r="C94" s="478">
        <v>89301275</v>
      </c>
      <c r="D94" s="506" t="s">
        <v>742</v>
      </c>
      <c r="E94" s="507" t="s">
        <v>449</v>
      </c>
      <c r="F94" s="478" t="s">
        <v>437</v>
      </c>
      <c r="G94" s="478" t="s">
        <v>534</v>
      </c>
      <c r="H94" s="478" t="s">
        <v>743</v>
      </c>
      <c r="I94" s="478" t="s">
        <v>718</v>
      </c>
      <c r="J94" s="478" t="s">
        <v>719</v>
      </c>
      <c r="K94" s="478" t="s">
        <v>720</v>
      </c>
      <c r="L94" s="508">
        <v>643.69000000000005</v>
      </c>
      <c r="M94" s="508">
        <v>643.69000000000005</v>
      </c>
      <c r="N94" s="478">
        <v>1</v>
      </c>
      <c r="O94" s="509">
        <v>1</v>
      </c>
      <c r="P94" s="508"/>
      <c r="Q94" s="486">
        <v>0</v>
      </c>
      <c r="R94" s="478"/>
      <c r="S94" s="486">
        <v>0</v>
      </c>
      <c r="T94" s="509"/>
      <c r="U94" s="487">
        <v>0</v>
      </c>
    </row>
    <row r="95" spans="1:21" ht="14.4" customHeight="1" x14ac:dyDescent="0.3">
      <c r="A95" s="484">
        <v>27</v>
      </c>
      <c r="B95" s="478" t="s">
        <v>436</v>
      </c>
      <c r="C95" s="478">
        <v>89301275</v>
      </c>
      <c r="D95" s="506" t="s">
        <v>742</v>
      </c>
      <c r="E95" s="507" t="s">
        <v>449</v>
      </c>
      <c r="F95" s="478" t="s">
        <v>437</v>
      </c>
      <c r="G95" s="478" t="s">
        <v>670</v>
      </c>
      <c r="H95" s="478" t="s">
        <v>743</v>
      </c>
      <c r="I95" s="478" t="s">
        <v>671</v>
      </c>
      <c r="J95" s="478" t="s">
        <v>672</v>
      </c>
      <c r="K95" s="478" t="s">
        <v>673</v>
      </c>
      <c r="L95" s="508">
        <v>2026.32</v>
      </c>
      <c r="M95" s="508">
        <v>6078.96</v>
      </c>
      <c r="N95" s="478">
        <v>3</v>
      </c>
      <c r="O95" s="509">
        <v>0.5</v>
      </c>
      <c r="P95" s="508"/>
      <c r="Q95" s="486">
        <v>0</v>
      </c>
      <c r="R95" s="478"/>
      <c r="S95" s="486">
        <v>0</v>
      </c>
      <c r="T95" s="509"/>
      <c r="U95" s="487">
        <v>0</v>
      </c>
    </row>
    <row r="96" spans="1:21" ht="14.4" customHeight="1" x14ac:dyDescent="0.3">
      <c r="A96" s="484">
        <v>27</v>
      </c>
      <c r="B96" s="478" t="s">
        <v>436</v>
      </c>
      <c r="C96" s="478">
        <v>89301275</v>
      </c>
      <c r="D96" s="506" t="s">
        <v>742</v>
      </c>
      <c r="E96" s="507" t="s">
        <v>449</v>
      </c>
      <c r="F96" s="478" t="s">
        <v>437</v>
      </c>
      <c r="G96" s="478" t="s">
        <v>670</v>
      </c>
      <c r="H96" s="478" t="s">
        <v>425</v>
      </c>
      <c r="I96" s="478" t="s">
        <v>721</v>
      </c>
      <c r="J96" s="478" t="s">
        <v>722</v>
      </c>
      <c r="K96" s="478" t="s">
        <v>723</v>
      </c>
      <c r="L96" s="508">
        <v>0</v>
      </c>
      <c r="M96" s="508">
        <v>0</v>
      </c>
      <c r="N96" s="478">
        <v>3</v>
      </c>
      <c r="O96" s="509">
        <v>1</v>
      </c>
      <c r="P96" s="508"/>
      <c r="Q96" s="486"/>
      <c r="R96" s="478"/>
      <c r="S96" s="486">
        <v>0</v>
      </c>
      <c r="T96" s="509"/>
      <c r="U96" s="487">
        <v>0</v>
      </c>
    </row>
    <row r="97" spans="1:21" ht="14.4" customHeight="1" x14ac:dyDescent="0.3">
      <c r="A97" s="484">
        <v>27</v>
      </c>
      <c r="B97" s="478" t="s">
        <v>436</v>
      </c>
      <c r="C97" s="478">
        <v>89301275</v>
      </c>
      <c r="D97" s="506" t="s">
        <v>742</v>
      </c>
      <c r="E97" s="507" t="s">
        <v>449</v>
      </c>
      <c r="F97" s="478" t="s">
        <v>437</v>
      </c>
      <c r="G97" s="478" t="s">
        <v>670</v>
      </c>
      <c r="H97" s="478" t="s">
        <v>425</v>
      </c>
      <c r="I97" s="478" t="s">
        <v>724</v>
      </c>
      <c r="J97" s="478" t="s">
        <v>672</v>
      </c>
      <c r="K97" s="478" t="s">
        <v>725</v>
      </c>
      <c r="L97" s="508">
        <v>396.15</v>
      </c>
      <c r="M97" s="508">
        <v>1188.4499999999998</v>
      </c>
      <c r="N97" s="478">
        <v>3</v>
      </c>
      <c r="O97" s="509">
        <v>0.5</v>
      </c>
      <c r="P97" s="508"/>
      <c r="Q97" s="486">
        <v>0</v>
      </c>
      <c r="R97" s="478"/>
      <c r="S97" s="486">
        <v>0</v>
      </c>
      <c r="T97" s="509"/>
      <c r="U97" s="487">
        <v>0</v>
      </c>
    </row>
    <row r="98" spans="1:21" ht="14.4" customHeight="1" x14ac:dyDescent="0.3">
      <c r="A98" s="484">
        <v>27</v>
      </c>
      <c r="B98" s="478" t="s">
        <v>436</v>
      </c>
      <c r="C98" s="478">
        <v>89301275</v>
      </c>
      <c r="D98" s="506" t="s">
        <v>742</v>
      </c>
      <c r="E98" s="507" t="s">
        <v>449</v>
      </c>
      <c r="F98" s="478" t="s">
        <v>437</v>
      </c>
      <c r="G98" s="478" t="s">
        <v>502</v>
      </c>
      <c r="H98" s="478" t="s">
        <v>425</v>
      </c>
      <c r="I98" s="478" t="s">
        <v>726</v>
      </c>
      <c r="J98" s="478" t="s">
        <v>504</v>
      </c>
      <c r="K98" s="478" t="s">
        <v>727</v>
      </c>
      <c r="L98" s="508">
        <v>0</v>
      </c>
      <c r="M98" s="508">
        <v>0</v>
      </c>
      <c r="N98" s="478">
        <v>1</v>
      </c>
      <c r="O98" s="509">
        <v>1</v>
      </c>
      <c r="P98" s="508">
        <v>0</v>
      </c>
      <c r="Q98" s="486"/>
      <c r="R98" s="478">
        <v>1</v>
      </c>
      <c r="S98" s="486">
        <v>1</v>
      </c>
      <c r="T98" s="509">
        <v>1</v>
      </c>
      <c r="U98" s="487">
        <v>1</v>
      </c>
    </row>
    <row r="99" spans="1:21" ht="14.4" customHeight="1" x14ac:dyDescent="0.3">
      <c r="A99" s="484">
        <v>27</v>
      </c>
      <c r="B99" s="478" t="s">
        <v>436</v>
      </c>
      <c r="C99" s="478">
        <v>89301275</v>
      </c>
      <c r="D99" s="506" t="s">
        <v>742</v>
      </c>
      <c r="E99" s="507" t="s">
        <v>449</v>
      </c>
      <c r="F99" s="478" t="s">
        <v>437</v>
      </c>
      <c r="G99" s="478" t="s">
        <v>458</v>
      </c>
      <c r="H99" s="478" t="s">
        <v>425</v>
      </c>
      <c r="I99" s="478" t="s">
        <v>459</v>
      </c>
      <c r="J99" s="478" t="s">
        <v>460</v>
      </c>
      <c r="K99" s="478" t="s">
        <v>461</v>
      </c>
      <c r="L99" s="508">
        <v>156.77000000000001</v>
      </c>
      <c r="M99" s="508">
        <v>470.31000000000006</v>
      </c>
      <c r="N99" s="478">
        <v>3</v>
      </c>
      <c r="O99" s="509">
        <v>1</v>
      </c>
      <c r="P99" s="508"/>
      <c r="Q99" s="486">
        <v>0</v>
      </c>
      <c r="R99" s="478"/>
      <c r="S99" s="486">
        <v>0</v>
      </c>
      <c r="T99" s="509"/>
      <c r="U99" s="487">
        <v>0</v>
      </c>
    </row>
    <row r="100" spans="1:21" ht="14.4" customHeight="1" x14ac:dyDescent="0.3">
      <c r="A100" s="484">
        <v>27</v>
      </c>
      <c r="B100" s="478" t="s">
        <v>436</v>
      </c>
      <c r="C100" s="478">
        <v>89301275</v>
      </c>
      <c r="D100" s="506" t="s">
        <v>742</v>
      </c>
      <c r="E100" s="507" t="s">
        <v>449</v>
      </c>
      <c r="F100" s="478" t="s">
        <v>437</v>
      </c>
      <c r="G100" s="478" t="s">
        <v>728</v>
      </c>
      <c r="H100" s="478" t="s">
        <v>425</v>
      </c>
      <c r="I100" s="478" t="s">
        <v>729</v>
      </c>
      <c r="J100" s="478" t="s">
        <v>730</v>
      </c>
      <c r="K100" s="478" t="s">
        <v>731</v>
      </c>
      <c r="L100" s="508">
        <v>140.6</v>
      </c>
      <c r="M100" s="508">
        <v>281.2</v>
      </c>
      <c r="N100" s="478">
        <v>2</v>
      </c>
      <c r="O100" s="509">
        <v>0.5</v>
      </c>
      <c r="P100" s="508">
        <v>281.2</v>
      </c>
      <c r="Q100" s="486">
        <v>1</v>
      </c>
      <c r="R100" s="478">
        <v>2</v>
      </c>
      <c r="S100" s="486">
        <v>1</v>
      </c>
      <c r="T100" s="509">
        <v>0.5</v>
      </c>
      <c r="U100" s="487">
        <v>1</v>
      </c>
    </row>
    <row r="101" spans="1:21" ht="14.4" customHeight="1" x14ac:dyDescent="0.3">
      <c r="A101" s="484">
        <v>27</v>
      </c>
      <c r="B101" s="478" t="s">
        <v>436</v>
      </c>
      <c r="C101" s="478">
        <v>89301275</v>
      </c>
      <c r="D101" s="506" t="s">
        <v>742</v>
      </c>
      <c r="E101" s="507" t="s">
        <v>449</v>
      </c>
      <c r="F101" s="478" t="s">
        <v>437</v>
      </c>
      <c r="G101" s="478" t="s">
        <v>522</v>
      </c>
      <c r="H101" s="478" t="s">
        <v>743</v>
      </c>
      <c r="I101" s="478" t="s">
        <v>523</v>
      </c>
      <c r="J101" s="478" t="s">
        <v>524</v>
      </c>
      <c r="K101" s="478" t="s">
        <v>525</v>
      </c>
      <c r="L101" s="508">
        <v>93.71</v>
      </c>
      <c r="M101" s="508">
        <v>281.13</v>
      </c>
      <c r="N101" s="478">
        <v>3</v>
      </c>
      <c r="O101" s="509">
        <v>0.5</v>
      </c>
      <c r="P101" s="508"/>
      <c r="Q101" s="486">
        <v>0</v>
      </c>
      <c r="R101" s="478"/>
      <c r="S101" s="486">
        <v>0</v>
      </c>
      <c r="T101" s="509"/>
      <c r="U101" s="487">
        <v>0</v>
      </c>
    </row>
    <row r="102" spans="1:21" ht="14.4" customHeight="1" x14ac:dyDescent="0.3">
      <c r="A102" s="484">
        <v>27</v>
      </c>
      <c r="B102" s="478" t="s">
        <v>436</v>
      </c>
      <c r="C102" s="478">
        <v>89301275</v>
      </c>
      <c r="D102" s="506" t="s">
        <v>742</v>
      </c>
      <c r="E102" s="507" t="s">
        <v>449</v>
      </c>
      <c r="F102" s="478" t="s">
        <v>437</v>
      </c>
      <c r="G102" s="478" t="s">
        <v>478</v>
      </c>
      <c r="H102" s="478" t="s">
        <v>743</v>
      </c>
      <c r="I102" s="478" t="s">
        <v>479</v>
      </c>
      <c r="J102" s="478" t="s">
        <v>480</v>
      </c>
      <c r="K102" s="478" t="s">
        <v>481</v>
      </c>
      <c r="L102" s="508">
        <v>48.27</v>
      </c>
      <c r="M102" s="508">
        <v>241.35000000000002</v>
      </c>
      <c r="N102" s="478">
        <v>5</v>
      </c>
      <c r="O102" s="509">
        <v>1.5</v>
      </c>
      <c r="P102" s="508">
        <v>96.54</v>
      </c>
      <c r="Q102" s="486">
        <v>0.39999999999999997</v>
      </c>
      <c r="R102" s="478">
        <v>2</v>
      </c>
      <c r="S102" s="486">
        <v>0.4</v>
      </c>
      <c r="T102" s="509">
        <v>1</v>
      </c>
      <c r="U102" s="487">
        <v>0.66666666666666663</v>
      </c>
    </row>
    <row r="103" spans="1:21" ht="14.4" customHeight="1" x14ac:dyDescent="0.3">
      <c r="A103" s="484">
        <v>27</v>
      </c>
      <c r="B103" s="478" t="s">
        <v>436</v>
      </c>
      <c r="C103" s="478">
        <v>89301275</v>
      </c>
      <c r="D103" s="506" t="s">
        <v>742</v>
      </c>
      <c r="E103" s="507" t="s">
        <v>449</v>
      </c>
      <c r="F103" s="478" t="s">
        <v>437</v>
      </c>
      <c r="G103" s="478" t="s">
        <v>526</v>
      </c>
      <c r="H103" s="478" t="s">
        <v>743</v>
      </c>
      <c r="I103" s="478" t="s">
        <v>527</v>
      </c>
      <c r="J103" s="478" t="s">
        <v>528</v>
      </c>
      <c r="K103" s="478" t="s">
        <v>529</v>
      </c>
      <c r="L103" s="508">
        <v>153.62</v>
      </c>
      <c r="M103" s="508">
        <v>614.48</v>
      </c>
      <c r="N103" s="478">
        <v>4</v>
      </c>
      <c r="O103" s="509">
        <v>2</v>
      </c>
      <c r="P103" s="508">
        <v>307.24</v>
      </c>
      <c r="Q103" s="486">
        <v>0.5</v>
      </c>
      <c r="R103" s="478">
        <v>2</v>
      </c>
      <c r="S103" s="486">
        <v>0.5</v>
      </c>
      <c r="T103" s="509">
        <v>1</v>
      </c>
      <c r="U103" s="487">
        <v>0.5</v>
      </c>
    </row>
    <row r="104" spans="1:21" ht="14.4" customHeight="1" x14ac:dyDescent="0.3">
      <c r="A104" s="484">
        <v>27</v>
      </c>
      <c r="B104" s="478" t="s">
        <v>436</v>
      </c>
      <c r="C104" s="478">
        <v>89301275</v>
      </c>
      <c r="D104" s="506" t="s">
        <v>742</v>
      </c>
      <c r="E104" s="507" t="s">
        <v>449</v>
      </c>
      <c r="F104" s="478" t="s">
        <v>437</v>
      </c>
      <c r="G104" s="478" t="s">
        <v>526</v>
      </c>
      <c r="H104" s="478" t="s">
        <v>743</v>
      </c>
      <c r="I104" s="478" t="s">
        <v>690</v>
      </c>
      <c r="J104" s="478" t="s">
        <v>528</v>
      </c>
      <c r="K104" s="478" t="s">
        <v>641</v>
      </c>
      <c r="L104" s="508">
        <v>460.85</v>
      </c>
      <c r="M104" s="508">
        <v>460.85</v>
      </c>
      <c r="N104" s="478">
        <v>1</v>
      </c>
      <c r="O104" s="509">
        <v>1</v>
      </c>
      <c r="P104" s="508"/>
      <c r="Q104" s="486">
        <v>0</v>
      </c>
      <c r="R104" s="478"/>
      <c r="S104" s="486">
        <v>0</v>
      </c>
      <c r="T104" s="509"/>
      <c r="U104" s="487">
        <v>0</v>
      </c>
    </row>
    <row r="105" spans="1:21" ht="14.4" customHeight="1" x14ac:dyDescent="0.3">
      <c r="A105" s="484">
        <v>27</v>
      </c>
      <c r="B105" s="478" t="s">
        <v>436</v>
      </c>
      <c r="C105" s="478">
        <v>89301275</v>
      </c>
      <c r="D105" s="506" t="s">
        <v>742</v>
      </c>
      <c r="E105" s="507" t="s">
        <v>449</v>
      </c>
      <c r="F105" s="478" t="s">
        <v>437</v>
      </c>
      <c r="G105" s="478" t="s">
        <v>691</v>
      </c>
      <c r="H105" s="478" t="s">
        <v>743</v>
      </c>
      <c r="I105" s="478" t="s">
        <v>732</v>
      </c>
      <c r="J105" s="478" t="s">
        <v>733</v>
      </c>
      <c r="K105" s="478" t="s">
        <v>694</v>
      </c>
      <c r="L105" s="508">
        <v>160.1</v>
      </c>
      <c r="M105" s="508">
        <v>640.4</v>
      </c>
      <c r="N105" s="478">
        <v>4</v>
      </c>
      <c r="O105" s="509">
        <v>1</v>
      </c>
      <c r="P105" s="508"/>
      <c r="Q105" s="486">
        <v>0</v>
      </c>
      <c r="R105" s="478"/>
      <c r="S105" s="486">
        <v>0</v>
      </c>
      <c r="T105" s="509"/>
      <c r="U105" s="487">
        <v>0</v>
      </c>
    </row>
    <row r="106" spans="1:21" ht="14.4" customHeight="1" x14ac:dyDescent="0.3">
      <c r="A106" s="484">
        <v>27</v>
      </c>
      <c r="B106" s="478" t="s">
        <v>436</v>
      </c>
      <c r="C106" s="478">
        <v>89301275</v>
      </c>
      <c r="D106" s="506" t="s">
        <v>742</v>
      </c>
      <c r="E106" s="507" t="s">
        <v>449</v>
      </c>
      <c r="F106" s="478" t="s">
        <v>437</v>
      </c>
      <c r="G106" s="478" t="s">
        <v>691</v>
      </c>
      <c r="H106" s="478" t="s">
        <v>425</v>
      </c>
      <c r="I106" s="478" t="s">
        <v>692</v>
      </c>
      <c r="J106" s="478" t="s">
        <v>693</v>
      </c>
      <c r="K106" s="478" t="s">
        <v>694</v>
      </c>
      <c r="L106" s="508">
        <v>160.1</v>
      </c>
      <c r="M106" s="508">
        <v>480.29999999999995</v>
      </c>
      <c r="N106" s="478">
        <v>3</v>
      </c>
      <c r="O106" s="509">
        <v>1</v>
      </c>
      <c r="P106" s="508"/>
      <c r="Q106" s="486">
        <v>0</v>
      </c>
      <c r="R106" s="478"/>
      <c r="S106" s="486">
        <v>0</v>
      </c>
      <c r="T106" s="509"/>
      <c r="U106" s="487">
        <v>0</v>
      </c>
    </row>
    <row r="107" spans="1:21" ht="14.4" customHeight="1" x14ac:dyDescent="0.3">
      <c r="A107" s="484">
        <v>27</v>
      </c>
      <c r="B107" s="478" t="s">
        <v>436</v>
      </c>
      <c r="C107" s="478">
        <v>89301275</v>
      </c>
      <c r="D107" s="506" t="s">
        <v>742</v>
      </c>
      <c r="E107" s="507" t="s">
        <v>449</v>
      </c>
      <c r="F107" s="478" t="s">
        <v>437</v>
      </c>
      <c r="G107" s="478" t="s">
        <v>734</v>
      </c>
      <c r="H107" s="478" t="s">
        <v>425</v>
      </c>
      <c r="I107" s="478" t="s">
        <v>735</v>
      </c>
      <c r="J107" s="478" t="s">
        <v>736</v>
      </c>
      <c r="K107" s="478" t="s">
        <v>737</v>
      </c>
      <c r="L107" s="508">
        <v>0</v>
      </c>
      <c r="M107" s="508">
        <v>0</v>
      </c>
      <c r="N107" s="478">
        <v>2</v>
      </c>
      <c r="O107" s="509">
        <v>1</v>
      </c>
      <c r="P107" s="508">
        <v>0</v>
      </c>
      <c r="Q107" s="486"/>
      <c r="R107" s="478">
        <v>2</v>
      </c>
      <c r="S107" s="486">
        <v>1</v>
      </c>
      <c r="T107" s="509">
        <v>1</v>
      </c>
      <c r="U107" s="487">
        <v>1</v>
      </c>
    </row>
    <row r="108" spans="1:21" ht="14.4" customHeight="1" x14ac:dyDescent="0.3">
      <c r="A108" s="484">
        <v>27</v>
      </c>
      <c r="B108" s="478" t="s">
        <v>436</v>
      </c>
      <c r="C108" s="478">
        <v>89301275</v>
      </c>
      <c r="D108" s="506" t="s">
        <v>742</v>
      </c>
      <c r="E108" s="507" t="s">
        <v>449</v>
      </c>
      <c r="F108" s="478" t="s">
        <v>437</v>
      </c>
      <c r="G108" s="478" t="s">
        <v>734</v>
      </c>
      <c r="H108" s="478" t="s">
        <v>425</v>
      </c>
      <c r="I108" s="478" t="s">
        <v>738</v>
      </c>
      <c r="J108" s="478" t="s">
        <v>736</v>
      </c>
      <c r="K108" s="478" t="s">
        <v>739</v>
      </c>
      <c r="L108" s="508">
        <v>0</v>
      </c>
      <c r="M108" s="508">
        <v>0</v>
      </c>
      <c r="N108" s="478">
        <v>3</v>
      </c>
      <c r="O108" s="509">
        <v>1</v>
      </c>
      <c r="P108" s="508"/>
      <c r="Q108" s="486"/>
      <c r="R108" s="478"/>
      <c r="S108" s="486">
        <v>0</v>
      </c>
      <c r="T108" s="509"/>
      <c r="U108" s="487">
        <v>0</v>
      </c>
    </row>
    <row r="109" spans="1:21" ht="14.4" customHeight="1" thickBot="1" x14ac:dyDescent="0.35">
      <c r="A109" s="485">
        <v>27</v>
      </c>
      <c r="B109" s="480" t="s">
        <v>436</v>
      </c>
      <c r="C109" s="480">
        <v>89301275</v>
      </c>
      <c r="D109" s="510" t="s">
        <v>742</v>
      </c>
      <c r="E109" s="511" t="s">
        <v>449</v>
      </c>
      <c r="F109" s="480" t="s">
        <v>437</v>
      </c>
      <c r="G109" s="480" t="s">
        <v>707</v>
      </c>
      <c r="H109" s="480" t="s">
        <v>425</v>
      </c>
      <c r="I109" s="480" t="s">
        <v>708</v>
      </c>
      <c r="J109" s="480" t="s">
        <v>709</v>
      </c>
      <c r="K109" s="480" t="s">
        <v>710</v>
      </c>
      <c r="L109" s="512">
        <v>0</v>
      </c>
      <c r="M109" s="512">
        <v>0</v>
      </c>
      <c r="N109" s="480">
        <v>3</v>
      </c>
      <c r="O109" s="513">
        <v>0.5</v>
      </c>
      <c r="P109" s="512">
        <v>0</v>
      </c>
      <c r="Q109" s="459"/>
      <c r="R109" s="480">
        <v>3</v>
      </c>
      <c r="S109" s="459">
        <v>1</v>
      </c>
      <c r="T109" s="513">
        <v>0.5</v>
      </c>
      <c r="U109" s="46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0" t="s">
        <v>745</v>
      </c>
      <c r="B1" s="361"/>
      <c r="C1" s="361"/>
      <c r="D1" s="361"/>
      <c r="E1" s="361"/>
      <c r="F1" s="361"/>
    </row>
    <row r="2" spans="1:6" ht="14.4" customHeight="1" thickBot="1" x14ac:dyDescent="0.35">
      <c r="A2" s="235" t="s">
        <v>273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2" t="s">
        <v>129</v>
      </c>
      <c r="C3" s="363"/>
      <c r="D3" s="364" t="s">
        <v>128</v>
      </c>
      <c r="E3" s="363"/>
      <c r="F3" s="80" t="s">
        <v>3</v>
      </c>
    </row>
    <row r="4" spans="1:6" ht="14.4" customHeight="1" thickBot="1" x14ac:dyDescent="0.35">
      <c r="A4" s="514" t="s">
        <v>160</v>
      </c>
      <c r="B4" s="515" t="s">
        <v>13</v>
      </c>
      <c r="C4" s="516" t="s">
        <v>2</v>
      </c>
      <c r="D4" s="515" t="s">
        <v>13</v>
      </c>
      <c r="E4" s="516" t="s">
        <v>2</v>
      </c>
      <c r="F4" s="517" t="s">
        <v>13</v>
      </c>
    </row>
    <row r="5" spans="1:6" ht="14.4" customHeight="1" x14ac:dyDescent="0.3">
      <c r="A5" s="527" t="s">
        <v>449</v>
      </c>
      <c r="B5" s="116">
        <v>1312.02</v>
      </c>
      <c r="C5" s="505">
        <v>4.719229885218712E-2</v>
      </c>
      <c r="D5" s="116">
        <v>26489.550000000003</v>
      </c>
      <c r="E5" s="505">
        <v>0.95280770114781288</v>
      </c>
      <c r="F5" s="518">
        <v>27801.570000000003</v>
      </c>
    </row>
    <row r="6" spans="1:6" ht="14.4" customHeight="1" x14ac:dyDescent="0.3">
      <c r="A6" s="528" t="s">
        <v>448</v>
      </c>
      <c r="B6" s="479">
        <v>1009.32</v>
      </c>
      <c r="C6" s="486">
        <v>0.27183702490735157</v>
      </c>
      <c r="D6" s="479">
        <v>2703.64</v>
      </c>
      <c r="E6" s="486">
        <v>0.72816297509264838</v>
      </c>
      <c r="F6" s="519">
        <v>3712.96</v>
      </c>
    </row>
    <row r="7" spans="1:6" ht="14.4" customHeight="1" x14ac:dyDescent="0.3">
      <c r="A7" s="528" t="s">
        <v>445</v>
      </c>
      <c r="B7" s="479">
        <v>241.54</v>
      </c>
      <c r="C7" s="486">
        <v>0.47660766787032105</v>
      </c>
      <c r="D7" s="479">
        <v>265.25</v>
      </c>
      <c r="E7" s="486">
        <v>0.52339233212967895</v>
      </c>
      <c r="F7" s="519">
        <v>506.78999999999996</v>
      </c>
    </row>
    <row r="8" spans="1:6" ht="14.4" customHeight="1" thickBot="1" x14ac:dyDescent="0.35">
      <c r="A8" s="529" t="s">
        <v>447</v>
      </c>
      <c r="B8" s="520">
        <v>223.44</v>
      </c>
      <c r="C8" s="521">
        <v>0.23004694835680753</v>
      </c>
      <c r="D8" s="520">
        <v>747.83999999999992</v>
      </c>
      <c r="E8" s="521">
        <v>0.76995305164319239</v>
      </c>
      <c r="F8" s="522">
        <v>971.28</v>
      </c>
    </row>
    <row r="9" spans="1:6" ht="14.4" customHeight="1" thickBot="1" x14ac:dyDescent="0.35">
      <c r="A9" s="523" t="s">
        <v>3</v>
      </c>
      <c r="B9" s="524">
        <v>2786.32</v>
      </c>
      <c r="C9" s="525">
        <v>8.4452877311882044E-2</v>
      </c>
      <c r="D9" s="524">
        <v>30206.280000000002</v>
      </c>
      <c r="E9" s="525">
        <v>0.91554712268811789</v>
      </c>
      <c r="F9" s="526">
        <v>32992.600000000006</v>
      </c>
    </row>
    <row r="10" spans="1:6" ht="14.4" customHeight="1" thickBot="1" x14ac:dyDescent="0.35"/>
    <row r="11" spans="1:6" ht="14.4" customHeight="1" x14ac:dyDescent="0.3">
      <c r="A11" s="527" t="s">
        <v>746</v>
      </c>
      <c r="B11" s="116">
        <v>960.59999999999991</v>
      </c>
      <c r="C11" s="505">
        <v>0.6</v>
      </c>
      <c r="D11" s="116">
        <v>640.4</v>
      </c>
      <c r="E11" s="505">
        <v>0.39999999999999997</v>
      </c>
      <c r="F11" s="518">
        <v>1601</v>
      </c>
    </row>
    <row r="12" spans="1:6" ht="14.4" customHeight="1" x14ac:dyDescent="0.3">
      <c r="A12" s="528" t="s">
        <v>747</v>
      </c>
      <c r="B12" s="479">
        <v>850.36</v>
      </c>
      <c r="C12" s="486">
        <v>0.78031860226104832</v>
      </c>
      <c r="D12" s="479">
        <v>239.4</v>
      </c>
      <c r="E12" s="486">
        <v>0.21968139773895171</v>
      </c>
      <c r="F12" s="519">
        <v>1089.76</v>
      </c>
    </row>
    <row r="13" spans="1:6" ht="14.4" customHeight="1" x14ac:dyDescent="0.3">
      <c r="A13" s="528" t="s">
        <v>748</v>
      </c>
      <c r="B13" s="479">
        <v>281.2</v>
      </c>
      <c r="C13" s="486">
        <v>1</v>
      </c>
      <c r="D13" s="479"/>
      <c r="E13" s="486">
        <v>0</v>
      </c>
      <c r="F13" s="519">
        <v>281.2</v>
      </c>
    </row>
    <row r="14" spans="1:6" ht="14.4" customHeight="1" x14ac:dyDescent="0.3">
      <c r="A14" s="528" t="s">
        <v>749</v>
      </c>
      <c r="B14" s="479">
        <v>241.54</v>
      </c>
      <c r="C14" s="486">
        <v>1</v>
      </c>
      <c r="D14" s="479"/>
      <c r="E14" s="486">
        <v>0</v>
      </c>
      <c r="F14" s="519">
        <v>241.54</v>
      </c>
    </row>
    <row r="15" spans="1:6" ht="14.4" customHeight="1" x14ac:dyDescent="0.3">
      <c r="A15" s="528" t="s">
        <v>750</v>
      </c>
      <c r="B15" s="479">
        <v>223.44</v>
      </c>
      <c r="C15" s="486">
        <v>1</v>
      </c>
      <c r="D15" s="479">
        <v>0</v>
      </c>
      <c r="E15" s="486">
        <v>0</v>
      </c>
      <c r="F15" s="519">
        <v>223.44</v>
      </c>
    </row>
    <row r="16" spans="1:6" ht="14.4" customHeight="1" x14ac:dyDescent="0.3">
      <c r="A16" s="528" t="s">
        <v>751</v>
      </c>
      <c r="B16" s="479">
        <v>158.96</v>
      </c>
      <c r="C16" s="486">
        <v>1</v>
      </c>
      <c r="D16" s="479"/>
      <c r="E16" s="486">
        <v>0</v>
      </c>
      <c r="F16" s="519">
        <v>158.96</v>
      </c>
    </row>
    <row r="17" spans="1:6" ht="14.4" customHeight="1" x14ac:dyDescent="0.3">
      <c r="A17" s="528" t="s">
        <v>752</v>
      </c>
      <c r="B17" s="479">
        <v>70.22</v>
      </c>
      <c r="C17" s="486">
        <v>0.33333333333333331</v>
      </c>
      <c r="D17" s="479">
        <v>140.44</v>
      </c>
      <c r="E17" s="486">
        <v>0.66666666666666663</v>
      </c>
      <c r="F17" s="519">
        <v>210.66</v>
      </c>
    </row>
    <row r="18" spans="1:6" ht="14.4" customHeight="1" x14ac:dyDescent="0.3">
      <c r="A18" s="528" t="s">
        <v>753</v>
      </c>
      <c r="B18" s="479"/>
      <c r="C18" s="486">
        <v>0</v>
      </c>
      <c r="D18" s="479">
        <v>12157.92</v>
      </c>
      <c r="E18" s="486">
        <v>1</v>
      </c>
      <c r="F18" s="519">
        <v>12157.92</v>
      </c>
    </row>
    <row r="19" spans="1:6" ht="14.4" customHeight="1" x14ac:dyDescent="0.3">
      <c r="A19" s="528" t="s">
        <v>754</v>
      </c>
      <c r="B19" s="479">
        <v>0</v>
      </c>
      <c r="C19" s="486"/>
      <c r="D19" s="479">
        <v>0</v>
      </c>
      <c r="E19" s="486"/>
      <c r="F19" s="519">
        <v>0</v>
      </c>
    </row>
    <row r="20" spans="1:6" ht="14.4" customHeight="1" x14ac:dyDescent="0.3">
      <c r="A20" s="528" t="s">
        <v>755</v>
      </c>
      <c r="B20" s="479"/>
      <c r="C20" s="486">
        <v>0</v>
      </c>
      <c r="D20" s="479">
        <v>242.10000000000002</v>
      </c>
      <c r="E20" s="486">
        <v>1</v>
      </c>
      <c r="F20" s="519">
        <v>242.10000000000002</v>
      </c>
    </row>
    <row r="21" spans="1:6" ht="14.4" customHeight="1" x14ac:dyDescent="0.3">
      <c r="A21" s="528" t="s">
        <v>756</v>
      </c>
      <c r="B21" s="479"/>
      <c r="C21" s="486">
        <v>0</v>
      </c>
      <c r="D21" s="479">
        <v>9237.44</v>
      </c>
      <c r="E21" s="486">
        <v>1</v>
      </c>
      <c r="F21" s="519">
        <v>9237.44</v>
      </c>
    </row>
    <row r="22" spans="1:6" ht="14.4" customHeight="1" x14ac:dyDescent="0.3">
      <c r="A22" s="528" t="s">
        <v>757</v>
      </c>
      <c r="B22" s="479"/>
      <c r="C22" s="486">
        <v>0</v>
      </c>
      <c r="D22" s="479">
        <v>93.43</v>
      </c>
      <c r="E22" s="486">
        <v>1</v>
      </c>
      <c r="F22" s="519">
        <v>93.43</v>
      </c>
    </row>
    <row r="23" spans="1:6" ht="14.4" customHeight="1" x14ac:dyDescent="0.3">
      <c r="A23" s="528" t="s">
        <v>758</v>
      </c>
      <c r="B23" s="479"/>
      <c r="C23" s="486">
        <v>0</v>
      </c>
      <c r="D23" s="479">
        <v>72.02</v>
      </c>
      <c r="E23" s="486">
        <v>1</v>
      </c>
      <c r="F23" s="519">
        <v>72.02</v>
      </c>
    </row>
    <row r="24" spans="1:6" ht="14.4" customHeight="1" x14ac:dyDescent="0.3">
      <c r="A24" s="528" t="s">
        <v>759</v>
      </c>
      <c r="B24" s="479"/>
      <c r="C24" s="486">
        <v>0</v>
      </c>
      <c r="D24" s="479">
        <v>468.54999999999995</v>
      </c>
      <c r="E24" s="486">
        <v>1</v>
      </c>
      <c r="F24" s="519">
        <v>468.54999999999995</v>
      </c>
    </row>
    <row r="25" spans="1:6" ht="14.4" customHeight="1" x14ac:dyDescent="0.3">
      <c r="A25" s="528" t="s">
        <v>760</v>
      </c>
      <c r="B25" s="479"/>
      <c r="C25" s="486">
        <v>0</v>
      </c>
      <c r="D25" s="479">
        <v>4448.0499999999993</v>
      </c>
      <c r="E25" s="486">
        <v>1</v>
      </c>
      <c r="F25" s="519">
        <v>4448.0499999999993</v>
      </c>
    </row>
    <row r="26" spans="1:6" ht="14.4" customHeight="1" x14ac:dyDescent="0.3">
      <c r="A26" s="528" t="s">
        <v>761</v>
      </c>
      <c r="B26" s="479"/>
      <c r="C26" s="486">
        <v>0</v>
      </c>
      <c r="D26" s="479">
        <v>62.64</v>
      </c>
      <c r="E26" s="486">
        <v>1</v>
      </c>
      <c r="F26" s="519">
        <v>62.64</v>
      </c>
    </row>
    <row r="27" spans="1:6" ht="14.4" customHeight="1" x14ac:dyDescent="0.3">
      <c r="A27" s="528" t="s">
        <v>762</v>
      </c>
      <c r="B27" s="479">
        <v>0</v>
      </c>
      <c r="C27" s="486"/>
      <c r="D27" s="479"/>
      <c r="E27" s="486"/>
      <c r="F27" s="519">
        <v>0</v>
      </c>
    </row>
    <row r="28" spans="1:6" ht="14.4" customHeight="1" x14ac:dyDescent="0.3">
      <c r="A28" s="528" t="s">
        <v>763</v>
      </c>
      <c r="B28" s="479"/>
      <c r="C28" s="486">
        <v>0</v>
      </c>
      <c r="D28" s="479">
        <v>2017.73</v>
      </c>
      <c r="E28" s="486">
        <v>1</v>
      </c>
      <c r="F28" s="519">
        <v>2017.73</v>
      </c>
    </row>
    <row r="29" spans="1:6" ht="14.4" customHeight="1" thickBot="1" x14ac:dyDescent="0.35">
      <c r="A29" s="529" t="s">
        <v>764</v>
      </c>
      <c r="B29" s="520"/>
      <c r="C29" s="521">
        <v>0</v>
      </c>
      <c r="D29" s="520">
        <v>386.16</v>
      </c>
      <c r="E29" s="521">
        <v>1</v>
      </c>
      <c r="F29" s="522">
        <v>386.16</v>
      </c>
    </row>
    <row r="30" spans="1:6" ht="14.4" customHeight="1" thickBot="1" x14ac:dyDescent="0.35">
      <c r="A30" s="523" t="s">
        <v>3</v>
      </c>
      <c r="B30" s="524">
        <v>2786.32</v>
      </c>
      <c r="C30" s="525">
        <v>8.4452877311882085E-2</v>
      </c>
      <c r="D30" s="524">
        <v>30206.28</v>
      </c>
      <c r="E30" s="525">
        <v>0.91554712268811811</v>
      </c>
      <c r="F30" s="526">
        <v>32992.599999999991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{1F4574E0-91C4-40F8-A857-F309287F7109}</x14:id>
        </ext>
      </extLst>
    </cfRule>
  </conditionalFormatting>
  <conditionalFormatting sqref="F11:F2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{CABF624E-B3B4-4395-9E26-25B41B415108}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4574E0-91C4-40F8-A857-F309287F71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CABF624E-B3B4-4395-9E26-25B41B4151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1" t="s">
        <v>784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25"/>
      <c r="M1" s="325"/>
    </row>
    <row r="2" spans="1:13" ht="14.4" customHeight="1" thickBot="1" x14ac:dyDescent="0.35">
      <c r="A2" s="235" t="s">
        <v>273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127</v>
      </c>
      <c r="F3" s="43">
        <f>SUBTOTAL(9,F6:F1048576)</f>
        <v>27</v>
      </c>
      <c r="G3" s="43">
        <f>SUBTOTAL(9,G6:G1048576)</f>
        <v>2786.3199999999997</v>
      </c>
      <c r="H3" s="44">
        <f>IF(M3=0,0,G3/M3)</f>
        <v>8.4452877311882057E-2</v>
      </c>
      <c r="I3" s="43">
        <f>SUBTOTAL(9,I6:I1048576)</f>
        <v>79</v>
      </c>
      <c r="J3" s="43">
        <f>SUBTOTAL(9,J6:J1048576)</f>
        <v>30206.279999999995</v>
      </c>
      <c r="K3" s="44">
        <f>IF(M3=0,0,J3/M3)</f>
        <v>0.91554712268811789</v>
      </c>
      <c r="L3" s="43">
        <f>SUBTOTAL(9,L6:L1048576)</f>
        <v>106</v>
      </c>
      <c r="M3" s="45">
        <f>SUBTOTAL(9,M6:M1048576)</f>
        <v>32992.6</v>
      </c>
    </row>
    <row r="4" spans="1:13" ht="14.4" customHeight="1" thickBot="1" x14ac:dyDescent="0.35">
      <c r="A4" s="41"/>
      <c r="B4" s="41"/>
      <c r="C4" s="41"/>
      <c r="D4" s="41"/>
      <c r="E4" s="42"/>
      <c r="F4" s="365" t="s">
        <v>129</v>
      </c>
      <c r="G4" s="366"/>
      <c r="H4" s="367"/>
      <c r="I4" s="368" t="s">
        <v>128</v>
      </c>
      <c r="J4" s="366"/>
      <c r="K4" s="367"/>
      <c r="L4" s="369" t="s">
        <v>3</v>
      </c>
      <c r="M4" s="370"/>
    </row>
    <row r="5" spans="1:13" ht="14.4" customHeight="1" thickBot="1" x14ac:dyDescent="0.35">
      <c r="A5" s="514" t="s">
        <v>134</v>
      </c>
      <c r="B5" s="531" t="s">
        <v>130</v>
      </c>
      <c r="C5" s="531" t="s">
        <v>70</v>
      </c>
      <c r="D5" s="531" t="s">
        <v>131</v>
      </c>
      <c r="E5" s="531" t="s">
        <v>132</v>
      </c>
      <c r="F5" s="532" t="s">
        <v>27</v>
      </c>
      <c r="G5" s="532" t="s">
        <v>13</v>
      </c>
      <c r="H5" s="516" t="s">
        <v>133</v>
      </c>
      <c r="I5" s="515" t="s">
        <v>27</v>
      </c>
      <c r="J5" s="532" t="s">
        <v>13</v>
      </c>
      <c r="K5" s="516" t="s">
        <v>133</v>
      </c>
      <c r="L5" s="515" t="s">
        <v>27</v>
      </c>
      <c r="M5" s="533" t="s">
        <v>13</v>
      </c>
    </row>
    <row r="6" spans="1:13" ht="14.4" customHeight="1" x14ac:dyDescent="0.3">
      <c r="A6" s="499" t="s">
        <v>445</v>
      </c>
      <c r="B6" s="500" t="s">
        <v>765</v>
      </c>
      <c r="C6" s="500" t="s">
        <v>491</v>
      </c>
      <c r="D6" s="500" t="s">
        <v>492</v>
      </c>
      <c r="E6" s="500" t="s">
        <v>493</v>
      </c>
      <c r="F6" s="116"/>
      <c r="G6" s="116"/>
      <c r="H6" s="505">
        <v>0</v>
      </c>
      <c r="I6" s="116">
        <v>2</v>
      </c>
      <c r="J6" s="116">
        <v>72.02</v>
      </c>
      <c r="K6" s="505">
        <v>1</v>
      </c>
      <c r="L6" s="116">
        <v>2</v>
      </c>
      <c r="M6" s="518">
        <v>72.02</v>
      </c>
    </row>
    <row r="7" spans="1:13" ht="14.4" customHeight="1" x14ac:dyDescent="0.3">
      <c r="A7" s="484" t="s">
        <v>445</v>
      </c>
      <c r="B7" s="478" t="s">
        <v>766</v>
      </c>
      <c r="C7" s="478" t="s">
        <v>479</v>
      </c>
      <c r="D7" s="478" t="s">
        <v>480</v>
      </c>
      <c r="E7" s="478" t="s">
        <v>481</v>
      </c>
      <c r="F7" s="479"/>
      <c r="G7" s="479"/>
      <c r="H7" s="486">
        <v>0</v>
      </c>
      <c r="I7" s="479">
        <v>3</v>
      </c>
      <c r="J7" s="479">
        <v>144.81</v>
      </c>
      <c r="K7" s="486">
        <v>1</v>
      </c>
      <c r="L7" s="479">
        <v>3</v>
      </c>
      <c r="M7" s="519">
        <v>144.81</v>
      </c>
    </row>
    <row r="8" spans="1:13" ht="14.4" customHeight="1" x14ac:dyDescent="0.3">
      <c r="A8" s="484" t="s">
        <v>445</v>
      </c>
      <c r="B8" s="478" t="s">
        <v>767</v>
      </c>
      <c r="C8" s="478" t="s">
        <v>475</v>
      </c>
      <c r="D8" s="478" t="s">
        <v>476</v>
      </c>
      <c r="E8" s="478" t="s">
        <v>477</v>
      </c>
      <c r="F8" s="479"/>
      <c r="G8" s="479"/>
      <c r="H8" s="486">
        <v>0</v>
      </c>
      <c r="I8" s="479">
        <v>1</v>
      </c>
      <c r="J8" s="479">
        <v>48.42</v>
      </c>
      <c r="K8" s="486">
        <v>1</v>
      </c>
      <c r="L8" s="479">
        <v>1</v>
      </c>
      <c r="M8" s="519">
        <v>48.42</v>
      </c>
    </row>
    <row r="9" spans="1:13" ht="14.4" customHeight="1" x14ac:dyDescent="0.3">
      <c r="A9" s="484" t="s">
        <v>445</v>
      </c>
      <c r="B9" s="478" t="s">
        <v>768</v>
      </c>
      <c r="C9" s="478" t="s">
        <v>495</v>
      </c>
      <c r="D9" s="478" t="s">
        <v>496</v>
      </c>
      <c r="E9" s="478" t="s">
        <v>497</v>
      </c>
      <c r="F9" s="479">
        <v>2</v>
      </c>
      <c r="G9" s="479">
        <v>241.54</v>
      </c>
      <c r="H9" s="486">
        <v>1</v>
      </c>
      <c r="I9" s="479"/>
      <c r="J9" s="479"/>
      <c r="K9" s="486">
        <v>0</v>
      </c>
      <c r="L9" s="479">
        <v>2</v>
      </c>
      <c r="M9" s="519">
        <v>241.54</v>
      </c>
    </row>
    <row r="10" spans="1:13" ht="14.4" customHeight="1" x14ac:dyDescent="0.3">
      <c r="A10" s="484" t="s">
        <v>447</v>
      </c>
      <c r="B10" s="478" t="s">
        <v>769</v>
      </c>
      <c r="C10" s="478" t="s">
        <v>523</v>
      </c>
      <c r="D10" s="478" t="s">
        <v>524</v>
      </c>
      <c r="E10" s="478" t="s">
        <v>525</v>
      </c>
      <c r="F10" s="479"/>
      <c r="G10" s="479"/>
      <c r="H10" s="486">
        <v>0</v>
      </c>
      <c r="I10" s="479">
        <v>2</v>
      </c>
      <c r="J10" s="479">
        <v>187.42</v>
      </c>
      <c r="K10" s="486">
        <v>1</v>
      </c>
      <c r="L10" s="479">
        <v>2</v>
      </c>
      <c r="M10" s="519">
        <v>187.42</v>
      </c>
    </row>
    <row r="11" spans="1:13" ht="14.4" customHeight="1" x14ac:dyDescent="0.3">
      <c r="A11" s="484" t="s">
        <v>447</v>
      </c>
      <c r="B11" s="478" t="s">
        <v>770</v>
      </c>
      <c r="C11" s="478" t="s">
        <v>527</v>
      </c>
      <c r="D11" s="478" t="s">
        <v>528</v>
      </c>
      <c r="E11" s="478" t="s">
        <v>529</v>
      </c>
      <c r="F11" s="479"/>
      <c r="G11" s="479"/>
      <c r="H11" s="486">
        <v>0</v>
      </c>
      <c r="I11" s="479">
        <v>2</v>
      </c>
      <c r="J11" s="479">
        <v>307.24</v>
      </c>
      <c r="K11" s="486">
        <v>1</v>
      </c>
      <c r="L11" s="479">
        <v>2</v>
      </c>
      <c r="M11" s="519">
        <v>307.24</v>
      </c>
    </row>
    <row r="12" spans="1:13" ht="14.4" customHeight="1" x14ac:dyDescent="0.3">
      <c r="A12" s="484" t="s">
        <v>447</v>
      </c>
      <c r="B12" s="478" t="s">
        <v>770</v>
      </c>
      <c r="C12" s="478" t="s">
        <v>713</v>
      </c>
      <c r="D12" s="478" t="s">
        <v>643</v>
      </c>
      <c r="E12" s="478" t="s">
        <v>529</v>
      </c>
      <c r="F12" s="479"/>
      <c r="G12" s="479"/>
      <c r="H12" s="486">
        <v>0</v>
      </c>
      <c r="I12" s="479">
        <v>1</v>
      </c>
      <c r="J12" s="479">
        <v>204.76</v>
      </c>
      <c r="K12" s="486">
        <v>1</v>
      </c>
      <c r="L12" s="479">
        <v>1</v>
      </c>
      <c r="M12" s="519">
        <v>204.76</v>
      </c>
    </row>
    <row r="13" spans="1:13" ht="14.4" customHeight="1" x14ac:dyDescent="0.3">
      <c r="A13" s="484" t="s">
        <v>447</v>
      </c>
      <c r="B13" s="478" t="s">
        <v>771</v>
      </c>
      <c r="C13" s="478" t="s">
        <v>511</v>
      </c>
      <c r="D13" s="478" t="s">
        <v>512</v>
      </c>
      <c r="E13" s="478" t="s">
        <v>513</v>
      </c>
      <c r="F13" s="479">
        <v>2</v>
      </c>
      <c r="G13" s="479">
        <v>223.44</v>
      </c>
      <c r="H13" s="486">
        <v>1</v>
      </c>
      <c r="I13" s="479"/>
      <c r="J13" s="479"/>
      <c r="K13" s="486">
        <v>0</v>
      </c>
      <c r="L13" s="479">
        <v>2</v>
      </c>
      <c r="M13" s="519">
        <v>223.44</v>
      </c>
    </row>
    <row r="14" spans="1:13" ht="14.4" customHeight="1" x14ac:dyDescent="0.3">
      <c r="A14" s="484" t="s">
        <v>447</v>
      </c>
      <c r="B14" s="478" t="s">
        <v>767</v>
      </c>
      <c r="C14" s="478" t="s">
        <v>475</v>
      </c>
      <c r="D14" s="478" t="s">
        <v>476</v>
      </c>
      <c r="E14" s="478" t="s">
        <v>477</v>
      </c>
      <c r="F14" s="479"/>
      <c r="G14" s="479"/>
      <c r="H14" s="486">
        <v>0</v>
      </c>
      <c r="I14" s="479">
        <v>1</v>
      </c>
      <c r="J14" s="479">
        <v>48.42</v>
      </c>
      <c r="K14" s="486">
        <v>1</v>
      </c>
      <c r="L14" s="479">
        <v>1</v>
      </c>
      <c r="M14" s="519">
        <v>48.42</v>
      </c>
    </row>
    <row r="15" spans="1:13" ht="14.4" customHeight="1" x14ac:dyDescent="0.3">
      <c r="A15" s="484" t="s">
        <v>448</v>
      </c>
      <c r="B15" s="478" t="s">
        <v>772</v>
      </c>
      <c r="C15" s="478" t="s">
        <v>574</v>
      </c>
      <c r="D15" s="478" t="s">
        <v>575</v>
      </c>
      <c r="E15" s="478" t="s">
        <v>576</v>
      </c>
      <c r="F15" s="479">
        <v>2</v>
      </c>
      <c r="G15" s="479">
        <v>0</v>
      </c>
      <c r="H15" s="486"/>
      <c r="I15" s="479"/>
      <c r="J15" s="479"/>
      <c r="K15" s="486"/>
      <c r="L15" s="479">
        <v>2</v>
      </c>
      <c r="M15" s="519">
        <v>0</v>
      </c>
    </row>
    <row r="16" spans="1:13" ht="14.4" customHeight="1" x14ac:dyDescent="0.3">
      <c r="A16" s="484" t="s">
        <v>448</v>
      </c>
      <c r="B16" s="478" t="s">
        <v>772</v>
      </c>
      <c r="C16" s="478" t="s">
        <v>577</v>
      </c>
      <c r="D16" s="478" t="s">
        <v>578</v>
      </c>
      <c r="E16" s="478" t="s">
        <v>579</v>
      </c>
      <c r="F16" s="479"/>
      <c r="G16" s="479"/>
      <c r="H16" s="486"/>
      <c r="I16" s="479">
        <v>1</v>
      </c>
      <c r="J16" s="479">
        <v>0</v>
      </c>
      <c r="K16" s="486"/>
      <c r="L16" s="479">
        <v>1</v>
      </c>
      <c r="M16" s="519">
        <v>0</v>
      </c>
    </row>
    <row r="17" spans="1:13" ht="14.4" customHeight="1" x14ac:dyDescent="0.3">
      <c r="A17" s="484" t="s">
        <v>448</v>
      </c>
      <c r="B17" s="478" t="s">
        <v>770</v>
      </c>
      <c r="C17" s="478" t="s">
        <v>527</v>
      </c>
      <c r="D17" s="478" t="s">
        <v>528</v>
      </c>
      <c r="E17" s="478" t="s">
        <v>529</v>
      </c>
      <c r="F17" s="479"/>
      <c r="G17" s="479"/>
      <c r="H17" s="486">
        <v>0</v>
      </c>
      <c r="I17" s="479">
        <v>3</v>
      </c>
      <c r="J17" s="479">
        <v>460.86</v>
      </c>
      <c r="K17" s="486">
        <v>1</v>
      </c>
      <c r="L17" s="479">
        <v>3</v>
      </c>
      <c r="M17" s="519">
        <v>460.86</v>
      </c>
    </row>
    <row r="18" spans="1:13" ht="14.4" customHeight="1" x14ac:dyDescent="0.3">
      <c r="A18" s="484" t="s">
        <v>448</v>
      </c>
      <c r="B18" s="478" t="s">
        <v>770</v>
      </c>
      <c r="C18" s="478" t="s">
        <v>639</v>
      </c>
      <c r="D18" s="478" t="s">
        <v>640</v>
      </c>
      <c r="E18" s="478" t="s">
        <v>641</v>
      </c>
      <c r="F18" s="479"/>
      <c r="G18" s="479"/>
      <c r="H18" s="486">
        <v>0</v>
      </c>
      <c r="I18" s="479">
        <v>1</v>
      </c>
      <c r="J18" s="479">
        <v>556.62</v>
      </c>
      <c r="K18" s="486">
        <v>1</v>
      </c>
      <c r="L18" s="479">
        <v>1</v>
      </c>
      <c r="M18" s="519">
        <v>556.62</v>
      </c>
    </row>
    <row r="19" spans="1:13" ht="14.4" customHeight="1" x14ac:dyDescent="0.3">
      <c r="A19" s="484" t="s">
        <v>448</v>
      </c>
      <c r="B19" s="478" t="s">
        <v>770</v>
      </c>
      <c r="C19" s="478" t="s">
        <v>642</v>
      </c>
      <c r="D19" s="478" t="s">
        <v>643</v>
      </c>
      <c r="E19" s="478" t="s">
        <v>641</v>
      </c>
      <c r="F19" s="479"/>
      <c r="G19" s="479"/>
      <c r="H19" s="486">
        <v>0</v>
      </c>
      <c r="I19" s="479">
        <v>1</v>
      </c>
      <c r="J19" s="479">
        <v>614.29999999999995</v>
      </c>
      <c r="K19" s="486">
        <v>1</v>
      </c>
      <c r="L19" s="479">
        <v>1</v>
      </c>
      <c r="M19" s="519">
        <v>614.29999999999995</v>
      </c>
    </row>
    <row r="20" spans="1:13" ht="14.4" customHeight="1" x14ac:dyDescent="0.3">
      <c r="A20" s="484" t="s">
        <v>448</v>
      </c>
      <c r="B20" s="478" t="s">
        <v>773</v>
      </c>
      <c r="C20" s="478" t="s">
        <v>535</v>
      </c>
      <c r="D20" s="478" t="s">
        <v>536</v>
      </c>
      <c r="E20" s="478" t="s">
        <v>537</v>
      </c>
      <c r="F20" s="479"/>
      <c r="G20" s="479"/>
      <c r="H20" s="486">
        <v>0</v>
      </c>
      <c r="I20" s="479">
        <v>1</v>
      </c>
      <c r="J20" s="479">
        <v>208.19</v>
      </c>
      <c r="K20" s="486">
        <v>1</v>
      </c>
      <c r="L20" s="479">
        <v>1</v>
      </c>
      <c r="M20" s="519">
        <v>208.19</v>
      </c>
    </row>
    <row r="21" spans="1:13" ht="14.4" customHeight="1" x14ac:dyDescent="0.3">
      <c r="A21" s="484" t="s">
        <v>448</v>
      </c>
      <c r="B21" s="478" t="s">
        <v>773</v>
      </c>
      <c r="C21" s="478" t="s">
        <v>538</v>
      </c>
      <c r="D21" s="478" t="s">
        <v>539</v>
      </c>
      <c r="E21" s="478" t="s">
        <v>540</v>
      </c>
      <c r="F21" s="479"/>
      <c r="G21" s="479"/>
      <c r="H21" s="486">
        <v>0</v>
      </c>
      <c r="I21" s="479">
        <v>1</v>
      </c>
      <c r="J21" s="479">
        <v>416.37</v>
      </c>
      <c r="K21" s="486">
        <v>1</v>
      </c>
      <c r="L21" s="479">
        <v>1</v>
      </c>
      <c r="M21" s="519">
        <v>416.37</v>
      </c>
    </row>
    <row r="22" spans="1:13" ht="14.4" customHeight="1" x14ac:dyDescent="0.3">
      <c r="A22" s="484" t="s">
        <v>448</v>
      </c>
      <c r="B22" s="478" t="s">
        <v>774</v>
      </c>
      <c r="C22" s="478" t="s">
        <v>568</v>
      </c>
      <c r="D22" s="478" t="s">
        <v>569</v>
      </c>
      <c r="E22" s="478" t="s">
        <v>570</v>
      </c>
      <c r="F22" s="479">
        <v>2</v>
      </c>
      <c r="G22" s="479">
        <v>158.96</v>
      </c>
      <c r="H22" s="486">
        <v>1</v>
      </c>
      <c r="I22" s="479"/>
      <c r="J22" s="479"/>
      <c r="K22" s="486">
        <v>0</v>
      </c>
      <c r="L22" s="479">
        <v>2</v>
      </c>
      <c r="M22" s="519">
        <v>158.96</v>
      </c>
    </row>
    <row r="23" spans="1:13" ht="14.4" customHeight="1" x14ac:dyDescent="0.3">
      <c r="A23" s="484" t="s">
        <v>448</v>
      </c>
      <c r="B23" s="478" t="s">
        <v>771</v>
      </c>
      <c r="C23" s="478" t="s">
        <v>608</v>
      </c>
      <c r="D23" s="478" t="s">
        <v>609</v>
      </c>
      <c r="E23" s="478" t="s">
        <v>610</v>
      </c>
      <c r="F23" s="479"/>
      <c r="G23" s="479"/>
      <c r="H23" s="486"/>
      <c r="I23" s="479">
        <v>4</v>
      </c>
      <c r="J23" s="479">
        <v>0</v>
      </c>
      <c r="K23" s="486"/>
      <c r="L23" s="479">
        <v>4</v>
      </c>
      <c r="M23" s="519">
        <v>0</v>
      </c>
    </row>
    <row r="24" spans="1:13" ht="14.4" customHeight="1" x14ac:dyDescent="0.3">
      <c r="A24" s="484" t="s">
        <v>448</v>
      </c>
      <c r="B24" s="478" t="s">
        <v>775</v>
      </c>
      <c r="C24" s="478" t="s">
        <v>542</v>
      </c>
      <c r="D24" s="478" t="s">
        <v>543</v>
      </c>
      <c r="E24" s="478" t="s">
        <v>544</v>
      </c>
      <c r="F24" s="479">
        <v>4</v>
      </c>
      <c r="G24" s="479">
        <v>850.36</v>
      </c>
      <c r="H24" s="486">
        <v>1</v>
      </c>
      <c r="I24" s="479"/>
      <c r="J24" s="479"/>
      <c r="K24" s="486">
        <v>0</v>
      </c>
      <c r="L24" s="479">
        <v>4</v>
      </c>
      <c r="M24" s="519">
        <v>850.36</v>
      </c>
    </row>
    <row r="25" spans="1:13" ht="14.4" customHeight="1" x14ac:dyDescent="0.3">
      <c r="A25" s="484" t="s">
        <v>448</v>
      </c>
      <c r="B25" s="478" t="s">
        <v>775</v>
      </c>
      <c r="C25" s="478" t="s">
        <v>545</v>
      </c>
      <c r="D25" s="478" t="s">
        <v>546</v>
      </c>
      <c r="E25" s="478" t="s">
        <v>544</v>
      </c>
      <c r="F25" s="479"/>
      <c r="G25" s="479"/>
      <c r="H25" s="486">
        <v>0</v>
      </c>
      <c r="I25" s="479">
        <v>2</v>
      </c>
      <c r="J25" s="479">
        <v>239.4</v>
      </c>
      <c r="K25" s="486">
        <v>1</v>
      </c>
      <c r="L25" s="479">
        <v>2</v>
      </c>
      <c r="M25" s="519">
        <v>239.4</v>
      </c>
    </row>
    <row r="26" spans="1:13" ht="14.4" customHeight="1" x14ac:dyDescent="0.3">
      <c r="A26" s="484" t="s">
        <v>448</v>
      </c>
      <c r="B26" s="478" t="s">
        <v>767</v>
      </c>
      <c r="C26" s="478" t="s">
        <v>475</v>
      </c>
      <c r="D26" s="478" t="s">
        <v>476</v>
      </c>
      <c r="E26" s="478" t="s">
        <v>477</v>
      </c>
      <c r="F26" s="479"/>
      <c r="G26" s="479"/>
      <c r="H26" s="486">
        <v>0</v>
      </c>
      <c r="I26" s="479">
        <v>3</v>
      </c>
      <c r="J26" s="479">
        <v>145.26</v>
      </c>
      <c r="K26" s="486">
        <v>1</v>
      </c>
      <c r="L26" s="479">
        <v>3</v>
      </c>
      <c r="M26" s="519">
        <v>145.26</v>
      </c>
    </row>
    <row r="27" spans="1:13" ht="14.4" customHeight="1" x14ac:dyDescent="0.3">
      <c r="A27" s="484" t="s">
        <v>448</v>
      </c>
      <c r="B27" s="478" t="s">
        <v>767</v>
      </c>
      <c r="C27" s="478" t="s">
        <v>631</v>
      </c>
      <c r="D27" s="478" t="s">
        <v>476</v>
      </c>
      <c r="E27" s="478" t="s">
        <v>632</v>
      </c>
      <c r="F27" s="479"/>
      <c r="G27" s="479"/>
      <c r="H27" s="486"/>
      <c r="I27" s="479">
        <v>7</v>
      </c>
      <c r="J27" s="479">
        <v>0</v>
      </c>
      <c r="K27" s="486"/>
      <c r="L27" s="479">
        <v>7</v>
      </c>
      <c r="M27" s="519">
        <v>0</v>
      </c>
    </row>
    <row r="28" spans="1:13" ht="14.4" customHeight="1" x14ac:dyDescent="0.3">
      <c r="A28" s="484" t="s">
        <v>448</v>
      </c>
      <c r="B28" s="478" t="s">
        <v>776</v>
      </c>
      <c r="C28" s="478" t="s">
        <v>649</v>
      </c>
      <c r="D28" s="478" t="s">
        <v>650</v>
      </c>
      <c r="E28" s="478" t="s">
        <v>651</v>
      </c>
      <c r="F28" s="479"/>
      <c r="G28" s="479"/>
      <c r="H28" s="486">
        <v>0</v>
      </c>
      <c r="I28" s="479">
        <v>1</v>
      </c>
      <c r="J28" s="479">
        <v>31.32</v>
      </c>
      <c r="K28" s="486">
        <v>1</v>
      </c>
      <c r="L28" s="479">
        <v>1</v>
      </c>
      <c r="M28" s="519">
        <v>31.32</v>
      </c>
    </row>
    <row r="29" spans="1:13" ht="14.4" customHeight="1" x14ac:dyDescent="0.3">
      <c r="A29" s="484" t="s">
        <v>448</v>
      </c>
      <c r="B29" s="478" t="s">
        <v>776</v>
      </c>
      <c r="C29" s="478" t="s">
        <v>652</v>
      </c>
      <c r="D29" s="478" t="s">
        <v>653</v>
      </c>
      <c r="E29" s="478" t="s">
        <v>654</v>
      </c>
      <c r="F29" s="479"/>
      <c r="G29" s="479"/>
      <c r="H29" s="486">
        <v>0</v>
      </c>
      <c r="I29" s="479">
        <v>1</v>
      </c>
      <c r="J29" s="479">
        <v>31.32</v>
      </c>
      <c r="K29" s="486">
        <v>1</v>
      </c>
      <c r="L29" s="479">
        <v>1</v>
      </c>
      <c r="M29" s="519">
        <v>31.32</v>
      </c>
    </row>
    <row r="30" spans="1:13" ht="14.4" customHeight="1" x14ac:dyDescent="0.3">
      <c r="A30" s="484" t="s">
        <v>449</v>
      </c>
      <c r="B30" s="478" t="s">
        <v>769</v>
      </c>
      <c r="C30" s="478" t="s">
        <v>523</v>
      </c>
      <c r="D30" s="478" t="s">
        <v>524</v>
      </c>
      <c r="E30" s="478" t="s">
        <v>525</v>
      </c>
      <c r="F30" s="479"/>
      <c r="G30" s="479"/>
      <c r="H30" s="486">
        <v>0</v>
      </c>
      <c r="I30" s="479">
        <v>3</v>
      </c>
      <c r="J30" s="479">
        <v>281.13</v>
      </c>
      <c r="K30" s="486">
        <v>1</v>
      </c>
      <c r="L30" s="479">
        <v>3</v>
      </c>
      <c r="M30" s="519">
        <v>281.13</v>
      </c>
    </row>
    <row r="31" spans="1:13" ht="14.4" customHeight="1" x14ac:dyDescent="0.3">
      <c r="A31" s="484" t="s">
        <v>449</v>
      </c>
      <c r="B31" s="478" t="s">
        <v>777</v>
      </c>
      <c r="C31" s="478" t="s">
        <v>687</v>
      </c>
      <c r="D31" s="478" t="s">
        <v>688</v>
      </c>
      <c r="E31" s="478" t="s">
        <v>689</v>
      </c>
      <c r="F31" s="479"/>
      <c r="G31" s="479"/>
      <c r="H31" s="486">
        <v>0</v>
      </c>
      <c r="I31" s="479">
        <v>4</v>
      </c>
      <c r="J31" s="479">
        <v>9237.44</v>
      </c>
      <c r="K31" s="486">
        <v>1</v>
      </c>
      <c r="L31" s="479">
        <v>4</v>
      </c>
      <c r="M31" s="519">
        <v>9237.44</v>
      </c>
    </row>
    <row r="32" spans="1:13" ht="14.4" customHeight="1" x14ac:dyDescent="0.3">
      <c r="A32" s="484" t="s">
        <v>449</v>
      </c>
      <c r="B32" s="478" t="s">
        <v>778</v>
      </c>
      <c r="C32" s="478" t="s">
        <v>675</v>
      </c>
      <c r="D32" s="478" t="s">
        <v>676</v>
      </c>
      <c r="E32" s="478" t="s">
        <v>677</v>
      </c>
      <c r="F32" s="479"/>
      <c r="G32" s="479"/>
      <c r="H32" s="486">
        <v>0</v>
      </c>
      <c r="I32" s="479">
        <v>1</v>
      </c>
      <c r="J32" s="479">
        <v>93.43</v>
      </c>
      <c r="K32" s="486">
        <v>1</v>
      </c>
      <c r="L32" s="479">
        <v>1</v>
      </c>
      <c r="M32" s="519">
        <v>93.43</v>
      </c>
    </row>
    <row r="33" spans="1:13" ht="14.4" customHeight="1" x14ac:dyDescent="0.3">
      <c r="A33" s="484" t="s">
        <v>449</v>
      </c>
      <c r="B33" s="478" t="s">
        <v>779</v>
      </c>
      <c r="C33" s="478" t="s">
        <v>671</v>
      </c>
      <c r="D33" s="478" t="s">
        <v>672</v>
      </c>
      <c r="E33" s="478" t="s">
        <v>673</v>
      </c>
      <c r="F33" s="479"/>
      <c r="G33" s="479"/>
      <c r="H33" s="486">
        <v>0</v>
      </c>
      <c r="I33" s="479">
        <v>6</v>
      </c>
      <c r="J33" s="479">
        <v>12157.92</v>
      </c>
      <c r="K33" s="486">
        <v>1</v>
      </c>
      <c r="L33" s="479">
        <v>6</v>
      </c>
      <c r="M33" s="519">
        <v>12157.92</v>
      </c>
    </row>
    <row r="34" spans="1:13" ht="14.4" customHeight="1" x14ac:dyDescent="0.3">
      <c r="A34" s="484" t="s">
        <v>449</v>
      </c>
      <c r="B34" s="478" t="s">
        <v>780</v>
      </c>
      <c r="C34" s="478" t="s">
        <v>732</v>
      </c>
      <c r="D34" s="478" t="s">
        <v>733</v>
      </c>
      <c r="E34" s="478" t="s">
        <v>694</v>
      </c>
      <c r="F34" s="479"/>
      <c r="G34" s="479"/>
      <c r="H34" s="486">
        <v>0</v>
      </c>
      <c r="I34" s="479">
        <v>4</v>
      </c>
      <c r="J34" s="479">
        <v>640.4</v>
      </c>
      <c r="K34" s="486">
        <v>1</v>
      </c>
      <c r="L34" s="479">
        <v>4</v>
      </c>
      <c r="M34" s="519">
        <v>640.4</v>
      </c>
    </row>
    <row r="35" spans="1:13" ht="14.4" customHeight="1" x14ac:dyDescent="0.3">
      <c r="A35" s="484" t="s">
        <v>449</v>
      </c>
      <c r="B35" s="478" t="s">
        <v>780</v>
      </c>
      <c r="C35" s="478" t="s">
        <v>692</v>
      </c>
      <c r="D35" s="478" t="s">
        <v>693</v>
      </c>
      <c r="E35" s="478" t="s">
        <v>694</v>
      </c>
      <c r="F35" s="479">
        <v>6</v>
      </c>
      <c r="G35" s="479">
        <v>960.59999999999991</v>
      </c>
      <c r="H35" s="486">
        <v>1</v>
      </c>
      <c r="I35" s="479"/>
      <c r="J35" s="479"/>
      <c r="K35" s="486">
        <v>0</v>
      </c>
      <c r="L35" s="479">
        <v>6</v>
      </c>
      <c r="M35" s="519">
        <v>960.59999999999991</v>
      </c>
    </row>
    <row r="36" spans="1:13" ht="14.4" customHeight="1" x14ac:dyDescent="0.3">
      <c r="A36" s="484" t="s">
        <v>449</v>
      </c>
      <c r="B36" s="478" t="s">
        <v>781</v>
      </c>
      <c r="C36" s="478" t="s">
        <v>729</v>
      </c>
      <c r="D36" s="478" t="s">
        <v>730</v>
      </c>
      <c r="E36" s="478" t="s">
        <v>731</v>
      </c>
      <c r="F36" s="479">
        <v>2</v>
      </c>
      <c r="G36" s="479">
        <v>281.2</v>
      </c>
      <c r="H36" s="486">
        <v>1</v>
      </c>
      <c r="I36" s="479"/>
      <c r="J36" s="479"/>
      <c r="K36" s="486">
        <v>0</v>
      </c>
      <c r="L36" s="479">
        <v>2</v>
      </c>
      <c r="M36" s="519">
        <v>281.2</v>
      </c>
    </row>
    <row r="37" spans="1:13" ht="14.4" customHeight="1" x14ac:dyDescent="0.3">
      <c r="A37" s="484" t="s">
        <v>449</v>
      </c>
      <c r="B37" s="478" t="s">
        <v>782</v>
      </c>
      <c r="C37" s="478" t="s">
        <v>702</v>
      </c>
      <c r="D37" s="478" t="s">
        <v>703</v>
      </c>
      <c r="E37" s="478" t="s">
        <v>704</v>
      </c>
      <c r="F37" s="479"/>
      <c r="G37" s="479"/>
      <c r="H37" s="486">
        <v>0</v>
      </c>
      <c r="I37" s="479">
        <v>4</v>
      </c>
      <c r="J37" s="479">
        <v>140.44</v>
      </c>
      <c r="K37" s="486">
        <v>1</v>
      </c>
      <c r="L37" s="479">
        <v>4</v>
      </c>
      <c r="M37" s="519">
        <v>140.44</v>
      </c>
    </row>
    <row r="38" spans="1:13" ht="14.4" customHeight="1" x14ac:dyDescent="0.3">
      <c r="A38" s="484" t="s">
        <v>449</v>
      </c>
      <c r="B38" s="478" t="s">
        <v>782</v>
      </c>
      <c r="C38" s="478" t="s">
        <v>705</v>
      </c>
      <c r="D38" s="478" t="s">
        <v>706</v>
      </c>
      <c r="E38" s="478" t="s">
        <v>704</v>
      </c>
      <c r="F38" s="479">
        <v>2</v>
      </c>
      <c r="G38" s="479">
        <v>70.22</v>
      </c>
      <c r="H38" s="486">
        <v>1</v>
      </c>
      <c r="I38" s="479"/>
      <c r="J38" s="479"/>
      <c r="K38" s="486">
        <v>0</v>
      </c>
      <c r="L38" s="479">
        <v>2</v>
      </c>
      <c r="M38" s="519">
        <v>70.22</v>
      </c>
    </row>
    <row r="39" spans="1:13" ht="14.4" customHeight="1" x14ac:dyDescent="0.3">
      <c r="A39" s="484" t="s">
        <v>449</v>
      </c>
      <c r="B39" s="478" t="s">
        <v>766</v>
      </c>
      <c r="C39" s="478" t="s">
        <v>479</v>
      </c>
      <c r="D39" s="478" t="s">
        <v>480</v>
      </c>
      <c r="E39" s="478" t="s">
        <v>481</v>
      </c>
      <c r="F39" s="479"/>
      <c r="G39" s="479"/>
      <c r="H39" s="486">
        <v>0</v>
      </c>
      <c r="I39" s="479">
        <v>5</v>
      </c>
      <c r="J39" s="479">
        <v>241.35000000000002</v>
      </c>
      <c r="K39" s="486">
        <v>1</v>
      </c>
      <c r="L39" s="479">
        <v>5</v>
      </c>
      <c r="M39" s="519">
        <v>241.35000000000002</v>
      </c>
    </row>
    <row r="40" spans="1:13" ht="14.4" customHeight="1" x14ac:dyDescent="0.3">
      <c r="A40" s="484" t="s">
        <v>449</v>
      </c>
      <c r="B40" s="478" t="s">
        <v>770</v>
      </c>
      <c r="C40" s="478" t="s">
        <v>527</v>
      </c>
      <c r="D40" s="478" t="s">
        <v>528</v>
      </c>
      <c r="E40" s="478" t="s">
        <v>529</v>
      </c>
      <c r="F40" s="479"/>
      <c r="G40" s="479"/>
      <c r="H40" s="486">
        <v>0</v>
      </c>
      <c r="I40" s="479">
        <v>6</v>
      </c>
      <c r="J40" s="479">
        <v>921.72</v>
      </c>
      <c r="K40" s="486">
        <v>1</v>
      </c>
      <c r="L40" s="479">
        <v>6</v>
      </c>
      <c r="M40" s="519">
        <v>921.72</v>
      </c>
    </row>
    <row r="41" spans="1:13" ht="14.4" customHeight="1" x14ac:dyDescent="0.3">
      <c r="A41" s="484" t="s">
        <v>449</v>
      </c>
      <c r="B41" s="478" t="s">
        <v>770</v>
      </c>
      <c r="C41" s="478" t="s">
        <v>690</v>
      </c>
      <c r="D41" s="478" t="s">
        <v>528</v>
      </c>
      <c r="E41" s="478" t="s">
        <v>641</v>
      </c>
      <c r="F41" s="479"/>
      <c r="G41" s="479"/>
      <c r="H41" s="486">
        <v>0</v>
      </c>
      <c r="I41" s="479">
        <v>3</v>
      </c>
      <c r="J41" s="479">
        <v>1382.5500000000002</v>
      </c>
      <c r="K41" s="486">
        <v>1</v>
      </c>
      <c r="L41" s="479">
        <v>3</v>
      </c>
      <c r="M41" s="519">
        <v>1382.5500000000002</v>
      </c>
    </row>
    <row r="42" spans="1:13" ht="14.4" customHeight="1" x14ac:dyDescent="0.3">
      <c r="A42" s="484" t="s">
        <v>449</v>
      </c>
      <c r="B42" s="478" t="s">
        <v>783</v>
      </c>
      <c r="C42" s="478" t="s">
        <v>735</v>
      </c>
      <c r="D42" s="478" t="s">
        <v>736</v>
      </c>
      <c r="E42" s="478" t="s">
        <v>737</v>
      </c>
      <c r="F42" s="479">
        <v>2</v>
      </c>
      <c r="G42" s="479">
        <v>0</v>
      </c>
      <c r="H42" s="486"/>
      <c r="I42" s="479"/>
      <c r="J42" s="479"/>
      <c r="K42" s="486"/>
      <c r="L42" s="479">
        <v>2</v>
      </c>
      <c r="M42" s="519">
        <v>0</v>
      </c>
    </row>
    <row r="43" spans="1:13" ht="14.4" customHeight="1" x14ac:dyDescent="0.3">
      <c r="A43" s="484" t="s">
        <v>449</v>
      </c>
      <c r="B43" s="478" t="s">
        <v>783</v>
      </c>
      <c r="C43" s="478" t="s">
        <v>738</v>
      </c>
      <c r="D43" s="478" t="s">
        <v>736</v>
      </c>
      <c r="E43" s="478" t="s">
        <v>739</v>
      </c>
      <c r="F43" s="479">
        <v>3</v>
      </c>
      <c r="G43" s="479">
        <v>0</v>
      </c>
      <c r="H43" s="486"/>
      <c r="I43" s="479"/>
      <c r="J43" s="479"/>
      <c r="K43" s="486"/>
      <c r="L43" s="479">
        <v>3</v>
      </c>
      <c r="M43" s="519">
        <v>0</v>
      </c>
    </row>
    <row r="44" spans="1:13" ht="14.4" customHeight="1" x14ac:dyDescent="0.3">
      <c r="A44" s="484" t="s">
        <v>449</v>
      </c>
      <c r="B44" s="478" t="s">
        <v>773</v>
      </c>
      <c r="C44" s="478" t="s">
        <v>668</v>
      </c>
      <c r="D44" s="478" t="s">
        <v>536</v>
      </c>
      <c r="E44" s="478" t="s">
        <v>669</v>
      </c>
      <c r="F44" s="479"/>
      <c r="G44" s="479"/>
      <c r="H44" s="486">
        <v>0</v>
      </c>
      <c r="I44" s="479">
        <v>2</v>
      </c>
      <c r="J44" s="479">
        <v>124.92</v>
      </c>
      <c r="K44" s="486">
        <v>1</v>
      </c>
      <c r="L44" s="479">
        <v>2</v>
      </c>
      <c r="M44" s="519">
        <v>124.92</v>
      </c>
    </row>
    <row r="45" spans="1:13" ht="14.4" customHeight="1" x14ac:dyDescent="0.3">
      <c r="A45" s="484" t="s">
        <v>449</v>
      </c>
      <c r="B45" s="478" t="s">
        <v>773</v>
      </c>
      <c r="C45" s="478" t="s">
        <v>535</v>
      </c>
      <c r="D45" s="478" t="s">
        <v>536</v>
      </c>
      <c r="E45" s="478" t="s">
        <v>537</v>
      </c>
      <c r="F45" s="479"/>
      <c r="G45" s="479"/>
      <c r="H45" s="486">
        <v>0</v>
      </c>
      <c r="I45" s="479">
        <v>1</v>
      </c>
      <c r="J45" s="479">
        <v>208.19</v>
      </c>
      <c r="K45" s="486">
        <v>1</v>
      </c>
      <c r="L45" s="479">
        <v>1</v>
      </c>
      <c r="M45" s="519">
        <v>208.19</v>
      </c>
    </row>
    <row r="46" spans="1:13" ht="14.4" customHeight="1" x14ac:dyDescent="0.3">
      <c r="A46" s="484" t="s">
        <v>449</v>
      </c>
      <c r="B46" s="478" t="s">
        <v>773</v>
      </c>
      <c r="C46" s="478" t="s">
        <v>538</v>
      </c>
      <c r="D46" s="478" t="s">
        <v>539</v>
      </c>
      <c r="E46" s="478" t="s">
        <v>540</v>
      </c>
      <c r="F46" s="479"/>
      <c r="G46" s="479"/>
      <c r="H46" s="486">
        <v>0</v>
      </c>
      <c r="I46" s="479">
        <v>1</v>
      </c>
      <c r="J46" s="479">
        <v>416.37</v>
      </c>
      <c r="K46" s="486">
        <v>1</v>
      </c>
      <c r="L46" s="479">
        <v>1</v>
      </c>
      <c r="M46" s="519">
        <v>416.37</v>
      </c>
    </row>
    <row r="47" spans="1:13" ht="14.4" customHeight="1" thickBot="1" x14ac:dyDescent="0.35">
      <c r="A47" s="485" t="s">
        <v>449</v>
      </c>
      <c r="B47" s="480" t="s">
        <v>773</v>
      </c>
      <c r="C47" s="480" t="s">
        <v>718</v>
      </c>
      <c r="D47" s="480" t="s">
        <v>719</v>
      </c>
      <c r="E47" s="480" t="s">
        <v>720</v>
      </c>
      <c r="F47" s="458"/>
      <c r="G47" s="458"/>
      <c r="H47" s="459">
        <v>0</v>
      </c>
      <c r="I47" s="458">
        <v>1</v>
      </c>
      <c r="J47" s="458">
        <v>643.69000000000005</v>
      </c>
      <c r="K47" s="459">
        <v>1</v>
      </c>
      <c r="L47" s="458">
        <v>1</v>
      </c>
      <c r="M47" s="468">
        <v>643.69000000000005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273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237</v>
      </c>
      <c r="C4" s="352" t="s">
        <v>72</v>
      </c>
      <c r="D4" s="353"/>
      <c r="E4" s="300"/>
      <c r="F4" s="295" t="s">
        <v>72</v>
      </c>
      <c r="G4" s="296" t="s">
        <v>73</v>
      </c>
      <c r="H4" s="296" t="s">
        <v>67</v>
      </c>
      <c r="I4" s="297" t="s">
        <v>74</v>
      </c>
    </row>
    <row r="5" spans="1:10" ht="14.4" customHeight="1" x14ac:dyDescent="0.3">
      <c r="A5" s="444" t="s">
        <v>423</v>
      </c>
      <c r="B5" s="445" t="s">
        <v>424</v>
      </c>
      <c r="C5" s="446" t="s">
        <v>425</v>
      </c>
      <c r="D5" s="446" t="s">
        <v>425</v>
      </c>
      <c r="E5" s="446"/>
      <c r="F5" s="446" t="s">
        <v>425</v>
      </c>
      <c r="G5" s="446" t="s">
        <v>425</v>
      </c>
      <c r="H5" s="446" t="s">
        <v>425</v>
      </c>
      <c r="I5" s="447" t="s">
        <v>425</v>
      </c>
      <c r="J5" s="448" t="s">
        <v>68</v>
      </c>
    </row>
    <row r="6" spans="1:10" ht="14.4" customHeight="1" x14ac:dyDescent="0.3">
      <c r="A6" s="444" t="s">
        <v>423</v>
      </c>
      <c r="B6" s="445" t="s">
        <v>284</v>
      </c>
      <c r="C6" s="446">
        <v>0</v>
      </c>
      <c r="D6" s="446">
        <v>0</v>
      </c>
      <c r="E6" s="446"/>
      <c r="F6" s="446">
        <v>0</v>
      </c>
      <c r="G6" s="446">
        <v>0.49999998425116665</v>
      </c>
      <c r="H6" s="446">
        <v>-0.49999998425116665</v>
      </c>
      <c r="I6" s="447">
        <v>0</v>
      </c>
      <c r="J6" s="448" t="s">
        <v>1</v>
      </c>
    </row>
    <row r="7" spans="1:10" ht="14.4" customHeight="1" x14ac:dyDescent="0.3">
      <c r="A7" s="444" t="s">
        <v>423</v>
      </c>
      <c r="B7" s="445" t="s">
        <v>285</v>
      </c>
      <c r="C7" s="446">
        <v>0</v>
      </c>
      <c r="D7" s="446">
        <v>0</v>
      </c>
      <c r="E7" s="446"/>
      <c r="F7" s="446">
        <v>0</v>
      </c>
      <c r="G7" s="446">
        <v>6.9559997809000004E-2</v>
      </c>
      <c r="H7" s="446">
        <v>-6.9559997809000004E-2</v>
      </c>
      <c r="I7" s="447">
        <v>0</v>
      </c>
      <c r="J7" s="448" t="s">
        <v>1</v>
      </c>
    </row>
    <row r="8" spans="1:10" ht="14.4" customHeight="1" x14ac:dyDescent="0.3">
      <c r="A8" s="444" t="s">
        <v>423</v>
      </c>
      <c r="B8" s="445" t="s">
        <v>286</v>
      </c>
      <c r="C8" s="446">
        <v>0</v>
      </c>
      <c r="D8" s="446">
        <v>1.05145</v>
      </c>
      <c r="E8" s="446"/>
      <c r="F8" s="446">
        <v>0.49199999999999999</v>
      </c>
      <c r="G8" s="446">
        <v>3.9999998740096667</v>
      </c>
      <c r="H8" s="446">
        <v>-3.5079998740096667</v>
      </c>
      <c r="I8" s="447">
        <v>0.12300000387420287</v>
      </c>
      <c r="J8" s="448" t="s">
        <v>1</v>
      </c>
    </row>
    <row r="9" spans="1:10" ht="14.4" customHeight="1" x14ac:dyDescent="0.3">
      <c r="A9" s="444" t="s">
        <v>423</v>
      </c>
      <c r="B9" s="445" t="s">
        <v>287</v>
      </c>
      <c r="C9" s="446" t="s">
        <v>425</v>
      </c>
      <c r="D9" s="446">
        <v>0</v>
      </c>
      <c r="E9" s="446"/>
      <c r="F9" s="446">
        <v>0</v>
      </c>
      <c r="G9" s="446">
        <v>2.9166665747833331E-2</v>
      </c>
      <c r="H9" s="446">
        <v>-2.9166665747833331E-2</v>
      </c>
      <c r="I9" s="447">
        <v>0</v>
      </c>
      <c r="J9" s="448" t="s">
        <v>1</v>
      </c>
    </row>
    <row r="10" spans="1:10" ht="14.4" customHeight="1" x14ac:dyDescent="0.3">
      <c r="A10" s="444" t="s">
        <v>423</v>
      </c>
      <c r="B10" s="445" t="s">
        <v>289</v>
      </c>
      <c r="C10" s="446">
        <v>0</v>
      </c>
      <c r="D10" s="446">
        <v>0</v>
      </c>
      <c r="E10" s="446"/>
      <c r="F10" s="446">
        <v>0</v>
      </c>
      <c r="G10" s="446">
        <v>0.16666666141700001</v>
      </c>
      <c r="H10" s="446">
        <v>-0.16666666141700001</v>
      </c>
      <c r="I10" s="447">
        <v>0</v>
      </c>
      <c r="J10" s="448" t="s">
        <v>1</v>
      </c>
    </row>
    <row r="11" spans="1:10" ht="14.4" customHeight="1" x14ac:dyDescent="0.3">
      <c r="A11" s="444" t="s">
        <v>423</v>
      </c>
      <c r="B11" s="445" t="s">
        <v>290</v>
      </c>
      <c r="C11" s="446" t="s">
        <v>425</v>
      </c>
      <c r="D11" s="446" t="s">
        <v>425</v>
      </c>
      <c r="E11" s="446"/>
      <c r="F11" s="446">
        <v>2.784E-2</v>
      </c>
      <c r="G11" s="446">
        <v>0</v>
      </c>
      <c r="H11" s="446">
        <v>2.784E-2</v>
      </c>
      <c r="I11" s="447" t="s">
        <v>425</v>
      </c>
      <c r="J11" s="448" t="s">
        <v>1</v>
      </c>
    </row>
    <row r="12" spans="1:10" ht="14.4" customHeight="1" x14ac:dyDescent="0.3">
      <c r="A12" s="444" t="s">
        <v>423</v>
      </c>
      <c r="B12" s="445" t="s">
        <v>427</v>
      </c>
      <c r="C12" s="446">
        <v>0</v>
      </c>
      <c r="D12" s="446">
        <v>1.05145</v>
      </c>
      <c r="E12" s="446"/>
      <c r="F12" s="446">
        <v>0.51983999999999997</v>
      </c>
      <c r="G12" s="446">
        <v>4.765393183234667</v>
      </c>
      <c r="H12" s="446">
        <v>-4.2455531832346667</v>
      </c>
      <c r="I12" s="447">
        <v>0.10908648667834403</v>
      </c>
      <c r="J12" s="448" t="s">
        <v>428</v>
      </c>
    </row>
    <row r="14" spans="1:10" ht="14.4" customHeight="1" x14ac:dyDescent="0.3">
      <c r="A14" s="444" t="s">
        <v>423</v>
      </c>
      <c r="B14" s="445" t="s">
        <v>424</v>
      </c>
      <c r="C14" s="446" t="s">
        <v>425</v>
      </c>
      <c r="D14" s="446" t="s">
        <v>425</v>
      </c>
      <c r="E14" s="446"/>
      <c r="F14" s="446" t="s">
        <v>425</v>
      </c>
      <c r="G14" s="446" t="s">
        <v>425</v>
      </c>
      <c r="H14" s="446" t="s">
        <v>425</v>
      </c>
      <c r="I14" s="447" t="s">
        <v>425</v>
      </c>
      <c r="J14" s="448" t="s">
        <v>68</v>
      </c>
    </row>
    <row r="15" spans="1:10" ht="14.4" customHeight="1" x14ac:dyDescent="0.3">
      <c r="A15" s="444" t="s">
        <v>429</v>
      </c>
      <c r="B15" s="445" t="s">
        <v>430</v>
      </c>
      <c r="C15" s="446" t="s">
        <v>425</v>
      </c>
      <c r="D15" s="446" t="s">
        <v>425</v>
      </c>
      <c r="E15" s="446"/>
      <c r="F15" s="446" t="s">
        <v>425</v>
      </c>
      <c r="G15" s="446" t="s">
        <v>425</v>
      </c>
      <c r="H15" s="446" t="s">
        <v>425</v>
      </c>
      <c r="I15" s="447" t="s">
        <v>425</v>
      </c>
      <c r="J15" s="448" t="s">
        <v>0</v>
      </c>
    </row>
    <row r="16" spans="1:10" ht="14.4" customHeight="1" x14ac:dyDescent="0.3">
      <c r="A16" s="444" t="s">
        <v>429</v>
      </c>
      <c r="B16" s="445" t="s">
        <v>284</v>
      </c>
      <c r="C16" s="446">
        <v>0</v>
      </c>
      <c r="D16" s="446">
        <v>0</v>
      </c>
      <c r="E16" s="446"/>
      <c r="F16" s="446">
        <v>0</v>
      </c>
      <c r="G16" s="446">
        <v>0.49999998425116665</v>
      </c>
      <c r="H16" s="446">
        <v>-0.49999998425116665</v>
      </c>
      <c r="I16" s="447">
        <v>0</v>
      </c>
      <c r="J16" s="448" t="s">
        <v>1</v>
      </c>
    </row>
    <row r="17" spans="1:10" ht="14.4" customHeight="1" x14ac:dyDescent="0.3">
      <c r="A17" s="444" t="s">
        <v>429</v>
      </c>
      <c r="B17" s="445" t="s">
        <v>285</v>
      </c>
      <c r="C17" s="446">
        <v>0</v>
      </c>
      <c r="D17" s="446">
        <v>0</v>
      </c>
      <c r="E17" s="446"/>
      <c r="F17" s="446">
        <v>0</v>
      </c>
      <c r="G17" s="446">
        <v>6.9559997809000004E-2</v>
      </c>
      <c r="H17" s="446">
        <v>-6.9559997809000004E-2</v>
      </c>
      <c r="I17" s="447">
        <v>0</v>
      </c>
      <c r="J17" s="448" t="s">
        <v>1</v>
      </c>
    </row>
    <row r="18" spans="1:10" ht="14.4" customHeight="1" x14ac:dyDescent="0.3">
      <c r="A18" s="444" t="s">
        <v>429</v>
      </c>
      <c r="B18" s="445" t="s">
        <v>286</v>
      </c>
      <c r="C18" s="446">
        <v>0</v>
      </c>
      <c r="D18" s="446">
        <v>1.05145</v>
      </c>
      <c r="E18" s="446"/>
      <c r="F18" s="446">
        <v>0.49199999999999999</v>
      </c>
      <c r="G18" s="446">
        <v>3.9999998740096667</v>
      </c>
      <c r="H18" s="446">
        <v>-3.5079998740096667</v>
      </c>
      <c r="I18" s="447">
        <v>0.12300000387420287</v>
      </c>
      <c r="J18" s="448" t="s">
        <v>1</v>
      </c>
    </row>
    <row r="19" spans="1:10" ht="14.4" customHeight="1" x14ac:dyDescent="0.3">
      <c r="A19" s="444" t="s">
        <v>429</v>
      </c>
      <c r="B19" s="445" t="s">
        <v>287</v>
      </c>
      <c r="C19" s="446" t="s">
        <v>425</v>
      </c>
      <c r="D19" s="446">
        <v>0</v>
      </c>
      <c r="E19" s="446"/>
      <c r="F19" s="446">
        <v>0</v>
      </c>
      <c r="G19" s="446">
        <v>2.9166665747833331E-2</v>
      </c>
      <c r="H19" s="446">
        <v>-2.9166665747833331E-2</v>
      </c>
      <c r="I19" s="447">
        <v>0</v>
      </c>
      <c r="J19" s="448" t="s">
        <v>1</v>
      </c>
    </row>
    <row r="20" spans="1:10" ht="14.4" customHeight="1" x14ac:dyDescent="0.3">
      <c r="A20" s="444" t="s">
        <v>429</v>
      </c>
      <c r="B20" s="445" t="s">
        <v>289</v>
      </c>
      <c r="C20" s="446">
        <v>0</v>
      </c>
      <c r="D20" s="446">
        <v>0</v>
      </c>
      <c r="E20" s="446"/>
      <c r="F20" s="446">
        <v>0</v>
      </c>
      <c r="G20" s="446">
        <v>0.16666666141700001</v>
      </c>
      <c r="H20" s="446">
        <v>-0.16666666141700001</v>
      </c>
      <c r="I20" s="447">
        <v>0</v>
      </c>
      <c r="J20" s="448" t="s">
        <v>1</v>
      </c>
    </row>
    <row r="21" spans="1:10" ht="14.4" customHeight="1" x14ac:dyDescent="0.3">
      <c r="A21" s="444" t="s">
        <v>429</v>
      </c>
      <c r="B21" s="445" t="s">
        <v>290</v>
      </c>
      <c r="C21" s="446" t="s">
        <v>425</v>
      </c>
      <c r="D21" s="446" t="s">
        <v>425</v>
      </c>
      <c r="E21" s="446"/>
      <c r="F21" s="446">
        <v>2.784E-2</v>
      </c>
      <c r="G21" s="446">
        <v>0</v>
      </c>
      <c r="H21" s="446">
        <v>2.784E-2</v>
      </c>
      <c r="I21" s="447" t="s">
        <v>425</v>
      </c>
      <c r="J21" s="448" t="s">
        <v>1</v>
      </c>
    </row>
    <row r="22" spans="1:10" ht="14.4" customHeight="1" x14ac:dyDescent="0.3">
      <c r="A22" s="444" t="s">
        <v>429</v>
      </c>
      <c r="B22" s="445" t="s">
        <v>431</v>
      </c>
      <c r="C22" s="446">
        <v>0</v>
      </c>
      <c r="D22" s="446">
        <v>1.05145</v>
      </c>
      <c r="E22" s="446"/>
      <c r="F22" s="446">
        <v>0.51983999999999997</v>
      </c>
      <c r="G22" s="446">
        <v>4.765393183234667</v>
      </c>
      <c r="H22" s="446">
        <v>-4.2455531832346667</v>
      </c>
      <c r="I22" s="447">
        <v>0.10908648667834403</v>
      </c>
      <c r="J22" s="448" t="s">
        <v>432</v>
      </c>
    </row>
    <row r="23" spans="1:10" ht="14.4" customHeight="1" x14ac:dyDescent="0.3">
      <c r="A23" s="444" t="s">
        <v>425</v>
      </c>
      <c r="B23" s="445" t="s">
        <v>425</v>
      </c>
      <c r="C23" s="446" t="s">
        <v>425</v>
      </c>
      <c r="D23" s="446" t="s">
        <v>425</v>
      </c>
      <c r="E23" s="446"/>
      <c r="F23" s="446" t="s">
        <v>425</v>
      </c>
      <c r="G23" s="446" t="s">
        <v>425</v>
      </c>
      <c r="H23" s="446" t="s">
        <v>425</v>
      </c>
      <c r="I23" s="447" t="s">
        <v>425</v>
      </c>
      <c r="J23" s="448" t="s">
        <v>433</v>
      </c>
    </row>
    <row r="24" spans="1:10" ht="14.4" customHeight="1" x14ac:dyDescent="0.3">
      <c r="A24" s="444" t="s">
        <v>785</v>
      </c>
      <c r="B24" s="445" t="s">
        <v>786</v>
      </c>
      <c r="C24" s="446" t="s">
        <v>425</v>
      </c>
      <c r="D24" s="446" t="s">
        <v>425</v>
      </c>
      <c r="E24" s="446"/>
      <c r="F24" s="446" t="s">
        <v>425</v>
      </c>
      <c r="G24" s="446" t="s">
        <v>425</v>
      </c>
      <c r="H24" s="446" t="s">
        <v>425</v>
      </c>
      <c r="I24" s="447" t="s">
        <v>425</v>
      </c>
      <c r="J24" s="448" t="s">
        <v>0</v>
      </c>
    </row>
    <row r="25" spans="1:10" ht="14.4" customHeight="1" x14ac:dyDescent="0.3">
      <c r="A25" s="444" t="s">
        <v>785</v>
      </c>
      <c r="B25" s="445" t="s">
        <v>286</v>
      </c>
      <c r="C25" s="446">
        <v>0</v>
      </c>
      <c r="D25" s="446">
        <v>0</v>
      </c>
      <c r="E25" s="446"/>
      <c r="F25" s="446" t="s">
        <v>425</v>
      </c>
      <c r="G25" s="446" t="s">
        <v>425</v>
      </c>
      <c r="H25" s="446" t="s">
        <v>425</v>
      </c>
      <c r="I25" s="447" t="s">
        <v>425</v>
      </c>
      <c r="J25" s="448" t="s">
        <v>1</v>
      </c>
    </row>
    <row r="26" spans="1:10" ht="14.4" customHeight="1" x14ac:dyDescent="0.3">
      <c r="A26" s="444" t="s">
        <v>785</v>
      </c>
      <c r="B26" s="445" t="s">
        <v>787</v>
      </c>
      <c r="C26" s="446">
        <v>0</v>
      </c>
      <c r="D26" s="446">
        <v>0</v>
      </c>
      <c r="E26" s="446"/>
      <c r="F26" s="446" t="s">
        <v>425</v>
      </c>
      <c r="G26" s="446" t="s">
        <v>425</v>
      </c>
      <c r="H26" s="446" t="s">
        <v>425</v>
      </c>
      <c r="I26" s="447" t="s">
        <v>425</v>
      </c>
      <c r="J26" s="448" t="s">
        <v>432</v>
      </c>
    </row>
    <row r="27" spans="1:10" ht="14.4" customHeight="1" x14ac:dyDescent="0.3">
      <c r="A27" s="444" t="s">
        <v>425</v>
      </c>
      <c r="B27" s="445" t="s">
        <v>425</v>
      </c>
      <c r="C27" s="446" t="s">
        <v>425</v>
      </c>
      <c r="D27" s="446" t="s">
        <v>425</v>
      </c>
      <c r="E27" s="446"/>
      <c r="F27" s="446" t="s">
        <v>425</v>
      </c>
      <c r="G27" s="446" t="s">
        <v>425</v>
      </c>
      <c r="H27" s="446" t="s">
        <v>425</v>
      </c>
      <c r="I27" s="447" t="s">
        <v>425</v>
      </c>
      <c r="J27" s="448" t="s">
        <v>433</v>
      </c>
    </row>
    <row r="28" spans="1:10" ht="14.4" customHeight="1" x14ac:dyDescent="0.3">
      <c r="A28" s="444" t="s">
        <v>423</v>
      </c>
      <c r="B28" s="445" t="s">
        <v>427</v>
      </c>
      <c r="C28" s="446">
        <v>0</v>
      </c>
      <c r="D28" s="446">
        <v>1.05145</v>
      </c>
      <c r="E28" s="446"/>
      <c r="F28" s="446">
        <v>0.51983999999999997</v>
      </c>
      <c r="G28" s="446">
        <v>4.765393183234667</v>
      </c>
      <c r="H28" s="446">
        <v>-4.2455531832346667</v>
      </c>
      <c r="I28" s="447">
        <v>0.10908648667834403</v>
      </c>
      <c r="J28" s="448" t="s">
        <v>428</v>
      </c>
    </row>
  </sheetData>
  <mergeCells count="3">
    <mergeCell ref="A1:I1"/>
    <mergeCell ref="F3:I3"/>
    <mergeCell ref="C4:D4"/>
  </mergeCells>
  <conditionalFormatting sqref="F13 F29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8">
    <cfRule type="expression" dxfId="11" priority="5">
      <formula>$H14&gt;0</formula>
    </cfRule>
  </conditionalFormatting>
  <conditionalFormatting sqref="A14:A28">
    <cfRule type="expression" dxfId="10" priority="2">
      <formula>AND($J14&lt;&gt;"mezeraKL",$J14&lt;&gt;"")</formula>
    </cfRule>
  </conditionalFormatting>
  <conditionalFormatting sqref="I14:I28">
    <cfRule type="expression" dxfId="9" priority="6">
      <formula>$I14&gt;1</formula>
    </cfRule>
  </conditionalFormatting>
  <conditionalFormatting sqref="B14:B28">
    <cfRule type="expression" dxfId="8" priority="1">
      <formula>OR($J14="NS",$J14="SumaNS",$J14="Účet")</formula>
    </cfRule>
  </conditionalFormatting>
  <conditionalFormatting sqref="A14:D28 F14:I28">
    <cfRule type="expression" dxfId="7" priority="8">
      <formula>AND($J14&lt;&gt;"",$J14&lt;&gt;"mezeraKL")</formula>
    </cfRule>
  </conditionalFormatting>
  <conditionalFormatting sqref="B14:D28 F14:I28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8 F14:I28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9" t="s">
        <v>797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273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127</v>
      </c>
      <c r="I3" s="98">
        <f>IF(J3&lt;&gt;0,K3/J3,0)</f>
        <v>1.7213245033112583</v>
      </c>
      <c r="J3" s="98">
        <f>SUBTOTAL(9,J5:J1048576)</f>
        <v>302</v>
      </c>
      <c r="K3" s="99">
        <f>SUBTOTAL(9,K5:K1048576)</f>
        <v>519.84</v>
      </c>
    </row>
    <row r="4" spans="1:11" s="209" customFormat="1" ht="14.4" customHeight="1" thickBot="1" x14ac:dyDescent="0.35">
      <c r="A4" s="534" t="s">
        <v>4</v>
      </c>
      <c r="B4" s="535" t="s">
        <v>5</v>
      </c>
      <c r="C4" s="535" t="s">
        <v>0</v>
      </c>
      <c r="D4" s="535" t="s">
        <v>6</v>
      </c>
      <c r="E4" s="535" t="s">
        <v>7</v>
      </c>
      <c r="F4" s="535" t="s">
        <v>1</v>
      </c>
      <c r="G4" s="535" t="s">
        <v>70</v>
      </c>
      <c r="H4" s="536" t="s">
        <v>10</v>
      </c>
      <c r="I4" s="537" t="s">
        <v>141</v>
      </c>
      <c r="J4" s="537" t="s">
        <v>12</v>
      </c>
      <c r="K4" s="538" t="s">
        <v>155</v>
      </c>
    </row>
    <row r="5" spans="1:11" ht="14.4" customHeight="1" x14ac:dyDescent="0.3">
      <c r="A5" s="499" t="s">
        <v>423</v>
      </c>
      <c r="B5" s="500" t="s">
        <v>436</v>
      </c>
      <c r="C5" s="503" t="s">
        <v>429</v>
      </c>
      <c r="D5" s="539" t="s">
        <v>792</v>
      </c>
      <c r="E5" s="503" t="s">
        <v>793</v>
      </c>
      <c r="F5" s="539" t="s">
        <v>794</v>
      </c>
      <c r="G5" s="503" t="s">
        <v>788</v>
      </c>
      <c r="H5" s="503" t="s">
        <v>789</v>
      </c>
      <c r="I5" s="116">
        <v>1.64</v>
      </c>
      <c r="J5" s="116">
        <v>300</v>
      </c>
      <c r="K5" s="518">
        <v>492</v>
      </c>
    </row>
    <row r="6" spans="1:11" ht="14.4" customHeight="1" thickBot="1" x14ac:dyDescent="0.35">
      <c r="A6" s="485" t="s">
        <v>423</v>
      </c>
      <c r="B6" s="480" t="s">
        <v>436</v>
      </c>
      <c r="C6" s="512" t="s">
        <v>429</v>
      </c>
      <c r="D6" s="540" t="s">
        <v>792</v>
      </c>
      <c r="E6" s="512" t="s">
        <v>795</v>
      </c>
      <c r="F6" s="540" t="s">
        <v>796</v>
      </c>
      <c r="G6" s="512" t="s">
        <v>790</v>
      </c>
      <c r="H6" s="512" t="s">
        <v>791</v>
      </c>
      <c r="I6" s="458">
        <v>13.92</v>
      </c>
      <c r="J6" s="458">
        <v>2</v>
      </c>
      <c r="K6" s="468">
        <v>27.84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18" width="13.109375" hidden="1" customWidth="1"/>
    <col min="19" max="19" width="13.109375" customWidth="1"/>
    <col min="20" max="32" width="13.109375" hidden="1" customWidth="1"/>
    <col min="33" max="33" width="13.109375" customWidth="1"/>
  </cols>
  <sheetData>
    <row r="1" spans="1:34" ht="18.600000000000001" thickBot="1" x14ac:dyDescent="0.4">
      <c r="A1" s="392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273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198</v>
      </c>
      <c r="B3" s="393" t="s">
        <v>179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50">
        <v>930</v>
      </c>
      <c r="AH3" s="566"/>
    </row>
    <row r="4" spans="1:34" ht="36.6" outlineLevel="1" thickBot="1" x14ac:dyDescent="0.35">
      <c r="A4" s="255">
        <v>2015</v>
      </c>
      <c r="B4" s="394"/>
      <c r="C4" s="239" t="s">
        <v>180</v>
      </c>
      <c r="D4" s="240" t="s">
        <v>181</v>
      </c>
      <c r="E4" s="240" t="s">
        <v>182</v>
      </c>
      <c r="F4" s="258" t="s">
        <v>210</v>
      </c>
      <c r="G4" s="258" t="s">
        <v>211</v>
      </c>
      <c r="H4" s="258" t="s">
        <v>212</v>
      </c>
      <c r="I4" s="258" t="s">
        <v>213</v>
      </c>
      <c r="J4" s="258" t="s">
        <v>214</v>
      </c>
      <c r="K4" s="258" t="s">
        <v>215</v>
      </c>
      <c r="L4" s="258" t="s">
        <v>216</v>
      </c>
      <c r="M4" s="258" t="s">
        <v>217</v>
      </c>
      <c r="N4" s="258" t="s">
        <v>218</v>
      </c>
      <c r="O4" s="258" t="s">
        <v>219</v>
      </c>
      <c r="P4" s="258" t="s">
        <v>220</v>
      </c>
      <c r="Q4" s="258" t="s">
        <v>221</v>
      </c>
      <c r="R4" s="258" t="s">
        <v>222</v>
      </c>
      <c r="S4" s="258" t="s">
        <v>223</v>
      </c>
      <c r="T4" s="258" t="s">
        <v>224</v>
      </c>
      <c r="U4" s="258" t="s">
        <v>225</v>
      </c>
      <c r="V4" s="258" t="s">
        <v>226</v>
      </c>
      <c r="W4" s="258" t="s">
        <v>235</v>
      </c>
      <c r="X4" s="258" t="s">
        <v>227</v>
      </c>
      <c r="Y4" s="258" t="s">
        <v>236</v>
      </c>
      <c r="Z4" s="258" t="s">
        <v>228</v>
      </c>
      <c r="AA4" s="258" t="s">
        <v>229</v>
      </c>
      <c r="AB4" s="258" t="s">
        <v>230</v>
      </c>
      <c r="AC4" s="258" t="s">
        <v>231</v>
      </c>
      <c r="AD4" s="258" t="s">
        <v>232</v>
      </c>
      <c r="AE4" s="240" t="s">
        <v>233</v>
      </c>
      <c r="AF4" s="240" t="s">
        <v>234</v>
      </c>
      <c r="AG4" s="551" t="s">
        <v>200</v>
      </c>
      <c r="AH4" s="566"/>
    </row>
    <row r="5" spans="1:34" x14ac:dyDescent="0.3">
      <c r="A5" s="241" t="s">
        <v>183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52"/>
      <c r="AH5" s="566"/>
    </row>
    <row r="6" spans="1:34" ht="15" collapsed="1" thickBot="1" x14ac:dyDescent="0.35">
      <c r="A6" s="242" t="s">
        <v>72</v>
      </c>
      <c r="B6" s="280">
        <f xml:space="preserve">
TRUNC(IF($A$4&lt;=12,SUMIFS('ON Data'!F:F,'ON Data'!$D:$D,$A$4,'ON Data'!$E:$E,1),SUMIFS('ON Data'!F:F,'ON Data'!$E:$E,1)/'ON Data'!$D$3),1)</f>
        <v>6.9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1.9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1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53">
        <f xml:space="preserve">
TRUNC(IF($A$4&lt;=12,SUMIFS('ON Data'!AM:AM,'ON Data'!$D:$D,$A$4,'ON Data'!$E:$E,1),SUMIFS('ON Data'!AM:AM,'ON Data'!$E:$E,1)/'ON Data'!$D$3),1)</f>
        <v>0.5</v>
      </c>
      <c r="AH6" s="566"/>
    </row>
    <row r="7" spans="1:34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53"/>
      <c r="AH7" s="566"/>
    </row>
    <row r="8" spans="1:34" ht="15" hidden="1" outlineLevel="1" thickBot="1" x14ac:dyDescent="0.35">
      <c r="A8" s="242" t="s">
        <v>74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53"/>
      <c r="AH8" s="566"/>
    </row>
    <row r="9" spans="1:34" ht="15" hidden="1" outlineLevel="1" thickBot="1" x14ac:dyDescent="0.35">
      <c r="A9" s="243" t="s">
        <v>67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54"/>
      <c r="AH9" s="566"/>
    </row>
    <row r="10" spans="1:34" x14ac:dyDescent="0.3">
      <c r="A10" s="244" t="s">
        <v>184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55"/>
      <c r="AH10" s="566"/>
    </row>
    <row r="11" spans="1:34" x14ac:dyDescent="0.3">
      <c r="A11" s="245" t="s">
        <v>185</v>
      </c>
      <c r="B11" s="262">
        <f xml:space="preserve">
IF($A$4&lt;=12,SUMIFS('ON Data'!F:F,'ON Data'!$D:$D,$A$4,'ON Data'!$E:$E,2),SUMIFS('ON Data'!F:F,'ON Data'!$E:$E,2))</f>
        <v>2096.9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598.4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1022.5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320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56">
        <f xml:space="preserve">
IF($A$4&lt;=12,SUMIFS('ON Data'!AM:AM,'ON Data'!$D:$D,$A$4,'ON Data'!$E:$E,2),SUMIFS('ON Data'!AM:AM,'ON Data'!$E:$E,2))</f>
        <v>156</v>
      </c>
      <c r="AH11" s="566"/>
    </row>
    <row r="12" spans="1:34" x14ac:dyDescent="0.3">
      <c r="A12" s="245" t="s">
        <v>186</v>
      </c>
      <c r="B12" s="262">
        <f xml:space="preserve">
IF($A$4&lt;=12,SUMIFS('ON Data'!F:F,'ON Data'!$D:$D,$A$4,'ON Data'!$E:$E,3),SUMIFS('ON Data'!F:F,'ON Data'!$E:$E,3))</f>
        <v>3.5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3.5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56">
        <f xml:space="preserve">
IF($A$4&lt;=12,SUMIFS('ON Data'!AM:AM,'ON Data'!$D:$D,$A$4,'ON Data'!$E:$E,3),SUMIFS('ON Data'!AM:AM,'ON Data'!$E:$E,3))</f>
        <v>0</v>
      </c>
      <c r="AH12" s="566"/>
    </row>
    <row r="13" spans="1:34" x14ac:dyDescent="0.3">
      <c r="A13" s="245" t="s">
        <v>193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56">
        <f xml:space="preserve">
IF($A$4&lt;=12,SUMIFS('ON Data'!AM:AM,'ON Data'!$D:$D,$A$4,'ON Data'!$E:$E,4),SUMIFS('ON Data'!AM:AM,'ON Data'!$E:$E,4))</f>
        <v>0</v>
      </c>
      <c r="AH13" s="566"/>
    </row>
    <row r="14" spans="1:34" ht="15" thickBot="1" x14ac:dyDescent="0.35">
      <c r="A14" s="246" t="s">
        <v>187</v>
      </c>
      <c r="B14" s="265">
        <f xml:space="preserve">
IF($A$4&lt;=12,SUMIFS('ON Data'!F:F,'ON Data'!$D:$D,$A$4,'ON Data'!$E:$E,5),SUMIFS('ON Data'!F:F,'ON Data'!$E:$E,5))</f>
        <v>63</v>
      </c>
      <c r="C14" s="266">
        <f xml:space="preserve">
IF($A$4&lt;=12,SUMIFS('ON Data'!G:G,'ON Data'!$D:$D,$A$4,'ON Data'!$E:$E,5),SUMIFS('ON Data'!G:G,'ON Data'!$E:$E,5))</f>
        <v>63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57">
        <f xml:space="preserve">
IF($A$4&lt;=12,SUMIFS('ON Data'!AM:AM,'ON Data'!$D:$D,$A$4,'ON Data'!$E:$E,5),SUMIFS('ON Data'!AM:AM,'ON Data'!$E:$E,5))</f>
        <v>0</v>
      </c>
      <c r="AH14" s="566"/>
    </row>
    <row r="15" spans="1:34" x14ac:dyDescent="0.3">
      <c r="A15" s="163" t="s">
        <v>197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58"/>
      <c r="AH15" s="566"/>
    </row>
    <row r="16" spans="1:34" x14ac:dyDescent="0.3">
      <c r="A16" s="247" t="s">
        <v>188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56">
        <f xml:space="preserve">
IF($A$4&lt;=12,SUMIFS('ON Data'!AM:AM,'ON Data'!$D:$D,$A$4,'ON Data'!$E:$E,7),SUMIFS('ON Data'!AM:AM,'ON Data'!$E:$E,7))</f>
        <v>0</v>
      </c>
      <c r="AH16" s="566"/>
    </row>
    <row r="17" spans="1:34" x14ac:dyDescent="0.3">
      <c r="A17" s="247" t="s">
        <v>189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56">
        <f xml:space="preserve">
IF($A$4&lt;=12,SUMIFS('ON Data'!AM:AM,'ON Data'!$D:$D,$A$4,'ON Data'!$E:$E,8),SUMIFS('ON Data'!AM:AM,'ON Data'!$E:$E,8))</f>
        <v>0</v>
      </c>
      <c r="AH17" s="566"/>
    </row>
    <row r="18" spans="1:34" x14ac:dyDescent="0.3">
      <c r="A18" s="247" t="s">
        <v>190</v>
      </c>
      <c r="B18" s="262">
        <f xml:space="preserve">
B19-B16-B17</f>
        <v>0</v>
      </c>
      <c r="C18" s="263">
        <f t="shared" ref="C18" si="0" xml:space="preserve">
C19-C16-C17</f>
        <v>0</v>
      </c>
      <c r="D18" s="264">
        <f t="shared" ref="D18:AG18" si="1" xml:space="preserve">
D19-D16-D17</f>
        <v>0</v>
      </c>
      <c r="E18" s="264">
        <f t="shared" si="1"/>
        <v>0</v>
      </c>
      <c r="F18" s="264">
        <f t="shared" si="1"/>
        <v>0</v>
      </c>
      <c r="G18" s="264">
        <f t="shared" si="1"/>
        <v>0</v>
      </c>
      <c r="H18" s="264">
        <f t="shared" si="1"/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56">
        <f t="shared" si="1"/>
        <v>0</v>
      </c>
      <c r="AH18" s="566"/>
    </row>
    <row r="19" spans="1:34" ht="15" thickBot="1" x14ac:dyDescent="0.35">
      <c r="A19" s="248" t="s">
        <v>191</v>
      </c>
      <c r="B19" s="271">
        <f xml:space="preserve">
IF($A$4&lt;=12,SUMIFS('ON Data'!F:F,'ON Data'!$D:$D,$A$4,'ON Data'!$E:$E,9),SUMIFS('ON Data'!F:F,'ON Data'!$E:$E,9))</f>
        <v>0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59">
        <f xml:space="preserve">
IF($A$4&lt;=12,SUMIFS('ON Data'!AM:AM,'ON Data'!$D:$D,$A$4,'ON Data'!$E:$E,9),SUMIFS('ON Data'!AM:AM,'ON Data'!$E:$E,9))</f>
        <v>0</v>
      </c>
      <c r="AH19" s="566"/>
    </row>
    <row r="20" spans="1:34" ht="15" collapsed="1" thickBot="1" x14ac:dyDescent="0.35">
      <c r="A20" s="249" t="s">
        <v>72</v>
      </c>
      <c r="B20" s="274">
        <f xml:space="preserve">
IF($A$4&lt;=12,SUMIFS('ON Data'!F:F,'ON Data'!$D:$D,$A$4,'ON Data'!$E:$E,6),SUMIFS('ON Data'!F:F,'ON Data'!$E:$E,6))</f>
        <v>489049</v>
      </c>
      <c r="C20" s="275">
        <f xml:space="preserve">
IF($A$4&lt;=12,SUMIFS('ON Data'!G:G,'ON Data'!$D:$D,$A$4,'ON Data'!$E:$E,6),SUMIFS('ON Data'!G:G,'ON Data'!$E:$E,6))</f>
        <v>18900</v>
      </c>
      <c r="D20" s="276">
        <f xml:space="preserve">
IF($A$4&lt;=12,SUMIFS('ON Data'!H:H,'ON Data'!$D:$D,$A$4,'ON Data'!$E:$E,6),SUMIFS('ON Data'!H:H,'ON Data'!$E:$E,6))</f>
        <v>198698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197972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56341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60">
        <f xml:space="preserve">
IF($A$4&lt;=12,SUMIFS('ON Data'!AM:AM,'ON Data'!$D:$D,$A$4,'ON Data'!$E:$E,6),SUMIFS('ON Data'!AM:AM,'ON Data'!$E:$E,6))</f>
        <v>17138</v>
      </c>
      <c r="AH20" s="566"/>
    </row>
    <row r="21" spans="1:34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56">
        <f xml:space="preserve">
IF($A$4&lt;=12,SUMIFS('ON Data'!AM:AM,'ON Data'!$D:$D,$A$4,'ON Data'!$E:$E,12),SUMIFS('ON Data'!AM:AM,'ON Data'!$E:$E,12))</f>
        <v>0</v>
      </c>
      <c r="AH21" s="566"/>
    </row>
    <row r="22" spans="1:34" ht="15" hidden="1" outlineLevel="1" thickBot="1" x14ac:dyDescent="0.35">
      <c r="A22" s="242" t="s">
        <v>74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61" t="str">
        <f t="shared" si="2"/>
        <v/>
      </c>
      <c r="AH22" s="566"/>
    </row>
    <row r="23" spans="1:34" ht="15" hidden="1" outlineLevel="1" thickBot="1" x14ac:dyDescent="0.35">
      <c r="A23" s="250" t="s">
        <v>67</v>
      </c>
      <c r="B23" s="265">
        <f xml:space="preserve">
IF(B21="","",B20-B21)</f>
        <v>489049</v>
      </c>
      <c r="C23" s="266">
        <f t="shared" ref="C23:AG23" si="3" xml:space="preserve">
IF(C21="","",C20-C21)</f>
        <v>18900</v>
      </c>
      <c r="D23" s="267">
        <f t="shared" si="3"/>
        <v>198698</v>
      </c>
      <c r="E23" s="267">
        <f t="shared" si="3"/>
        <v>0</v>
      </c>
      <c r="F23" s="267">
        <f t="shared" si="3"/>
        <v>197972</v>
      </c>
      <c r="G23" s="267">
        <f t="shared" si="3"/>
        <v>0</v>
      </c>
      <c r="H23" s="267">
        <f t="shared" si="3"/>
        <v>0</v>
      </c>
      <c r="I23" s="267">
        <f t="shared" si="3"/>
        <v>0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56341</v>
      </c>
      <c r="T23" s="267">
        <f t="shared" si="3"/>
        <v>0</v>
      </c>
      <c r="U23" s="267">
        <f t="shared" si="3"/>
        <v>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57">
        <f t="shared" si="3"/>
        <v>17138</v>
      </c>
      <c r="AH23" s="566"/>
    </row>
    <row r="24" spans="1:34" x14ac:dyDescent="0.3">
      <c r="A24" s="244" t="s">
        <v>192</v>
      </c>
      <c r="B24" s="291" t="s">
        <v>3</v>
      </c>
      <c r="C24" s="567" t="s">
        <v>203</v>
      </c>
      <c r="D24" s="541"/>
      <c r="E24" s="542"/>
      <c r="F24" s="542" t="s">
        <v>204</v>
      </c>
      <c r="G24" s="542"/>
      <c r="H24" s="542"/>
      <c r="I24" s="542"/>
      <c r="J24" s="542"/>
      <c r="K24" s="542"/>
      <c r="L24" s="542"/>
      <c r="M24" s="542"/>
      <c r="N24" s="542"/>
      <c r="O24" s="542"/>
      <c r="P24" s="542"/>
      <c r="Q24" s="542"/>
      <c r="R24" s="542"/>
      <c r="S24" s="542"/>
      <c r="T24" s="542"/>
      <c r="U24" s="542"/>
      <c r="V24" s="542"/>
      <c r="W24" s="542"/>
      <c r="X24" s="542"/>
      <c r="Y24" s="542"/>
      <c r="Z24" s="542"/>
      <c r="AA24" s="542"/>
      <c r="AB24" s="542"/>
      <c r="AC24" s="542"/>
      <c r="AD24" s="542"/>
      <c r="AE24" s="542"/>
      <c r="AF24" s="542"/>
      <c r="AG24" s="562" t="s">
        <v>205</v>
      </c>
      <c r="AH24" s="566"/>
    </row>
    <row r="25" spans="1:34" x14ac:dyDescent="0.3">
      <c r="A25" s="245" t="s">
        <v>72</v>
      </c>
      <c r="B25" s="262">
        <f xml:space="preserve">
SUM(C25:AG25)</f>
        <v>0</v>
      </c>
      <c r="C25" s="568">
        <f xml:space="preserve">
IF($A$4&lt;=12,SUMIFS('ON Data'!H:H,'ON Data'!$D:$D,$A$4,'ON Data'!$E:$E,10),SUMIFS('ON Data'!H:H,'ON Data'!$E:$E,10))</f>
        <v>0</v>
      </c>
      <c r="D25" s="543"/>
      <c r="E25" s="544"/>
      <c r="F25" s="544">
        <f xml:space="preserve">
IF($A$4&lt;=12,SUMIFS('ON Data'!K:K,'ON Data'!$D:$D,$A$4,'ON Data'!$E:$E,10),SUMIFS('ON Data'!K:K,'ON Data'!$E:$E,10))</f>
        <v>0</v>
      </c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4"/>
      <c r="Z25" s="544"/>
      <c r="AA25" s="544"/>
      <c r="AB25" s="544"/>
      <c r="AC25" s="544"/>
      <c r="AD25" s="544"/>
      <c r="AE25" s="544"/>
      <c r="AF25" s="544"/>
      <c r="AG25" s="563">
        <f xml:space="preserve">
IF($A$4&lt;=12,SUMIFS('ON Data'!AM:AM,'ON Data'!$D:$D,$A$4,'ON Data'!$E:$E,10),SUMIFS('ON Data'!AM:AM,'ON Data'!$E:$E,10))</f>
        <v>0</v>
      </c>
      <c r="AH25" s="566"/>
    </row>
    <row r="26" spans="1:34" x14ac:dyDescent="0.3">
      <c r="A26" s="251" t="s">
        <v>202</v>
      </c>
      <c r="B26" s="271">
        <f xml:space="preserve">
SUM(C26:AG26)</f>
        <v>1888.5</v>
      </c>
      <c r="C26" s="568">
        <f xml:space="preserve">
IF($A$4&lt;=12,SUMIFS('ON Data'!H:H,'ON Data'!$D:$D,$A$4,'ON Data'!$E:$E,11),SUMIFS('ON Data'!H:H,'ON Data'!$E:$E,11))</f>
        <v>1888.5</v>
      </c>
      <c r="D26" s="543"/>
      <c r="E26" s="544"/>
      <c r="F26" s="545">
        <f xml:space="preserve">
IF($A$4&lt;=12,SUMIFS('ON Data'!K:K,'ON Data'!$D:$D,$A$4,'ON Data'!$E:$E,11),SUMIFS('ON Data'!K:K,'ON Data'!$E:$E,11))</f>
        <v>0</v>
      </c>
      <c r="G26" s="545"/>
      <c r="H26" s="545"/>
      <c r="I26" s="545"/>
      <c r="J26" s="545"/>
      <c r="K26" s="545"/>
      <c r="L26" s="545"/>
      <c r="M26" s="545"/>
      <c r="N26" s="545"/>
      <c r="O26" s="545"/>
      <c r="P26" s="545"/>
      <c r="Q26" s="545"/>
      <c r="R26" s="545"/>
      <c r="S26" s="545"/>
      <c r="T26" s="545"/>
      <c r="U26" s="545"/>
      <c r="V26" s="545"/>
      <c r="W26" s="545"/>
      <c r="X26" s="545"/>
      <c r="Y26" s="545"/>
      <c r="Z26" s="545"/>
      <c r="AA26" s="545"/>
      <c r="AB26" s="545"/>
      <c r="AC26" s="545"/>
      <c r="AD26" s="545"/>
      <c r="AE26" s="545"/>
      <c r="AF26" s="545"/>
      <c r="AG26" s="563">
        <f xml:space="preserve">
IF($A$4&lt;=12,SUMIFS('ON Data'!AM:AM,'ON Data'!$D:$D,$A$4,'ON Data'!$E:$E,11),SUMIFS('ON Data'!AM:AM,'ON Data'!$E:$E,11))</f>
        <v>0</v>
      </c>
      <c r="AH26" s="566"/>
    </row>
    <row r="27" spans="1:34" x14ac:dyDescent="0.3">
      <c r="A27" s="251" t="s">
        <v>74</v>
      </c>
      <c r="B27" s="292">
        <f xml:space="preserve">
IF(B26=0,0,B25/B26)</f>
        <v>0</v>
      </c>
      <c r="C27" s="569">
        <f xml:space="preserve">
IF(C26=0,0,C25/C26)</f>
        <v>0</v>
      </c>
      <c r="D27" s="546"/>
      <c r="E27" s="547"/>
      <c r="F27" s="547">
        <f xml:space="preserve">
IF(F26=0,0,F25/F26)</f>
        <v>0</v>
      </c>
      <c r="G27" s="547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  <c r="V27" s="547"/>
      <c r="W27" s="547"/>
      <c r="X27" s="547"/>
      <c r="Y27" s="547"/>
      <c r="Z27" s="547"/>
      <c r="AA27" s="547"/>
      <c r="AB27" s="547"/>
      <c r="AC27" s="547"/>
      <c r="AD27" s="547"/>
      <c r="AE27" s="547"/>
      <c r="AF27" s="547"/>
      <c r="AG27" s="564">
        <f xml:space="preserve">
IF(AG26=0,0,AG25/AG26)</f>
        <v>0</v>
      </c>
      <c r="AH27" s="566"/>
    </row>
    <row r="28" spans="1:34" ht="15" thickBot="1" x14ac:dyDescent="0.35">
      <c r="A28" s="251" t="s">
        <v>201</v>
      </c>
      <c r="B28" s="271">
        <f xml:space="preserve">
SUM(C28:AG28)</f>
        <v>1888.5</v>
      </c>
      <c r="C28" s="570">
        <f xml:space="preserve">
C26-C25</f>
        <v>1888.5</v>
      </c>
      <c r="D28" s="548"/>
      <c r="E28" s="549"/>
      <c r="F28" s="549">
        <f xml:space="preserve">
F26-F25</f>
        <v>0</v>
      </c>
      <c r="G28" s="549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65">
        <f xml:space="preserve">
AG26-AG25</f>
        <v>0</v>
      </c>
      <c r="AH28" s="566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156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199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196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206</v>
      </c>
    </row>
    <row r="34" spans="1:1" x14ac:dyDescent="0.3">
      <c r="A34" s="290" t="s">
        <v>207</v>
      </c>
    </row>
    <row r="35" spans="1:1" x14ac:dyDescent="0.3">
      <c r="A35" s="290" t="s">
        <v>208</v>
      </c>
    </row>
    <row r="36" spans="1:1" x14ac:dyDescent="0.3">
      <c r="A36" s="290" t="s">
        <v>209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6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798</v>
      </c>
    </row>
    <row r="2" spans="1:40" x14ac:dyDescent="0.3">
      <c r="A2" s="235" t="s">
        <v>273</v>
      </c>
    </row>
    <row r="3" spans="1:40" x14ac:dyDescent="0.3">
      <c r="A3" s="231" t="s">
        <v>166</v>
      </c>
      <c r="B3" s="256">
        <v>2015</v>
      </c>
      <c r="D3" s="232">
        <f>MAX(D5:D1048576)</f>
        <v>2</v>
      </c>
      <c r="F3" s="232">
        <f>SUMIF($E5:$E1048576,"&lt;10",F5:F1048576)</f>
        <v>491226.20000000007</v>
      </c>
      <c r="G3" s="232">
        <f t="shared" ref="G3:AN3" si="0">SUMIF($E5:$E1048576,"&lt;10",G5:G1048576)</f>
        <v>18963</v>
      </c>
      <c r="H3" s="232">
        <f t="shared" si="0"/>
        <v>199303.69999999998</v>
      </c>
      <c r="I3" s="232">
        <f t="shared" si="0"/>
        <v>0</v>
      </c>
      <c r="J3" s="232">
        <f t="shared" si="0"/>
        <v>0</v>
      </c>
      <c r="K3" s="232">
        <f t="shared" si="0"/>
        <v>199001.5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56663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17295</v>
      </c>
      <c r="AN3" s="232">
        <f t="shared" si="0"/>
        <v>0</v>
      </c>
    </row>
    <row r="4" spans="1:40" x14ac:dyDescent="0.3">
      <c r="A4" s="231" t="s">
        <v>167</v>
      </c>
      <c r="B4" s="256">
        <v>1</v>
      </c>
      <c r="C4" s="233" t="s">
        <v>5</v>
      </c>
      <c r="D4" s="234" t="s">
        <v>66</v>
      </c>
      <c r="E4" s="234" t="s">
        <v>161</v>
      </c>
      <c r="F4" s="234" t="s">
        <v>3</v>
      </c>
      <c r="G4" s="234" t="s">
        <v>162</v>
      </c>
      <c r="H4" s="234" t="s">
        <v>163</v>
      </c>
      <c r="I4" s="234" t="s">
        <v>164</v>
      </c>
      <c r="J4" s="234" t="s">
        <v>165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168</v>
      </c>
      <c r="B5" s="256">
        <v>2</v>
      </c>
      <c r="C5" s="231">
        <v>27</v>
      </c>
      <c r="D5" s="231">
        <v>1</v>
      </c>
      <c r="E5" s="231">
        <v>1</v>
      </c>
      <c r="F5" s="231">
        <v>7.4</v>
      </c>
      <c r="G5" s="231">
        <v>0</v>
      </c>
      <c r="H5" s="231">
        <v>2.4</v>
      </c>
      <c r="I5" s="231">
        <v>0</v>
      </c>
      <c r="J5" s="231">
        <v>0</v>
      </c>
      <c r="K5" s="231">
        <v>3.5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1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0.5</v>
      </c>
      <c r="AN5" s="231">
        <v>0</v>
      </c>
    </row>
    <row r="6" spans="1:40" x14ac:dyDescent="0.3">
      <c r="A6" s="231" t="s">
        <v>169</v>
      </c>
      <c r="B6" s="256">
        <v>3</v>
      </c>
      <c r="C6" s="231">
        <v>27</v>
      </c>
      <c r="D6" s="231">
        <v>1</v>
      </c>
      <c r="E6" s="231">
        <v>2</v>
      </c>
      <c r="F6" s="231">
        <v>1192</v>
      </c>
      <c r="G6" s="231">
        <v>0</v>
      </c>
      <c r="H6" s="231">
        <v>376</v>
      </c>
      <c r="I6" s="231">
        <v>0</v>
      </c>
      <c r="J6" s="231">
        <v>0</v>
      </c>
      <c r="K6" s="231">
        <v>576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164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76</v>
      </c>
      <c r="AN6" s="231">
        <v>0</v>
      </c>
    </row>
    <row r="7" spans="1:40" x14ac:dyDescent="0.3">
      <c r="A7" s="231" t="s">
        <v>170</v>
      </c>
      <c r="B7" s="256">
        <v>4</v>
      </c>
      <c r="C7" s="231">
        <v>27</v>
      </c>
      <c r="D7" s="231">
        <v>1</v>
      </c>
      <c r="E7" s="231">
        <v>3</v>
      </c>
      <c r="F7" s="231">
        <v>3.5</v>
      </c>
      <c r="G7" s="231">
        <v>0</v>
      </c>
      <c r="H7" s="231">
        <v>3.5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171</v>
      </c>
      <c r="B8" s="256">
        <v>5</v>
      </c>
      <c r="C8" s="231">
        <v>27</v>
      </c>
      <c r="D8" s="231">
        <v>1</v>
      </c>
      <c r="E8" s="231">
        <v>6</v>
      </c>
      <c r="F8" s="231">
        <v>270113</v>
      </c>
      <c r="G8" s="231">
        <v>0</v>
      </c>
      <c r="H8" s="231">
        <v>131298</v>
      </c>
      <c r="I8" s="231">
        <v>0</v>
      </c>
      <c r="J8" s="231">
        <v>0</v>
      </c>
      <c r="K8" s="231">
        <v>101589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28463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8763</v>
      </c>
      <c r="AN8" s="231">
        <v>0</v>
      </c>
    </row>
    <row r="9" spans="1:40" x14ac:dyDescent="0.3">
      <c r="A9" s="231" t="s">
        <v>172</v>
      </c>
      <c r="B9" s="256">
        <v>6</v>
      </c>
      <c r="C9" s="231">
        <v>27</v>
      </c>
      <c r="D9" s="231">
        <v>1</v>
      </c>
      <c r="E9" s="231">
        <v>11</v>
      </c>
      <c r="F9" s="231">
        <v>944.25</v>
      </c>
      <c r="G9" s="231">
        <v>0</v>
      </c>
      <c r="H9" s="231">
        <v>944.25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173</v>
      </c>
      <c r="B10" s="256">
        <v>7</v>
      </c>
      <c r="C10" s="231">
        <v>27</v>
      </c>
      <c r="D10" s="231">
        <v>2</v>
      </c>
      <c r="E10" s="231">
        <v>1</v>
      </c>
      <c r="F10" s="231">
        <v>6.4</v>
      </c>
      <c r="G10" s="231">
        <v>0</v>
      </c>
      <c r="H10" s="231">
        <v>1.4</v>
      </c>
      <c r="I10" s="231">
        <v>0</v>
      </c>
      <c r="J10" s="231">
        <v>0</v>
      </c>
      <c r="K10" s="231">
        <v>3.5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1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0.5</v>
      </c>
      <c r="AN10" s="231">
        <v>0</v>
      </c>
    </row>
    <row r="11" spans="1:40" x14ac:dyDescent="0.3">
      <c r="A11" s="231" t="s">
        <v>174</v>
      </c>
      <c r="B11" s="256">
        <v>8</v>
      </c>
      <c r="C11" s="231">
        <v>27</v>
      </c>
      <c r="D11" s="231">
        <v>2</v>
      </c>
      <c r="E11" s="231">
        <v>2</v>
      </c>
      <c r="F11" s="231">
        <v>904.9</v>
      </c>
      <c r="G11" s="231">
        <v>0</v>
      </c>
      <c r="H11" s="231">
        <v>222.4</v>
      </c>
      <c r="I11" s="231">
        <v>0</v>
      </c>
      <c r="J11" s="231">
        <v>0</v>
      </c>
      <c r="K11" s="231">
        <v>446.5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156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80</v>
      </c>
      <c r="AN11" s="231">
        <v>0</v>
      </c>
    </row>
    <row r="12" spans="1:40" x14ac:dyDescent="0.3">
      <c r="A12" s="231" t="s">
        <v>175</v>
      </c>
      <c r="B12" s="256">
        <v>9</v>
      </c>
      <c r="C12" s="231">
        <v>27</v>
      </c>
      <c r="D12" s="231">
        <v>2</v>
      </c>
      <c r="E12" s="231">
        <v>5</v>
      </c>
      <c r="F12" s="231">
        <v>63</v>
      </c>
      <c r="G12" s="231">
        <v>63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176</v>
      </c>
      <c r="B13" s="256">
        <v>10</v>
      </c>
      <c r="C13" s="231">
        <v>27</v>
      </c>
      <c r="D13" s="231">
        <v>2</v>
      </c>
      <c r="E13" s="231">
        <v>6</v>
      </c>
      <c r="F13" s="231">
        <v>218936</v>
      </c>
      <c r="G13" s="231">
        <v>18900</v>
      </c>
      <c r="H13" s="231">
        <v>67400</v>
      </c>
      <c r="I13" s="231">
        <v>0</v>
      </c>
      <c r="J13" s="231">
        <v>0</v>
      </c>
      <c r="K13" s="231">
        <v>96383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27878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8375</v>
      </c>
      <c r="AN13" s="231">
        <v>0</v>
      </c>
    </row>
    <row r="14" spans="1:40" x14ac:dyDescent="0.3">
      <c r="A14" s="231" t="s">
        <v>177</v>
      </c>
      <c r="B14" s="256">
        <v>11</v>
      </c>
      <c r="C14" s="231">
        <v>27</v>
      </c>
      <c r="D14" s="231">
        <v>2</v>
      </c>
      <c r="E14" s="231">
        <v>11</v>
      </c>
      <c r="F14" s="231">
        <v>944.25</v>
      </c>
      <c r="G14" s="231">
        <v>0</v>
      </c>
      <c r="H14" s="231">
        <v>944.25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178</v>
      </c>
      <c r="B15" s="256">
        <v>12</v>
      </c>
    </row>
    <row r="16" spans="1:40" x14ac:dyDescent="0.3">
      <c r="A16" s="231" t="s">
        <v>166</v>
      </c>
      <c r="B16" s="256">
        <v>2015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5" t="s">
        <v>807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127</v>
      </c>
      <c r="B3" s="222">
        <f>SUBTOTAL(9,B6:B1048576)</f>
        <v>254125</v>
      </c>
      <c r="C3" s="223">
        <f t="shared" ref="C3:R3" si="0">SUBTOTAL(9,C6:C1048576)</f>
        <v>5</v>
      </c>
      <c r="D3" s="223">
        <f t="shared" si="0"/>
        <v>380920</v>
      </c>
      <c r="E3" s="223">
        <f t="shared" si="0"/>
        <v>9.0219734996340826</v>
      </c>
      <c r="F3" s="223">
        <f t="shared" si="0"/>
        <v>492504</v>
      </c>
      <c r="G3" s="224">
        <f>IF(B3&lt;&gt;0,F3/B3,"")</f>
        <v>1.9380383669454009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6" t="s">
        <v>98</v>
      </c>
      <c r="B4" s="397" t="s">
        <v>99</v>
      </c>
      <c r="C4" s="398"/>
      <c r="D4" s="398"/>
      <c r="E4" s="398"/>
      <c r="F4" s="398"/>
      <c r="G4" s="399"/>
      <c r="H4" s="397" t="s">
        <v>100</v>
      </c>
      <c r="I4" s="398"/>
      <c r="J4" s="398"/>
      <c r="K4" s="398"/>
      <c r="L4" s="398"/>
      <c r="M4" s="399"/>
      <c r="N4" s="397" t="s">
        <v>101</v>
      </c>
      <c r="O4" s="398"/>
      <c r="P4" s="398"/>
      <c r="Q4" s="398"/>
      <c r="R4" s="398"/>
      <c r="S4" s="399"/>
    </row>
    <row r="5" spans="1:19" ht="14.4" customHeight="1" thickBot="1" x14ac:dyDescent="0.35">
      <c r="A5" s="571"/>
      <c r="B5" s="572">
        <v>2013</v>
      </c>
      <c r="C5" s="573"/>
      <c r="D5" s="573">
        <v>2014</v>
      </c>
      <c r="E5" s="573"/>
      <c r="F5" s="573">
        <v>2015</v>
      </c>
      <c r="G5" s="574" t="s">
        <v>2</v>
      </c>
      <c r="H5" s="572">
        <v>2013</v>
      </c>
      <c r="I5" s="573"/>
      <c r="J5" s="573">
        <v>2014</v>
      </c>
      <c r="K5" s="573"/>
      <c r="L5" s="573">
        <v>2015</v>
      </c>
      <c r="M5" s="574" t="s">
        <v>2</v>
      </c>
      <c r="N5" s="572">
        <v>2013</v>
      </c>
      <c r="O5" s="573"/>
      <c r="P5" s="573">
        <v>2014</v>
      </c>
      <c r="Q5" s="573"/>
      <c r="R5" s="573">
        <v>2015</v>
      </c>
      <c r="S5" s="574" t="s">
        <v>2</v>
      </c>
    </row>
    <row r="6" spans="1:19" ht="14.4" customHeight="1" x14ac:dyDescent="0.3">
      <c r="A6" s="527" t="s">
        <v>799</v>
      </c>
      <c r="B6" s="575">
        <v>97493</v>
      </c>
      <c r="C6" s="500">
        <v>1</v>
      </c>
      <c r="D6" s="575">
        <v>117254</v>
      </c>
      <c r="E6" s="500">
        <v>1.2026914752854052</v>
      </c>
      <c r="F6" s="575">
        <v>236309</v>
      </c>
      <c r="G6" s="505">
        <v>2.4238560717179696</v>
      </c>
      <c r="H6" s="575"/>
      <c r="I6" s="500"/>
      <c r="J6" s="575"/>
      <c r="K6" s="500"/>
      <c r="L6" s="575"/>
      <c r="M6" s="505"/>
      <c r="N6" s="575"/>
      <c r="O6" s="500"/>
      <c r="P6" s="575"/>
      <c r="Q6" s="500"/>
      <c r="R6" s="575"/>
      <c r="S6" s="122"/>
    </row>
    <row r="7" spans="1:19" ht="14.4" customHeight="1" x14ac:dyDescent="0.3">
      <c r="A7" s="528" t="s">
        <v>800</v>
      </c>
      <c r="B7" s="576">
        <v>63122</v>
      </c>
      <c r="C7" s="478">
        <v>1</v>
      </c>
      <c r="D7" s="576">
        <v>83304</v>
      </c>
      <c r="E7" s="478">
        <v>1.319730046576471</v>
      </c>
      <c r="F7" s="576">
        <v>55596</v>
      </c>
      <c r="G7" s="486">
        <v>0.8807705712746744</v>
      </c>
      <c r="H7" s="576"/>
      <c r="I7" s="478"/>
      <c r="J7" s="576"/>
      <c r="K7" s="478"/>
      <c r="L7" s="576"/>
      <c r="M7" s="486"/>
      <c r="N7" s="576"/>
      <c r="O7" s="478"/>
      <c r="P7" s="576"/>
      <c r="Q7" s="478"/>
      <c r="R7" s="576"/>
      <c r="S7" s="487"/>
    </row>
    <row r="8" spans="1:19" ht="14.4" customHeight="1" x14ac:dyDescent="0.3">
      <c r="A8" s="528" t="s">
        <v>801</v>
      </c>
      <c r="B8" s="576">
        <v>17664</v>
      </c>
      <c r="C8" s="478">
        <v>1</v>
      </c>
      <c r="D8" s="576">
        <v>60117</v>
      </c>
      <c r="E8" s="478">
        <v>3.4033627717391304</v>
      </c>
      <c r="F8" s="576">
        <v>42420</v>
      </c>
      <c r="G8" s="486">
        <v>2.4014945652173911</v>
      </c>
      <c r="H8" s="576"/>
      <c r="I8" s="478"/>
      <c r="J8" s="576"/>
      <c r="K8" s="478"/>
      <c r="L8" s="576"/>
      <c r="M8" s="486"/>
      <c r="N8" s="576"/>
      <c r="O8" s="478"/>
      <c r="P8" s="576"/>
      <c r="Q8" s="478"/>
      <c r="R8" s="576"/>
      <c r="S8" s="487"/>
    </row>
    <row r="9" spans="1:19" ht="14.4" customHeight="1" x14ac:dyDescent="0.3">
      <c r="A9" s="528" t="s">
        <v>802</v>
      </c>
      <c r="B9" s="576">
        <v>19649</v>
      </c>
      <c r="C9" s="478">
        <v>1</v>
      </c>
      <c r="D9" s="576">
        <v>28898</v>
      </c>
      <c r="E9" s="478">
        <v>1.4707109776578962</v>
      </c>
      <c r="F9" s="576">
        <v>24226</v>
      </c>
      <c r="G9" s="486">
        <v>1.2329380630057509</v>
      </c>
      <c r="H9" s="576"/>
      <c r="I9" s="478"/>
      <c r="J9" s="576"/>
      <c r="K9" s="478"/>
      <c r="L9" s="576"/>
      <c r="M9" s="486"/>
      <c r="N9" s="576"/>
      <c r="O9" s="478"/>
      <c r="P9" s="576"/>
      <c r="Q9" s="478"/>
      <c r="R9" s="576"/>
      <c r="S9" s="487"/>
    </row>
    <row r="10" spans="1:19" ht="14.4" customHeight="1" thickBot="1" x14ac:dyDescent="0.35">
      <c r="A10" s="578" t="s">
        <v>803</v>
      </c>
      <c r="B10" s="577">
        <v>56197</v>
      </c>
      <c r="C10" s="480">
        <v>1</v>
      </c>
      <c r="D10" s="577">
        <v>91347</v>
      </c>
      <c r="E10" s="480">
        <v>1.6254782283751801</v>
      </c>
      <c r="F10" s="577">
        <v>133953</v>
      </c>
      <c r="G10" s="459">
        <v>2.383632578251508</v>
      </c>
      <c r="H10" s="577"/>
      <c r="I10" s="480"/>
      <c r="J10" s="577"/>
      <c r="K10" s="480"/>
      <c r="L10" s="577"/>
      <c r="M10" s="459"/>
      <c r="N10" s="577"/>
      <c r="O10" s="480"/>
      <c r="P10" s="577"/>
      <c r="Q10" s="480"/>
      <c r="R10" s="577"/>
      <c r="S10" s="460"/>
    </row>
    <row r="11" spans="1:19" ht="14.4" customHeight="1" x14ac:dyDescent="0.3">
      <c r="A11" s="579" t="s">
        <v>804</v>
      </c>
    </row>
    <row r="12" spans="1:19" ht="14.4" customHeight="1" x14ac:dyDescent="0.3">
      <c r="A12" s="580" t="s">
        <v>805</v>
      </c>
    </row>
    <row r="13" spans="1:19" ht="14.4" customHeight="1" x14ac:dyDescent="0.3">
      <c r="A13" s="579" t="s">
        <v>806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5" t="s">
        <v>813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127</v>
      </c>
      <c r="B3" s="315">
        <f t="shared" ref="B3:G3" si="0">SUBTOTAL(9,B6:B1048576)</f>
        <v>1182</v>
      </c>
      <c r="C3" s="316">
        <f t="shared" si="0"/>
        <v>1966</v>
      </c>
      <c r="D3" s="316">
        <f t="shared" si="0"/>
        <v>2447</v>
      </c>
      <c r="E3" s="225">
        <f t="shared" si="0"/>
        <v>254125</v>
      </c>
      <c r="F3" s="223">
        <f t="shared" si="0"/>
        <v>380920</v>
      </c>
      <c r="G3" s="317">
        <f t="shared" si="0"/>
        <v>492504</v>
      </c>
    </row>
    <row r="4" spans="1:7" ht="14.4" customHeight="1" x14ac:dyDescent="0.3">
      <c r="A4" s="396" t="s">
        <v>134</v>
      </c>
      <c r="B4" s="397" t="s">
        <v>250</v>
      </c>
      <c r="C4" s="398"/>
      <c r="D4" s="398"/>
      <c r="E4" s="400" t="s">
        <v>99</v>
      </c>
      <c r="F4" s="401"/>
      <c r="G4" s="402"/>
    </row>
    <row r="5" spans="1:7" ht="14.4" customHeight="1" thickBot="1" x14ac:dyDescent="0.35">
      <c r="A5" s="571"/>
      <c r="B5" s="572">
        <v>2013</v>
      </c>
      <c r="C5" s="573">
        <v>2014</v>
      </c>
      <c r="D5" s="573">
        <v>2015</v>
      </c>
      <c r="E5" s="572">
        <v>2013</v>
      </c>
      <c r="F5" s="573">
        <v>2014</v>
      </c>
      <c r="G5" s="581">
        <v>2015</v>
      </c>
    </row>
    <row r="6" spans="1:7" ht="14.4" customHeight="1" x14ac:dyDescent="0.3">
      <c r="A6" s="527" t="s">
        <v>808</v>
      </c>
      <c r="B6" s="116">
        <v>140</v>
      </c>
      <c r="C6" s="116">
        <v>27</v>
      </c>
      <c r="D6" s="116">
        <v>115</v>
      </c>
      <c r="E6" s="575">
        <v>50055</v>
      </c>
      <c r="F6" s="575">
        <v>7559</v>
      </c>
      <c r="G6" s="582">
        <v>216</v>
      </c>
    </row>
    <row r="7" spans="1:7" ht="14.4" customHeight="1" x14ac:dyDescent="0.3">
      <c r="A7" s="528" t="s">
        <v>445</v>
      </c>
      <c r="B7" s="479">
        <v>42</v>
      </c>
      <c r="C7" s="479">
        <v>82</v>
      </c>
      <c r="D7" s="479">
        <v>77</v>
      </c>
      <c r="E7" s="576">
        <v>12433</v>
      </c>
      <c r="F7" s="576">
        <v>24311</v>
      </c>
      <c r="G7" s="583">
        <v>28808</v>
      </c>
    </row>
    <row r="8" spans="1:7" ht="14.4" customHeight="1" x14ac:dyDescent="0.3">
      <c r="A8" s="528" t="s">
        <v>446</v>
      </c>
      <c r="B8" s="479"/>
      <c r="C8" s="479"/>
      <c r="D8" s="479">
        <v>26</v>
      </c>
      <c r="E8" s="576"/>
      <c r="F8" s="576"/>
      <c r="G8" s="583">
        <v>8018</v>
      </c>
    </row>
    <row r="9" spans="1:7" ht="14.4" customHeight="1" x14ac:dyDescent="0.3">
      <c r="A9" s="528" t="s">
        <v>809</v>
      </c>
      <c r="B9" s="479">
        <v>49</v>
      </c>
      <c r="C9" s="479">
        <v>193</v>
      </c>
      <c r="D9" s="479"/>
      <c r="E9" s="576">
        <v>16751</v>
      </c>
      <c r="F9" s="576">
        <v>60949</v>
      </c>
      <c r="G9" s="583"/>
    </row>
    <row r="10" spans="1:7" ht="14.4" customHeight="1" x14ac:dyDescent="0.3">
      <c r="A10" s="528" t="s">
        <v>447</v>
      </c>
      <c r="B10" s="479">
        <v>115</v>
      </c>
      <c r="C10" s="479">
        <v>149</v>
      </c>
      <c r="D10" s="479">
        <v>191</v>
      </c>
      <c r="E10" s="576">
        <v>35372</v>
      </c>
      <c r="F10" s="576">
        <v>41612</v>
      </c>
      <c r="G10" s="583">
        <v>51175</v>
      </c>
    </row>
    <row r="11" spans="1:7" ht="14.4" customHeight="1" x14ac:dyDescent="0.3">
      <c r="A11" s="528" t="s">
        <v>448</v>
      </c>
      <c r="B11" s="479">
        <v>148</v>
      </c>
      <c r="C11" s="479">
        <v>395</v>
      </c>
      <c r="D11" s="479">
        <v>162</v>
      </c>
      <c r="E11" s="576">
        <v>43304</v>
      </c>
      <c r="F11" s="576">
        <v>108971</v>
      </c>
      <c r="G11" s="583">
        <v>51675</v>
      </c>
    </row>
    <row r="12" spans="1:7" ht="14.4" customHeight="1" x14ac:dyDescent="0.3">
      <c r="A12" s="528" t="s">
        <v>810</v>
      </c>
      <c r="B12" s="479">
        <v>604</v>
      </c>
      <c r="C12" s="479">
        <v>1006</v>
      </c>
      <c r="D12" s="479">
        <v>1330</v>
      </c>
      <c r="E12" s="576">
        <v>56197</v>
      </c>
      <c r="F12" s="576">
        <v>91347</v>
      </c>
      <c r="G12" s="583">
        <v>133953</v>
      </c>
    </row>
    <row r="13" spans="1:7" ht="14.4" customHeight="1" x14ac:dyDescent="0.3">
      <c r="A13" s="528" t="s">
        <v>811</v>
      </c>
      <c r="B13" s="479"/>
      <c r="C13" s="479"/>
      <c r="D13" s="479">
        <v>49</v>
      </c>
      <c r="E13" s="576"/>
      <c r="F13" s="576"/>
      <c r="G13" s="583">
        <v>20718</v>
      </c>
    </row>
    <row r="14" spans="1:7" ht="14.4" customHeight="1" x14ac:dyDescent="0.3">
      <c r="A14" s="528" t="s">
        <v>449</v>
      </c>
      <c r="B14" s="479">
        <v>84</v>
      </c>
      <c r="C14" s="479">
        <v>114</v>
      </c>
      <c r="D14" s="479">
        <v>495</v>
      </c>
      <c r="E14" s="576">
        <v>40013</v>
      </c>
      <c r="F14" s="576">
        <v>46171</v>
      </c>
      <c r="G14" s="583">
        <v>197691</v>
      </c>
    </row>
    <row r="15" spans="1:7" ht="14.4" customHeight="1" thickBot="1" x14ac:dyDescent="0.35">
      <c r="A15" s="578" t="s">
        <v>812</v>
      </c>
      <c r="B15" s="458"/>
      <c r="C15" s="458"/>
      <c r="D15" s="458">
        <v>2</v>
      </c>
      <c r="E15" s="577"/>
      <c r="F15" s="577"/>
      <c r="G15" s="584">
        <v>250</v>
      </c>
    </row>
    <row r="16" spans="1:7" ht="14.4" customHeight="1" x14ac:dyDescent="0.3">
      <c r="A16" s="579" t="s">
        <v>804</v>
      </c>
    </row>
    <row r="17" spans="1:1" ht="14.4" customHeight="1" x14ac:dyDescent="0.3">
      <c r="A17" s="580" t="s">
        <v>805</v>
      </c>
    </row>
    <row r="18" spans="1:1" ht="14.4" customHeight="1" x14ac:dyDescent="0.3">
      <c r="A18" s="579" t="s">
        <v>806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120</v>
      </c>
      <c r="B1" s="325"/>
      <c r="C1" s="326"/>
      <c r="D1" s="326"/>
      <c r="E1" s="326"/>
    </row>
    <row r="2" spans="1:5" ht="14.4" customHeight="1" thickBot="1" x14ac:dyDescent="0.35">
      <c r="A2" s="235" t="s">
        <v>273</v>
      </c>
      <c r="B2" s="152"/>
    </row>
    <row r="3" spans="1:5" ht="14.4" customHeight="1" thickBot="1" x14ac:dyDescent="0.35">
      <c r="A3" s="155"/>
      <c r="C3" s="156" t="s">
        <v>107</v>
      </c>
      <c r="D3" s="157" t="s">
        <v>72</v>
      </c>
      <c r="E3" s="158" t="s">
        <v>74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974.51634452989947</v>
      </c>
      <c r="D4" s="161">
        <f ca="1">IF(ISERROR(VLOOKUP("Náklady celkem",INDIRECT("HI!$A:$G"),5,0)),0,VLOOKUP("Náklady celkem",INDIRECT("HI!$A:$G"),5,0))</f>
        <v>805.57585000000108</v>
      </c>
      <c r="E4" s="162">
        <f ca="1">IF(C4=0,0,D4/C4)</f>
        <v>0.82664170233964196</v>
      </c>
    </row>
    <row r="5" spans="1:5" ht="14.4" customHeight="1" x14ac:dyDescent="0.3">
      <c r="A5" s="163" t="s">
        <v>148</v>
      </c>
      <c r="B5" s="164"/>
      <c r="C5" s="165"/>
      <c r="D5" s="165"/>
      <c r="E5" s="166"/>
    </row>
    <row r="6" spans="1:5" ht="14.4" customHeight="1" x14ac:dyDescent="0.3">
      <c r="A6" s="167" t="s">
        <v>153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0.39045623634950005</v>
      </c>
      <c r="D7" s="169">
        <f>IF(ISERROR(HI!E5),"",HI!E5)</f>
        <v>0</v>
      </c>
      <c r="E7" s="166">
        <f t="shared" ref="E7:E14" si="0">IF(C7=0,0,D7/C7)</f>
        <v>0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248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149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115</v>
      </c>
      <c r="C10" s="171">
        <v>0.6</v>
      </c>
      <c r="D10" s="171">
        <f>IF(ISERROR(VLOOKUP("Celkem",'Léky Recepty'!B:H,5,0)),0,VLOOKUP("Celkem",'Léky Recepty'!B:H,5,0))</f>
        <v>0.42687911081705482</v>
      </c>
      <c r="E10" s="166">
        <f t="shared" si="0"/>
        <v>0.71146518469509135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142</v>
      </c>
      <c r="C11" s="171">
        <v>0.8</v>
      </c>
      <c r="D11" s="171">
        <f>IF(ISERROR(VLOOKUP("Celkem",'LRp PL'!A:F,5,0)),0,VLOOKUP("Celkem",'LRp PL'!A:F,5,0))</f>
        <v>0.91554712268811789</v>
      </c>
      <c r="E11" s="166">
        <f t="shared" si="0"/>
        <v>1.1444339033601474</v>
      </c>
    </row>
    <row r="12" spans="1:5" ht="14.4" customHeight="1" x14ac:dyDescent="0.3">
      <c r="A12" s="172" t="s">
        <v>150</v>
      </c>
      <c r="B12" s="168"/>
      <c r="C12" s="169"/>
      <c r="D12" s="169"/>
      <c r="E12" s="166"/>
    </row>
    <row r="13" spans="1:5" ht="14.4" customHeight="1" x14ac:dyDescent="0.3">
      <c r="A13" s="173" t="s">
        <v>154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4.7653931832350001</v>
      </c>
      <c r="D14" s="169">
        <f>IF(ISERROR(HI!E6),"",HI!E6)</f>
        <v>0.51983999999999997</v>
      </c>
      <c r="E14" s="166">
        <f t="shared" si="0"/>
        <v>0.10908648667833641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811.83330776255002</v>
      </c>
      <c r="D15" s="165">
        <f ca="1">IF(ISERROR(VLOOKUP("Osobní náklady (Kč) *",INDIRECT("HI!$A:$G"),5,0)),0,VLOOKUP("Osobní náklady (Kč) *",INDIRECT("HI!$A:$G"),5,0))</f>
        <v>658.71869000000095</v>
      </c>
      <c r="E15" s="166">
        <f ca="1">IF(C15=0,0,D15/C15)</f>
        <v>0.8113964821367825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254.125</v>
      </c>
      <c r="D17" s="185">
        <f ca="1">IF(ISERROR(VLOOKUP("Výnosy celkem",INDIRECT("HI!$A:$G"),5,0)),0,VLOOKUP("Výnosy celkem",INDIRECT("HI!$A:$G"),5,0))</f>
        <v>492.50400000000002</v>
      </c>
      <c r="E17" s="186">
        <f t="shared" ref="E17:E20" ca="1" si="1">IF(C17=0,0,D17/C17)</f>
        <v>1.9380383669454009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254.125</v>
      </c>
      <c r="D18" s="165">
        <f ca="1">IF(ISERROR(VLOOKUP("Ambulance *",INDIRECT("HI!$A:$G"),5,0)),0,VLOOKUP("Ambulance *",INDIRECT("HI!$A:$G"),5,0))</f>
        <v>492.50400000000002</v>
      </c>
      <c r="E18" s="166">
        <f t="shared" ca="1" si="1"/>
        <v>1.9380383669454009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122</v>
      </c>
      <c r="C19" s="171">
        <v>1</v>
      </c>
      <c r="D19" s="171">
        <f>IF(ISERROR(VLOOKUP("Celkem:",'ZV Vykáz.-A'!$A:$S,7,0)),"",VLOOKUP("Celkem:",'ZV Vykáz.-A'!$A:$S,7,0))</f>
        <v>1.9380383669454009</v>
      </c>
      <c r="E19" s="166">
        <f t="shared" si="1"/>
        <v>1.9380383669454009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124</v>
      </c>
      <c r="C20" s="171">
        <v>0.85</v>
      </c>
      <c r="D20" s="171">
        <f>IF(ISERROR(VLOOKUP("Celkem:",'ZV Vykáz.-H'!$A:$S,7,0)),"",VLOOKUP("Celkem:",'ZV Vykáz.-H'!$A:$S,7,0))</f>
        <v>2.4346041055718475</v>
      </c>
      <c r="E20" s="166">
        <f t="shared" si="1"/>
        <v>2.8642401242021736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151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152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911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273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127</v>
      </c>
      <c r="E3" s="102">
        <f t="shared" ref="E3:N3" si="0">SUBTOTAL(9,E6:E1048576)</f>
        <v>1182</v>
      </c>
      <c r="F3" s="103">
        <f t="shared" si="0"/>
        <v>254125</v>
      </c>
      <c r="G3" s="74"/>
      <c r="H3" s="74"/>
      <c r="I3" s="103">
        <f t="shared" si="0"/>
        <v>1966</v>
      </c>
      <c r="J3" s="103">
        <f t="shared" si="0"/>
        <v>380920</v>
      </c>
      <c r="K3" s="74"/>
      <c r="L3" s="74"/>
      <c r="M3" s="103">
        <f t="shared" si="0"/>
        <v>2447</v>
      </c>
      <c r="N3" s="103">
        <f t="shared" si="0"/>
        <v>492504</v>
      </c>
      <c r="O3" s="75">
        <f>IF(F3=0,0,N3/F3)</f>
        <v>1.9380383669454009</v>
      </c>
      <c r="P3" s="104">
        <f>IF(M3=0,0,N3/M3)</f>
        <v>201.26849203105843</v>
      </c>
    </row>
    <row r="4" spans="1:16" ht="14.4" customHeight="1" x14ac:dyDescent="0.3">
      <c r="A4" s="404" t="s">
        <v>94</v>
      </c>
      <c r="B4" s="405" t="s">
        <v>95</v>
      </c>
      <c r="C4" s="410" t="s">
        <v>70</v>
      </c>
      <c r="D4" s="406" t="s">
        <v>69</v>
      </c>
      <c r="E4" s="407">
        <v>2013</v>
      </c>
      <c r="F4" s="408"/>
      <c r="G4" s="101"/>
      <c r="H4" s="101"/>
      <c r="I4" s="407">
        <v>2014</v>
      </c>
      <c r="J4" s="408"/>
      <c r="K4" s="101"/>
      <c r="L4" s="101"/>
      <c r="M4" s="407">
        <v>2015</v>
      </c>
      <c r="N4" s="408"/>
      <c r="O4" s="409" t="s">
        <v>2</v>
      </c>
      <c r="P4" s="403" t="s">
        <v>97</v>
      </c>
    </row>
    <row r="5" spans="1:16" ht="14.4" customHeight="1" thickBot="1" x14ac:dyDescent="0.35">
      <c r="A5" s="585"/>
      <c r="B5" s="586"/>
      <c r="C5" s="587"/>
      <c r="D5" s="588"/>
      <c r="E5" s="589" t="s">
        <v>71</v>
      </c>
      <c r="F5" s="590" t="s">
        <v>13</v>
      </c>
      <c r="G5" s="591"/>
      <c r="H5" s="591"/>
      <c r="I5" s="589" t="s">
        <v>71</v>
      </c>
      <c r="J5" s="590" t="s">
        <v>13</v>
      </c>
      <c r="K5" s="591"/>
      <c r="L5" s="591"/>
      <c r="M5" s="589" t="s">
        <v>71</v>
      </c>
      <c r="N5" s="590" t="s">
        <v>13</v>
      </c>
      <c r="O5" s="592"/>
      <c r="P5" s="593"/>
    </row>
    <row r="6" spans="1:16" ht="14.4" customHeight="1" x14ac:dyDescent="0.3">
      <c r="A6" s="499" t="s">
        <v>163</v>
      </c>
      <c r="B6" s="500" t="s">
        <v>814</v>
      </c>
      <c r="C6" s="500" t="s">
        <v>815</v>
      </c>
      <c r="D6" s="500" t="s">
        <v>816</v>
      </c>
      <c r="E6" s="116">
        <v>1</v>
      </c>
      <c r="F6" s="116">
        <v>34</v>
      </c>
      <c r="G6" s="500">
        <v>1</v>
      </c>
      <c r="H6" s="500">
        <v>34</v>
      </c>
      <c r="I6" s="116"/>
      <c r="J6" s="116"/>
      <c r="K6" s="500"/>
      <c r="L6" s="500"/>
      <c r="M6" s="116">
        <v>3</v>
      </c>
      <c r="N6" s="116">
        <v>105</v>
      </c>
      <c r="O6" s="505">
        <v>3.0882352941176472</v>
      </c>
      <c r="P6" s="518">
        <v>35</v>
      </c>
    </row>
    <row r="7" spans="1:16" ht="14.4" customHeight="1" x14ac:dyDescent="0.3">
      <c r="A7" s="484" t="s">
        <v>163</v>
      </c>
      <c r="B7" s="478" t="s">
        <v>814</v>
      </c>
      <c r="C7" s="478" t="s">
        <v>817</v>
      </c>
      <c r="D7" s="478" t="s">
        <v>818</v>
      </c>
      <c r="E7" s="479">
        <v>41</v>
      </c>
      <c r="F7" s="479">
        <v>5330</v>
      </c>
      <c r="G7" s="478">
        <v>1</v>
      </c>
      <c r="H7" s="478">
        <v>130</v>
      </c>
      <c r="I7" s="479">
        <v>60</v>
      </c>
      <c r="J7" s="479">
        <v>7800</v>
      </c>
      <c r="K7" s="478">
        <v>1.4634146341463414</v>
      </c>
      <c r="L7" s="478">
        <v>130</v>
      </c>
      <c r="M7" s="479">
        <v>66</v>
      </c>
      <c r="N7" s="479">
        <v>8844</v>
      </c>
      <c r="O7" s="486">
        <v>1.6592870544090057</v>
      </c>
      <c r="P7" s="519">
        <v>134</v>
      </c>
    </row>
    <row r="8" spans="1:16" ht="14.4" customHeight="1" x14ac:dyDescent="0.3">
      <c r="A8" s="484" t="s">
        <v>163</v>
      </c>
      <c r="B8" s="478" t="s">
        <v>814</v>
      </c>
      <c r="C8" s="478" t="s">
        <v>819</v>
      </c>
      <c r="D8" s="478" t="s">
        <v>820</v>
      </c>
      <c r="E8" s="479">
        <v>37</v>
      </c>
      <c r="F8" s="479">
        <v>63085</v>
      </c>
      <c r="G8" s="478">
        <v>1</v>
      </c>
      <c r="H8" s="478">
        <v>1705</v>
      </c>
      <c r="I8" s="479">
        <v>40</v>
      </c>
      <c r="J8" s="479">
        <v>68200</v>
      </c>
      <c r="K8" s="478">
        <v>1.0810810810810811</v>
      </c>
      <c r="L8" s="478">
        <v>1705</v>
      </c>
      <c r="M8" s="479">
        <v>63</v>
      </c>
      <c r="N8" s="479">
        <v>108423</v>
      </c>
      <c r="O8" s="486">
        <v>1.718681144487596</v>
      </c>
      <c r="P8" s="519">
        <v>1721</v>
      </c>
    </row>
    <row r="9" spans="1:16" ht="14.4" customHeight="1" x14ac:dyDescent="0.3">
      <c r="A9" s="484" t="s">
        <v>163</v>
      </c>
      <c r="B9" s="478" t="s">
        <v>814</v>
      </c>
      <c r="C9" s="478" t="s">
        <v>821</v>
      </c>
      <c r="D9" s="478" t="s">
        <v>822</v>
      </c>
      <c r="E9" s="479">
        <v>7</v>
      </c>
      <c r="F9" s="479">
        <v>4074</v>
      </c>
      <c r="G9" s="478">
        <v>1</v>
      </c>
      <c r="H9" s="478">
        <v>582</v>
      </c>
      <c r="I9" s="479">
        <v>2</v>
      </c>
      <c r="J9" s="479">
        <v>1164</v>
      </c>
      <c r="K9" s="478">
        <v>0.2857142857142857</v>
      </c>
      <c r="L9" s="478">
        <v>582</v>
      </c>
      <c r="M9" s="479">
        <v>68</v>
      </c>
      <c r="N9" s="479">
        <v>39984</v>
      </c>
      <c r="O9" s="486">
        <v>9.8144329896907223</v>
      </c>
      <c r="P9" s="519">
        <v>588</v>
      </c>
    </row>
    <row r="10" spans="1:16" ht="14.4" customHeight="1" x14ac:dyDescent="0.3">
      <c r="A10" s="484" t="s">
        <v>163</v>
      </c>
      <c r="B10" s="478" t="s">
        <v>814</v>
      </c>
      <c r="C10" s="478" t="s">
        <v>823</v>
      </c>
      <c r="D10" s="478" t="s">
        <v>824</v>
      </c>
      <c r="E10" s="479">
        <v>20</v>
      </c>
      <c r="F10" s="479">
        <v>6540</v>
      </c>
      <c r="G10" s="478">
        <v>1</v>
      </c>
      <c r="H10" s="478">
        <v>327</v>
      </c>
      <c r="I10" s="479">
        <v>23</v>
      </c>
      <c r="J10" s="479">
        <v>7521</v>
      </c>
      <c r="K10" s="478">
        <v>1.1499999999999999</v>
      </c>
      <c r="L10" s="478">
        <v>327</v>
      </c>
      <c r="M10" s="479">
        <v>27</v>
      </c>
      <c r="N10" s="479">
        <v>11826</v>
      </c>
      <c r="O10" s="486">
        <v>1.808256880733945</v>
      </c>
      <c r="P10" s="519">
        <v>438</v>
      </c>
    </row>
    <row r="11" spans="1:16" ht="14.4" customHeight="1" x14ac:dyDescent="0.3">
      <c r="A11" s="484" t="s">
        <v>163</v>
      </c>
      <c r="B11" s="478" t="s">
        <v>814</v>
      </c>
      <c r="C11" s="478" t="s">
        <v>825</v>
      </c>
      <c r="D11" s="478" t="s">
        <v>826</v>
      </c>
      <c r="E11" s="479">
        <v>9</v>
      </c>
      <c r="F11" s="479">
        <v>0</v>
      </c>
      <c r="G11" s="478"/>
      <c r="H11" s="478">
        <v>0</v>
      </c>
      <c r="I11" s="479">
        <v>4</v>
      </c>
      <c r="J11" s="479">
        <v>0</v>
      </c>
      <c r="K11" s="478"/>
      <c r="L11" s="478">
        <v>0</v>
      </c>
      <c r="M11" s="479">
        <v>57</v>
      </c>
      <c r="N11" s="479">
        <v>0</v>
      </c>
      <c r="O11" s="486"/>
      <c r="P11" s="519">
        <v>0</v>
      </c>
    </row>
    <row r="12" spans="1:16" ht="14.4" customHeight="1" x14ac:dyDescent="0.3">
      <c r="A12" s="484" t="s">
        <v>163</v>
      </c>
      <c r="B12" s="478" t="s">
        <v>814</v>
      </c>
      <c r="C12" s="478" t="s">
        <v>827</v>
      </c>
      <c r="D12" s="478" t="s">
        <v>828</v>
      </c>
      <c r="E12" s="479"/>
      <c r="F12" s="479"/>
      <c r="G12" s="478"/>
      <c r="H12" s="478"/>
      <c r="I12" s="479">
        <v>1</v>
      </c>
      <c r="J12" s="479">
        <v>35</v>
      </c>
      <c r="K12" s="478"/>
      <c r="L12" s="478">
        <v>35</v>
      </c>
      <c r="M12" s="479">
        <v>2</v>
      </c>
      <c r="N12" s="479">
        <v>72</v>
      </c>
      <c r="O12" s="486"/>
      <c r="P12" s="519">
        <v>36</v>
      </c>
    </row>
    <row r="13" spans="1:16" ht="14.4" customHeight="1" x14ac:dyDescent="0.3">
      <c r="A13" s="484" t="s">
        <v>163</v>
      </c>
      <c r="B13" s="478" t="s">
        <v>814</v>
      </c>
      <c r="C13" s="478" t="s">
        <v>829</v>
      </c>
      <c r="D13" s="478" t="s">
        <v>830</v>
      </c>
      <c r="E13" s="479">
        <v>8</v>
      </c>
      <c r="F13" s="479">
        <v>992</v>
      </c>
      <c r="G13" s="478">
        <v>1</v>
      </c>
      <c r="H13" s="478">
        <v>124</v>
      </c>
      <c r="I13" s="479">
        <v>40</v>
      </c>
      <c r="J13" s="479">
        <v>4960</v>
      </c>
      <c r="K13" s="478">
        <v>5</v>
      </c>
      <c r="L13" s="478">
        <v>124</v>
      </c>
      <c r="M13" s="479">
        <v>32</v>
      </c>
      <c r="N13" s="479">
        <v>4000</v>
      </c>
      <c r="O13" s="486">
        <v>4.032258064516129</v>
      </c>
      <c r="P13" s="519">
        <v>125</v>
      </c>
    </row>
    <row r="14" spans="1:16" ht="14.4" customHeight="1" x14ac:dyDescent="0.3">
      <c r="A14" s="484" t="s">
        <v>163</v>
      </c>
      <c r="B14" s="478" t="s">
        <v>814</v>
      </c>
      <c r="C14" s="478" t="s">
        <v>831</v>
      </c>
      <c r="D14" s="478" t="s">
        <v>832</v>
      </c>
      <c r="E14" s="479">
        <v>20</v>
      </c>
      <c r="F14" s="479">
        <v>12900</v>
      </c>
      <c r="G14" s="478">
        <v>1</v>
      </c>
      <c r="H14" s="478">
        <v>645</v>
      </c>
      <c r="I14" s="479">
        <v>40</v>
      </c>
      <c r="J14" s="479">
        <v>25800</v>
      </c>
      <c r="K14" s="478">
        <v>2</v>
      </c>
      <c r="L14" s="478">
        <v>645</v>
      </c>
      <c r="M14" s="479">
        <v>51</v>
      </c>
      <c r="N14" s="479">
        <v>33303</v>
      </c>
      <c r="O14" s="486">
        <v>2.581627906976744</v>
      </c>
      <c r="P14" s="519">
        <v>653</v>
      </c>
    </row>
    <row r="15" spans="1:16" ht="14.4" customHeight="1" x14ac:dyDescent="0.3">
      <c r="A15" s="484" t="s">
        <v>163</v>
      </c>
      <c r="B15" s="478" t="s">
        <v>814</v>
      </c>
      <c r="C15" s="478" t="s">
        <v>833</v>
      </c>
      <c r="D15" s="478" t="s">
        <v>834</v>
      </c>
      <c r="E15" s="479"/>
      <c r="F15" s="479"/>
      <c r="G15" s="478"/>
      <c r="H15" s="478"/>
      <c r="I15" s="479">
        <v>1</v>
      </c>
      <c r="J15" s="479">
        <v>163</v>
      </c>
      <c r="K15" s="478"/>
      <c r="L15" s="478">
        <v>163</v>
      </c>
      <c r="M15" s="479">
        <v>15</v>
      </c>
      <c r="N15" s="479">
        <v>3285</v>
      </c>
      <c r="O15" s="486"/>
      <c r="P15" s="519">
        <v>219</v>
      </c>
    </row>
    <row r="16" spans="1:16" ht="14.4" customHeight="1" x14ac:dyDescent="0.3">
      <c r="A16" s="484" t="s">
        <v>163</v>
      </c>
      <c r="B16" s="478" t="s">
        <v>814</v>
      </c>
      <c r="C16" s="478" t="s">
        <v>835</v>
      </c>
      <c r="D16" s="478" t="s">
        <v>836</v>
      </c>
      <c r="E16" s="479"/>
      <c r="F16" s="479"/>
      <c r="G16" s="478"/>
      <c r="H16" s="478"/>
      <c r="I16" s="479">
        <v>1</v>
      </c>
      <c r="J16" s="479">
        <v>69</v>
      </c>
      <c r="K16" s="478"/>
      <c r="L16" s="478">
        <v>69</v>
      </c>
      <c r="M16" s="479"/>
      <c r="N16" s="479"/>
      <c r="O16" s="486"/>
      <c r="P16" s="519"/>
    </row>
    <row r="17" spans="1:16" ht="14.4" customHeight="1" x14ac:dyDescent="0.3">
      <c r="A17" s="484" t="s">
        <v>163</v>
      </c>
      <c r="B17" s="478" t="s">
        <v>814</v>
      </c>
      <c r="C17" s="478" t="s">
        <v>837</v>
      </c>
      <c r="D17" s="478" t="s">
        <v>838</v>
      </c>
      <c r="E17" s="479">
        <v>1</v>
      </c>
      <c r="F17" s="479">
        <v>206</v>
      </c>
      <c r="G17" s="478">
        <v>1</v>
      </c>
      <c r="H17" s="478">
        <v>206</v>
      </c>
      <c r="I17" s="479">
        <v>5</v>
      </c>
      <c r="J17" s="479">
        <v>1030</v>
      </c>
      <c r="K17" s="478">
        <v>5</v>
      </c>
      <c r="L17" s="478">
        <v>206</v>
      </c>
      <c r="M17" s="479">
        <v>63</v>
      </c>
      <c r="N17" s="479">
        <v>13230</v>
      </c>
      <c r="O17" s="486">
        <v>64.22330097087378</v>
      </c>
      <c r="P17" s="519">
        <v>210</v>
      </c>
    </row>
    <row r="18" spans="1:16" ht="14.4" customHeight="1" x14ac:dyDescent="0.3">
      <c r="A18" s="484" t="s">
        <v>163</v>
      </c>
      <c r="B18" s="478" t="s">
        <v>814</v>
      </c>
      <c r="C18" s="478" t="s">
        <v>839</v>
      </c>
      <c r="D18" s="478" t="s">
        <v>840</v>
      </c>
      <c r="E18" s="479">
        <v>57</v>
      </c>
      <c r="F18" s="479">
        <v>4332</v>
      </c>
      <c r="G18" s="478">
        <v>1</v>
      </c>
      <c r="H18" s="478">
        <v>76</v>
      </c>
      <c r="I18" s="479">
        <v>6</v>
      </c>
      <c r="J18" s="479">
        <v>456</v>
      </c>
      <c r="K18" s="478">
        <v>0.10526315789473684</v>
      </c>
      <c r="L18" s="478">
        <v>76</v>
      </c>
      <c r="M18" s="479">
        <v>161</v>
      </c>
      <c r="N18" s="479">
        <v>12397</v>
      </c>
      <c r="O18" s="486">
        <v>2.8617266851338874</v>
      </c>
      <c r="P18" s="519">
        <v>77</v>
      </c>
    </row>
    <row r="19" spans="1:16" ht="14.4" customHeight="1" x14ac:dyDescent="0.3">
      <c r="A19" s="484" t="s">
        <v>163</v>
      </c>
      <c r="B19" s="478" t="s">
        <v>814</v>
      </c>
      <c r="C19" s="478" t="s">
        <v>841</v>
      </c>
      <c r="D19" s="478" t="s">
        <v>842</v>
      </c>
      <c r="E19" s="479"/>
      <c r="F19" s="479"/>
      <c r="G19" s="478"/>
      <c r="H19" s="478"/>
      <c r="I19" s="479"/>
      <c r="J19" s="479"/>
      <c r="K19" s="478"/>
      <c r="L19" s="478"/>
      <c r="M19" s="479">
        <v>4</v>
      </c>
      <c r="N19" s="479">
        <v>840</v>
      </c>
      <c r="O19" s="486"/>
      <c r="P19" s="519">
        <v>210</v>
      </c>
    </row>
    <row r="20" spans="1:16" ht="14.4" customHeight="1" x14ac:dyDescent="0.3">
      <c r="A20" s="484" t="s">
        <v>163</v>
      </c>
      <c r="B20" s="478" t="s">
        <v>814</v>
      </c>
      <c r="C20" s="478" t="s">
        <v>843</v>
      </c>
      <c r="D20" s="478" t="s">
        <v>844</v>
      </c>
      <c r="E20" s="479"/>
      <c r="F20" s="479"/>
      <c r="G20" s="478"/>
      <c r="H20" s="478"/>
      <c r="I20" s="479">
        <v>1</v>
      </c>
      <c r="J20" s="479">
        <v>56</v>
      </c>
      <c r="K20" s="478"/>
      <c r="L20" s="478">
        <v>56</v>
      </c>
      <c r="M20" s="479"/>
      <c r="N20" s="479"/>
      <c r="O20" s="486"/>
      <c r="P20" s="519"/>
    </row>
    <row r="21" spans="1:16" ht="14.4" customHeight="1" x14ac:dyDescent="0.3">
      <c r="A21" s="484" t="s">
        <v>845</v>
      </c>
      <c r="B21" s="478" t="s">
        <v>814</v>
      </c>
      <c r="C21" s="478" t="s">
        <v>815</v>
      </c>
      <c r="D21" s="478" t="s">
        <v>816</v>
      </c>
      <c r="E21" s="479">
        <v>9</v>
      </c>
      <c r="F21" s="479">
        <v>306</v>
      </c>
      <c r="G21" s="478">
        <v>1</v>
      </c>
      <c r="H21" s="478">
        <v>34</v>
      </c>
      <c r="I21" s="479"/>
      <c r="J21" s="479"/>
      <c r="K21" s="478"/>
      <c r="L21" s="478"/>
      <c r="M21" s="479">
        <v>1</v>
      </c>
      <c r="N21" s="479">
        <v>35</v>
      </c>
      <c r="O21" s="486">
        <v>0.11437908496732026</v>
      </c>
      <c r="P21" s="519">
        <v>35</v>
      </c>
    </row>
    <row r="22" spans="1:16" ht="14.4" customHeight="1" x14ac:dyDescent="0.3">
      <c r="A22" s="484" t="s">
        <v>845</v>
      </c>
      <c r="B22" s="478" t="s">
        <v>814</v>
      </c>
      <c r="C22" s="478" t="s">
        <v>846</v>
      </c>
      <c r="D22" s="478" t="s">
        <v>847</v>
      </c>
      <c r="E22" s="479">
        <v>10</v>
      </c>
      <c r="F22" s="479">
        <v>6450</v>
      </c>
      <c r="G22" s="478">
        <v>1</v>
      </c>
      <c r="H22" s="478">
        <v>645</v>
      </c>
      <c r="I22" s="479">
        <v>2</v>
      </c>
      <c r="J22" s="479">
        <v>1290</v>
      </c>
      <c r="K22" s="478">
        <v>0.2</v>
      </c>
      <c r="L22" s="478">
        <v>645</v>
      </c>
      <c r="M22" s="479">
        <v>8</v>
      </c>
      <c r="N22" s="479">
        <v>5224</v>
      </c>
      <c r="O22" s="486">
        <v>0.80992248062015504</v>
      </c>
      <c r="P22" s="519">
        <v>653</v>
      </c>
    </row>
    <row r="23" spans="1:16" ht="14.4" customHeight="1" x14ac:dyDescent="0.3">
      <c r="A23" s="484" t="s">
        <v>845</v>
      </c>
      <c r="B23" s="478" t="s">
        <v>814</v>
      </c>
      <c r="C23" s="478" t="s">
        <v>848</v>
      </c>
      <c r="D23" s="478" t="s">
        <v>849</v>
      </c>
      <c r="E23" s="479"/>
      <c r="F23" s="479"/>
      <c r="G23" s="478"/>
      <c r="H23" s="478"/>
      <c r="I23" s="479">
        <v>1</v>
      </c>
      <c r="J23" s="479">
        <v>99</v>
      </c>
      <c r="K23" s="478"/>
      <c r="L23" s="478">
        <v>99</v>
      </c>
      <c r="M23" s="479">
        <v>14</v>
      </c>
      <c r="N23" s="479">
        <v>1400</v>
      </c>
      <c r="O23" s="486"/>
      <c r="P23" s="519">
        <v>100</v>
      </c>
    </row>
    <row r="24" spans="1:16" ht="14.4" customHeight="1" x14ac:dyDescent="0.3">
      <c r="A24" s="484" t="s">
        <v>845</v>
      </c>
      <c r="B24" s="478" t="s">
        <v>814</v>
      </c>
      <c r="C24" s="478" t="s">
        <v>850</v>
      </c>
      <c r="D24" s="478" t="s">
        <v>851</v>
      </c>
      <c r="E24" s="479">
        <v>27</v>
      </c>
      <c r="F24" s="479">
        <v>25380</v>
      </c>
      <c r="G24" s="478">
        <v>1</v>
      </c>
      <c r="H24" s="478">
        <v>940</v>
      </c>
      <c r="I24" s="479">
        <v>14</v>
      </c>
      <c r="J24" s="479">
        <v>13160</v>
      </c>
      <c r="K24" s="478">
        <v>0.51851851851851849</v>
      </c>
      <c r="L24" s="478">
        <v>940</v>
      </c>
      <c r="M24" s="479">
        <v>12</v>
      </c>
      <c r="N24" s="479">
        <v>11376</v>
      </c>
      <c r="O24" s="486">
        <v>0.44822695035460991</v>
      </c>
      <c r="P24" s="519">
        <v>948</v>
      </c>
    </row>
    <row r="25" spans="1:16" ht="14.4" customHeight="1" x14ac:dyDescent="0.3">
      <c r="A25" s="484" t="s">
        <v>845</v>
      </c>
      <c r="B25" s="478" t="s">
        <v>814</v>
      </c>
      <c r="C25" s="478" t="s">
        <v>825</v>
      </c>
      <c r="D25" s="478" t="s">
        <v>826</v>
      </c>
      <c r="E25" s="479">
        <v>14</v>
      </c>
      <c r="F25" s="479">
        <v>0</v>
      </c>
      <c r="G25" s="478"/>
      <c r="H25" s="478">
        <v>0</v>
      </c>
      <c r="I25" s="479">
        <v>1</v>
      </c>
      <c r="J25" s="479">
        <v>0</v>
      </c>
      <c r="K25" s="478"/>
      <c r="L25" s="478">
        <v>0</v>
      </c>
      <c r="M25" s="479">
        <v>56</v>
      </c>
      <c r="N25" s="479">
        <v>0</v>
      </c>
      <c r="O25" s="486"/>
      <c r="P25" s="519">
        <v>0</v>
      </c>
    </row>
    <row r="26" spans="1:16" ht="14.4" customHeight="1" x14ac:dyDescent="0.3">
      <c r="A26" s="484" t="s">
        <v>845</v>
      </c>
      <c r="B26" s="478" t="s">
        <v>814</v>
      </c>
      <c r="C26" s="478" t="s">
        <v>852</v>
      </c>
      <c r="D26" s="478" t="s">
        <v>853</v>
      </c>
      <c r="E26" s="479">
        <v>25</v>
      </c>
      <c r="F26" s="479">
        <v>13400</v>
      </c>
      <c r="G26" s="478">
        <v>1</v>
      </c>
      <c r="H26" s="478">
        <v>536</v>
      </c>
      <c r="I26" s="479">
        <v>53</v>
      </c>
      <c r="J26" s="479">
        <v>28408</v>
      </c>
      <c r="K26" s="478">
        <v>2.12</v>
      </c>
      <c r="L26" s="478">
        <v>536</v>
      </c>
      <c r="M26" s="479">
        <v>59</v>
      </c>
      <c r="N26" s="479">
        <v>19824</v>
      </c>
      <c r="O26" s="486">
        <v>1.4794029850746269</v>
      </c>
      <c r="P26" s="519">
        <v>336</v>
      </c>
    </row>
    <row r="27" spans="1:16" ht="14.4" customHeight="1" x14ac:dyDescent="0.3">
      <c r="A27" s="484" t="s">
        <v>845</v>
      </c>
      <c r="B27" s="478" t="s">
        <v>814</v>
      </c>
      <c r="C27" s="478" t="s">
        <v>854</v>
      </c>
      <c r="D27" s="478" t="s">
        <v>855</v>
      </c>
      <c r="E27" s="479">
        <v>28</v>
      </c>
      <c r="F27" s="479">
        <v>16240</v>
      </c>
      <c r="G27" s="478">
        <v>1</v>
      </c>
      <c r="H27" s="478">
        <v>580</v>
      </c>
      <c r="I27" s="479">
        <v>69</v>
      </c>
      <c r="J27" s="479">
        <v>40020</v>
      </c>
      <c r="K27" s="478">
        <v>2.4642857142857144</v>
      </c>
      <c r="L27" s="478">
        <v>580</v>
      </c>
      <c r="M27" s="479">
        <v>15</v>
      </c>
      <c r="N27" s="479">
        <v>8790</v>
      </c>
      <c r="O27" s="486">
        <v>0.54125615763546797</v>
      </c>
      <c r="P27" s="519">
        <v>586</v>
      </c>
    </row>
    <row r="28" spans="1:16" ht="14.4" customHeight="1" x14ac:dyDescent="0.3">
      <c r="A28" s="484" t="s">
        <v>845</v>
      </c>
      <c r="B28" s="478" t="s">
        <v>814</v>
      </c>
      <c r="C28" s="478" t="s">
        <v>856</v>
      </c>
      <c r="D28" s="478" t="s">
        <v>857</v>
      </c>
      <c r="E28" s="479"/>
      <c r="F28" s="479"/>
      <c r="G28" s="478"/>
      <c r="H28" s="478"/>
      <c r="I28" s="479">
        <v>1</v>
      </c>
      <c r="J28" s="479">
        <v>327</v>
      </c>
      <c r="K28" s="478"/>
      <c r="L28" s="478">
        <v>327</v>
      </c>
      <c r="M28" s="479">
        <v>1</v>
      </c>
      <c r="N28" s="479">
        <v>331</v>
      </c>
      <c r="O28" s="486"/>
      <c r="P28" s="519">
        <v>331</v>
      </c>
    </row>
    <row r="29" spans="1:16" ht="14.4" customHeight="1" x14ac:dyDescent="0.3">
      <c r="A29" s="484" t="s">
        <v>845</v>
      </c>
      <c r="B29" s="478" t="s">
        <v>814</v>
      </c>
      <c r="C29" s="478" t="s">
        <v>837</v>
      </c>
      <c r="D29" s="478" t="s">
        <v>838</v>
      </c>
      <c r="E29" s="479">
        <v>1</v>
      </c>
      <c r="F29" s="479">
        <v>206</v>
      </c>
      <c r="G29" s="478">
        <v>1</v>
      </c>
      <c r="H29" s="478">
        <v>206</v>
      </c>
      <c r="I29" s="479"/>
      <c r="J29" s="479"/>
      <c r="K29" s="478"/>
      <c r="L29" s="478"/>
      <c r="M29" s="479">
        <v>3</v>
      </c>
      <c r="N29" s="479">
        <v>630</v>
      </c>
      <c r="O29" s="486">
        <v>3.058252427184466</v>
      </c>
      <c r="P29" s="519">
        <v>210</v>
      </c>
    </row>
    <row r="30" spans="1:16" ht="14.4" customHeight="1" x14ac:dyDescent="0.3">
      <c r="A30" s="484" t="s">
        <v>845</v>
      </c>
      <c r="B30" s="478" t="s">
        <v>814</v>
      </c>
      <c r="C30" s="478" t="s">
        <v>839</v>
      </c>
      <c r="D30" s="478" t="s">
        <v>840</v>
      </c>
      <c r="E30" s="479">
        <v>15</v>
      </c>
      <c r="F30" s="479">
        <v>1140</v>
      </c>
      <c r="G30" s="478">
        <v>1</v>
      </c>
      <c r="H30" s="478">
        <v>76</v>
      </c>
      <c r="I30" s="479"/>
      <c r="J30" s="479"/>
      <c r="K30" s="478"/>
      <c r="L30" s="478"/>
      <c r="M30" s="479">
        <v>3</v>
      </c>
      <c r="N30" s="479">
        <v>231</v>
      </c>
      <c r="O30" s="486">
        <v>0.20263157894736841</v>
      </c>
      <c r="P30" s="519">
        <v>77</v>
      </c>
    </row>
    <row r="31" spans="1:16" ht="14.4" customHeight="1" x14ac:dyDescent="0.3">
      <c r="A31" s="484" t="s">
        <v>845</v>
      </c>
      <c r="B31" s="478" t="s">
        <v>814</v>
      </c>
      <c r="C31" s="478" t="s">
        <v>858</v>
      </c>
      <c r="D31" s="478" t="s">
        <v>859</v>
      </c>
      <c r="E31" s="479"/>
      <c r="F31" s="479"/>
      <c r="G31" s="478"/>
      <c r="H31" s="478"/>
      <c r="I31" s="479"/>
      <c r="J31" s="479"/>
      <c r="K31" s="478"/>
      <c r="L31" s="478"/>
      <c r="M31" s="479">
        <v>47</v>
      </c>
      <c r="N31" s="479">
        <v>7755</v>
      </c>
      <c r="O31" s="486"/>
      <c r="P31" s="519">
        <v>165</v>
      </c>
    </row>
    <row r="32" spans="1:16" ht="14.4" customHeight="1" x14ac:dyDescent="0.3">
      <c r="A32" s="484" t="s">
        <v>860</v>
      </c>
      <c r="B32" s="478" t="s">
        <v>814</v>
      </c>
      <c r="C32" s="478" t="s">
        <v>861</v>
      </c>
      <c r="D32" s="478" t="s">
        <v>862</v>
      </c>
      <c r="E32" s="479"/>
      <c r="F32" s="479"/>
      <c r="G32" s="478"/>
      <c r="H32" s="478"/>
      <c r="I32" s="479">
        <v>2</v>
      </c>
      <c r="J32" s="479">
        <v>312</v>
      </c>
      <c r="K32" s="478"/>
      <c r="L32" s="478">
        <v>156</v>
      </c>
      <c r="M32" s="479"/>
      <c r="N32" s="479"/>
      <c r="O32" s="486"/>
      <c r="P32" s="519"/>
    </row>
    <row r="33" spans="1:16" ht="14.4" customHeight="1" x14ac:dyDescent="0.3">
      <c r="A33" s="484" t="s">
        <v>860</v>
      </c>
      <c r="B33" s="478" t="s">
        <v>814</v>
      </c>
      <c r="C33" s="478" t="s">
        <v>815</v>
      </c>
      <c r="D33" s="478" t="s">
        <v>816</v>
      </c>
      <c r="E33" s="479">
        <v>63</v>
      </c>
      <c r="F33" s="479">
        <v>2142</v>
      </c>
      <c r="G33" s="478">
        <v>1</v>
      </c>
      <c r="H33" s="478">
        <v>34</v>
      </c>
      <c r="I33" s="479">
        <v>59</v>
      </c>
      <c r="J33" s="479">
        <v>2006</v>
      </c>
      <c r="K33" s="478">
        <v>0.93650793650793651</v>
      </c>
      <c r="L33" s="478">
        <v>34</v>
      </c>
      <c r="M33" s="479">
        <v>31</v>
      </c>
      <c r="N33" s="479">
        <v>1085</v>
      </c>
      <c r="O33" s="486">
        <v>0.50653594771241828</v>
      </c>
      <c r="P33" s="519">
        <v>35</v>
      </c>
    </row>
    <row r="34" spans="1:16" ht="14.4" customHeight="1" x14ac:dyDescent="0.3">
      <c r="A34" s="484" t="s">
        <v>860</v>
      </c>
      <c r="B34" s="478" t="s">
        <v>814</v>
      </c>
      <c r="C34" s="478" t="s">
        <v>817</v>
      </c>
      <c r="D34" s="478" t="s">
        <v>818</v>
      </c>
      <c r="E34" s="479"/>
      <c r="F34" s="479"/>
      <c r="G34" s="478"/>
      <c r="H34" s="478"/>
      <c r="I34" s="479"/>
      <c r="J34" s="479"/>
      <c r="K34" s="478"/>
      <c r="L34" s="478"/>
      <c r="M34" s="479">
        <v>5</v>
      </c>
      <c r="N34" s="479">
        <v>670</v>
      </c>
      <c r="O34" s="486"/>
      <c r="P34" s="519">
        <v>134</v>
      </c>
    </row>
    <row r="35" spans="1:16" ht="14.4" customHeight="1" x14ac:dyDescent="0.3">
      <c r="A35" s="484" t="s">
        <v>860</v>
      </c>
      <c r="B35" s="478" t="s">
        <v>814</v>
      </c>
      <c r="C35" s="478" t="s">
        <v>863</v>
      </c>
      <c r="D35" s="478" t="s">
        <v>864</v>
      </c>
      <c r="E35" s="479"/>
      <c r="F35" s="479"/>
      <c r="G35" s="478"/>
      <c r="H35" s="478"/>
      <c r="I35" s="479"/>
      <c r="J35" s="479"/>
      <c r="K35" s="478"/>
      <c r="L35" s="478"/>
      <c r="M35" s="479">
        <v>8</v>
      </c>
      <c r="N35" s="479">
        <v>7640</v>
      </c>
      <c r="O35" s="486"/>
      <c r="P35" s="519">
        <v>955</v>
      </c>
    </row>
    <row r="36" spans="1:16" ht="14.4" customHeight="1" x14ac:dyDescent="0.3">
      <c r="A36" s="484" t="s">
        <v>860</v>
      </c>
      <c r="B36" s="478" t="s">
        <v>814</v>
      </c>
      <c r="C36" s="478" t="s">
        <v>823</v>
      </c>
      <c r="D36" s="478" t="s">
        <v>824</v>
      </c>
      <c r="E36" s="479"/>
      <c r="F36" s="479"/>
      <c r="G36" s="478"/>
      <c r="H36" s="478"/>
      <c r="I36" s="479"/>
      <c r="J36" s="479"/>
      <c r="K36" s="478"/>
      <c r="L36" s="478"/>
      <c r="M36" s="479">
        <v>2</v>
      </c>
      <c r="N36" s="479">
        <v>876</v>
      </c>
      <c r="O36" s="486"/>
      <c r="P36" s="519">
        <v>438</v>
      </c>
    </row>
    <row r="37" spans="1:16" ht="14.4" customHeight="1" x14ac:dyDescent="0.3">
      <c r="A37" s="484" t="s">
        <v>860</v>
      </c>
      <c r="B37" s="478" t="s">
        <v>814</v>
      </c>
      <c r="C37" s="478" t="s">
        <v>825</v>
      </c>
      <c r="D37" s="478" t="s">
        <v>826</v>
      </c>
      <c r="E37" s="479">
        <v>15</v>
      </c>
      <c r="F37" s="479">
        <v>0</v>
      </c>
      <c r="G37" s="478"/>
      <c r="H37" s="478">
        <v>0</v>
      </c>
      <c r="I37" s="479">
        <v>58</v>
      </c>
      <c r="J37" s="479">
        <v>0</v>
      </c>
      <c r="K37" s="478"/>
      <c r="L37" s="478">
        <v>0</v>
      </c>
      <c r="M37" s="479"/>
      <c r="N37" s="479"/>
      <c r="O37" s="486"/>
      <c r="P37" s="519"/>
    </row>
    <row r="38" spans="1:16" ht="14.4" customHeight="1" x14ac:dyDescent="0.3">
      <c r="A38" s="484" t="s">
        <v>860</v>
      </c>
      <c r="B38" s="478" t="s">
        <v>814</v>
      </c>
      <c r="C38" s="478" t="s">
        <v>827</v>
      </c>
      <c r="D38" s="478" t="s">
        <v>828</v>
      </c>
      <c r="E38" s="479">
        <v>4</v>
      </c>
      <c r="F38" s="479">
        <v>140</v>
      </c>
      <c r="G38" s="478">
        <v>1</v>
      </c>
      <c r="H38" s="478">
        <v>35</v>
      </c>
      <c r="I38" s="479">
        <v>26</v>
      </c>
      <c r="J38" s="479">
        <v>910</v>
      </c>
      <c r="K38" s="478">
        <v>6.5</v>
      </c>
      <c r="L38" s="478">
        <v>35</v>
      </c>
      <c r="M38" s="479">
        <v>11</v>
      </c>
      <c r="N38" s="479">
        <v>396</v>
      </c>
      <c r="O38" s="486">
        <v>2.8285714285714287</v>
      </c>
      <c r="P38" s="519">
        <v>36</v>
      </c>
    </row>
    <row r="39" spans="1:16" ht="14.4" customHeight="1" x14ac:dyDescent="0.3">
      <c r="A39" s="484" t="s">
        <v>860</v>
      </c>
      <c r="B39" s="478" t="s">
        <v>814</v>
      </c>
      <c r="C39" s="478" t="s">
        <v>829</v>
      </c>
      <c r="D39" s="478" t="s">
        <v>830</v>
      </c>
      <c r="E39" s="479"/>
      <c r="F39" s="479"/>
      <c r="G39" s="478"/>
      <c r="H39" s="478"/>
      <c r="I39" s="479"/>
      <c r="J39" s="479"/>
      <c r="K39" s="478"/>
      <c r="L39" s="478"/>
      <c r="M39" s="479">
        <v>1</v>
      </c>
      <c r="N39" s="479">
        <v>125</v>
      </c>
      <c r="O39" s="486"/>
      <c r="P39" s="519">
        <v>125</v>
      </c>
    </row>
    <row r="40" spans="1:16" ht="14.4" customHeight="1" x14ac:dyDescent="0.3">
      <c r="A40" s="484" t="s">
        <v>860</v>
      </c>
      <c r="B40" s="478" t="s">
        <v>814</v>
      </c>
      <c r="C40" s="478" t="s">
        <v>865</v>
      </c>
      <c r="D40" s="478" t="s">
        <v>866</v>
      </c>
      <c r="E40" s="479"/>
      <c r="F40" s="479"/>
      <c r="G40" s="478"/>
      <c r="H40" s="478"/>
      <c r="I40" s="479">
        <v>1</v>
      </c>
      <c r="J40" s="479">
        <v>30</v>
      </c>
      <c r="K40" s="478"/>
      <c r="L40" s="478">
        <v>30</v>
      </c>
      <c r="M40" s="479"/>
      <c r="N40" s="479"/>
      <c r="O40" s="486"/>
      <c r="P40" s="519"/>
    </row>
    <row r="41" spans="1:16" ht="14.4" customHeight="1" x14ac:dyDescent="0.3">
      <c r="A41" s="484" t="s">
        <v>860</v>
      </c>
      <c r="B41" s="478" t="s">
        <v>814</v>
      </c>
      <c r="C41" s="478" t="s">
        <v>831</v>
      </c>
      <c r="D41" s="478" t="s">
        <v>832</v>
      </c>
      <c r="E41" s="479"/>
      <c r="F41" s="479"/>
      <c r="G41" s="478"/>
      <c r="H41" s="478"/>
      <c r="I41" s="479"/>
      <c r="J41" s="479"/>
      <c r="K41" s="478"/>
      <c r="L41" s="478"/>
      <c r="M41" s="479">
        <v>3</v>
      </c>
      <c r="N41" s="479">
        <v>1959</v>
      </c>
      <c r="O41" s="486"/>
      <c r="P41" s="519">
        <v>653</v>
      </c>
    </row>
    <row r="42" spans="1:16" ht="14.4" customHeight="1" x14ac:dyDescent="0.3">
      <c r="A42" s="484" t="s">
        <v>860</v>
      </c>
      <c r="B42" s="478" t="s">
        <v>814</v>
      </c>
      <c r="C42" s="478" t="s">
        <v>867</v>
      </c>
      <c r="D42" s="478" t="s">
        <v>868</v>
      </c>
      <c r="E42" s="479">
        <v>9</v>
      </c>
      <c r="F42" s="479">
        <v>1467</v>
      </c>
      <c r="G42" s="478">
        <v>1</v>
      </c>
      <c r="H42" s="478">
        <v>163</v>
      </c>
      <c r="I42" s="479">
        <v>12</v>
      </c>
      <c r="J42" s="479">
        <v>1956</v>
      </c>
      <c r="K42" s="478">
        <v>1.3333333333333333</v>
      </c>
      <c r="L42" s="478">
        <v>163</v>
      </c>
      <c r="M42" s="479">
        <v>18</v>
      </c>
      <c r="N42" s="479">
        <v>2970</v>
      </c>
      <c r="O42" s="486">
        <v>2.0245398773006134</v>
      </c>
      <c r="P42" s="519">
        <v>165</v>
      </c>
    </row>
    <row r="43" spans="1:16" ht="14.4" customHeight="1" x14ac:dyDescent="0.3">
      <c r="A43" s="484" t="s">
        <v>860</v>
      </c>
      <c r="B43" s="478" t="s">
        <v>814</v>
      </c>
      <c r="C43" s="478" t="s">
        <v>854</v>
      </c>
      <c r="D43" s="478" t="s">
        <v>855</v>
      </c>
      <c r="E43" s="479"/>
      <c r="F43" s="479"/>
      <c r="G43" s="478"/>
      <c r="H43" s="478"/>
      <c r="I43" s="479"/>
      <c r="J43" s="479"/>
      <c r="K43" s="478"/>
      <c r="L43" s="478"/>
      <c r="M43" s="479">
        <v>5</v>
      </c>
      <c r="N43" s="479">
        <v>2930</v>
      </c>
      <c r="O43" s="486"/>
      <c r="P43" s="519">
        <v>586</v>
      </c>
    </row>
    <row r="44" spans="1:16" ht="14.4" customHeight="1" x14ac:dyDescent="0.3">
      <c r="A44" s="484" t="s">
        <v>860</v>
      </c>
      <c r="B44" s="478" t="s">
        <v>814</v>
      </c>
      <c r="C44" s="478" t="s">
        <v>835</v>
      </c>
      <c r="D44" s="478" t="s">
        <v>836</v>
      </c>
      <c r="E44" s="479">
        <v>4</v>
      </c>
      <c r="F44" s="479">
        <v>276</v>
      </c>
      <c r="G44" s="478">
        <v>1</v>
      </c>
      <c r="H44" s="478">
        <v>69</v>
      </c>
      <c r="I44" s="479">
        <v>9</v>
      </c>
      <c r="J44" s="479">
        <v>621</v>
      </c>
      <c r="K44" s="478">
        <v>2.25</v>
      </c>
      <c r="L44" s="478">
        <v>69</v>
      </c>
      <c r="M44" s="479">
        <v>1</v>
      </c>
      <c r="N44" s="479">
        <v>70</v>
      </c>
      <c r="O44" s="486">
        <v>0.25362318840579712</v>
      </c>
      <c r="P44" s="519">
        <v>70</v>
      </c>
    </row>
    <row r="45" spans="1:16" ht="14.4" customHeight="1" x14ac:dyDescent="0.3">
      <c r="A45" s="484" t="s">
        <v>860</v>
      </c>
      <c r="B45" s="478" t="s">
        <v>814</v>
      </c>
      <c r="C45" s="478" t="s">
        <v>869</v>
      </c>
      <c r="D45" s="478" t="s">
        <v>870</v>
      </c>
      <c r="E45" s="479">
        <v>1</v>
      </c>
      <c r="F45" s="479">
        <v>114</v>
      </c>
      <c r="G45" s="478">
        <v>1</v>
      </c>
      <c r="H45" s="478">
        <v>114</v>
      </c>
      <c r="I45" s="479"/>
      <c r="J45" s="479"/>
      <c r="K45" s="478"/>
      <c r="L45" s="478"/>
      <c r="M45" s="479"/>
      <c r="N45" s="479"/>
      <c r="O45" s="486"/>
      <c r="P45" s="519"/>
    </row>
    <row r="46" spans="1:16" ht="14.4" customHeight="1" x14ac:dyDescent="0.3">
      <c r="A46" s="484" t="s">
        <v>860</v>
      </c>
      <c r="B46" s="478" t="s">
        <v>814</v>
      </c>
      <c r="C46" s="478" t="s">
        <v>837</v>
      </c>
      <c r="D46" s="478" t="s">
        <v>838</v>
      </c>
      <c r="E46" s="479">
        <v>7</v>
      </c>
      <c r="F46" s="479">
        <v>1442</v>
      </c>
      <c r="G46" s="478">
        <v>1</v>
      </c>
      <c r="H46" s="478">
        <v>206</v>
      </c>
      <c r="I46" s="479">
        <v>61</v>
      </c>
      <c r="J46" s="479">
        <v>12566</v>
      </c>
      <c r="K46" s="478">
        <v>8.7142857142857135</v>
      </c>
      <c r="L46" s="478">
        <v>206</v>
      </c>
      <c r="M46" s="479">
        <v>4</v>
      </c>
      <c r="N46" s="479">
        <v>840</v>
      </c>
      <c r="O46" s="486">
        <v>0.58252427184466016</v>
      </c>
      <c r="P46" s="519">
        <v>210</v>
      </c>
    </row>
    <row r="47" spans="1:16" ht="14.4" customHeight="1" x14ac:dyDescent="0.3">
      <c r="A47" s="484" t="s">
        <v>860</v>
      </c>
      <c r="B47" s="478" t="s">
        <v>814</v>
      </c>
      <c r="C47" s="478" t="s">
        <v>839</v>
      </c>
      <c r="D47" s="478" t="s">
        <v>840</v>
      </c>
      <c r="E47" s="479">
        <v>44</v>
      </c>
      <c r="F47" s="479">
        <v>3344</v>
      </c>
      <c r="G47" s="478">
        <v>1</v>
      </c>
      <c r="H47" s="478">
        <v>76</v>
      </c>
      <c r="I47" s="479">
        <v>170</v>
      </c>
      <c r="J47" s="479">
        <v>12920</v>
      </c>
      <c r="K47" s="478">
        <v>3.8636363636363638</v>
      </c>
      <c r="L47" s="478">
        <v>76</v>
      </c>
      <c r="M47" s="479">
        <v>47</v>
      </c>
      <c r="N47" s="479">
        <v>3619</v>
      </c>
      <c r="O47" s="486">
        <v>1.0822368421052631</v>
      </c>
      <c r="P47" s="519">
        <v>77</v>
      </c>
    </row>
    <row r="48" spans="1:16" ht="14.4" customHeight="1" x14ac:dyDescent="0.3">
      <c r="A48" s="484" t="s">
        <v>860</v>
      </c>
      <c r="B48" s="478" t="s">
        <v>814</v>
      </c>
      <c r="C48" s="478" t="s">
        <v>871</v>
      </c>
      <c r="D48" s="478" t="s">
        <v>872</v>
      </c>
      <c r="E48" s="479"/>
      <c r="F48" s="479"/>
      <c r="G48" s="478"/>
      <c r="H48" s="478"/>
      <c r="I48" s="479">
        <v>1</v>
      </c>
      <c r="J48" s="479">
        <v>56</v>
      </c>
      <c r="K48" s="478"/>
      <c r="L48" s="478">
        <v>56</v>
      </c>
      <c r="M48" s="479"/>
      <c r="N48" s="479"/>
      <c r="O48" s="486"/>
      <c r="P48" s="519"/>
    </row>
    <row r="49" spans="1:16" ht="14.4" customHeight="1" x14ac:dyDescent="0.3">
      <c r="A49" s="484" t="s">
        <v>860</v>
      </c>
      <c r="B49" s="478" t="s">
        <v>814</v>
      </c>
      <c r="C49" s="478" t="s">
        <v>841</v>
      </c>
      <c r="D49" s="478" t="s">
        <v>842</v>
      </c>
      <c r="E49" s="479">
        <v>8</v>
      </c>
      <c r="F49" s="479">
        <v>1648</v>
      </c>
      <c r="G49" s="478">
        <v>1</v>
      </c>
      <c r="H49" s="478">
        <v>206</v>
      </c>
      <c r="I49" s="479">
        <v>41</v>
      </c>
      <c r="J49" s="479">
        <v>8446</v>
      </c>
      <c r="K49" s="478">
        <v>5.125</v>
      </c>
      <c r="L49" s="478">
        <v>206</v>
      </c>
      <c r="M49" s="479">
        <v>10</v>
      </c>
      <c r="N49" s="479">
        <v>2100</v>
      </c>
      <c r="O49" s="486">
        <v>1.2742718446601942</v>
      </c>
      <c r="P49" s="519">
        <v>210</v>
      </c>
    </row>
    <row r="50" spans="1:16" ht="14.4" customHeight="1" x14ac:dyDescent="0.3">
      <c r="A50" s="484" t="s">
        <v>860</v>
      </c>
      <c r="B50" s="478" t="s">
        <v>814</v>
      </c>
      <c r="C50" s="478" t="s">
        <v>843</v>
      </c>
      <c r="D50" s="478" t="s">
        <v>844</v>
      </c>
      <c r="E50" s="479">
        <v>4</v>
      </c>
      <c r="F50" s="479">
        <v>224</v>
      </c>
      <c r="G50" s="478">
        <v>1</v>
      </c>
      <c r="H50" s="478">
        <v>56</v>
      </c>
      <c r="I50" s="479">
        <v>7</v>
      </c>
      <c r="J50" s="479">
        <v>392</v>
      </c>
      <c r="K50" s="478">
        <v>1.75</v>
      </c>
      <c r="L50" s="478">
        <v>56</v>
      </c>
      <c r="M50" s="479"/>
      <c r="N50" s="479"/>
      <c r="O50" s="486"/>
      <c r="P50" s="519"/>
    </row>
    <row r="51" spans="1:16" ht="14.4" customHeight="1" x14ac:dyDescent="0.3">
      <c r="A51" s="484" t="s">
        <v>860</v>
      </c>
      <c r="B51" s="478" t="s">
        <v>814</v>
      </c>
      <c r="C51" s="478" t="s">
        <v>873</v>
      </c>
      <c r="D51" s="478" t="s">
        <v>874</v>
      </c>
      <c r="E51" s="479">
        <v>21</v>
      </c>
      <c r="F51" s="479">
        <v>6867</v>
      </c>
      <c r="G51" s="478">
        <v>1</v>
      </c>
      <c r="H51" s="478">
        <v>327</v>
      </c>
      <c r="I51" s="479">
        <v>51</v>
      </c>
      <c r="J51" s="479">
        <v>16677</v>
      </c>
      <c r="K51" s="478">
        <v>2.4285714285714284</v>
      </c>
      <c r="L51" s="478">
        <v>327</v>
      </c>
      <c r="M51" s="479">
        <v>36</v>
      </c>
      <c r="N51" s="479">
        <v>11916</v>
      </c>
      <c r="O51" s="486">
        <v>1.7352555701179555</v>
      </c>
      <c r="P51" s="519">
        <v>331</v>
      </c>
    </row>
    <row r="52" spans="1:16" ht="14.4" customHeight="1" x14ac:dyDescent="0.3">
      <c r="A52" s="484" t="s">
        <v>860</v>
      </c>
      <c r="B52" s="478" t="s">
        <v>814</v>
      </c>
      <c r="C52" s="478" t="s">
        <v>875</v>
      </c>
      <c r="D52" s="478" t="s">
        <v>876</v>
      </c>
      <c r="E52" s="479"/>
      <c r="F52" s="479"/>
      <c r="G52" s="478"/>
      <c r="H52" s="478"/>
      <c r="I52" s="479">
        <v>5</v>
      </c>
      <c r="J52" s="479">
        <v>3225</v>
      </c>
      <c r="K52" s="478"/>
      <c r="L52" s="478">
        <v>645</v>
      </c>
      <c r="M52" s="479">
        <v>8</v>
      </c>
      <c r="N52" s="479">
        <v>5224</v>
      </c>
      <c r="O52" s="486"/>
      <c r="P52" s="519">
        <v>653</v>
      </c>
    </row>
    <row r="53" spans="1:16" ht="14.4" customHeight="1" x14ac:dyDescent="0.3">
      <c r="A53" s="484" t="s">
        <v>877</v>
      </c>
      <c r="B53" s="478" t="s">
        <v>814</v>
      </c>
      <c r="C53" s="478" t="s">
        <v>815</v>
      </c>
      <c r="D53" s="478" t="s">
        <v>816</v>
      </c>
      <c r="E53" s="479"/>
      <c r="F53" s="479"/>
      <c r="G53" s="478"/>
      <c r="H53" s="478"/>
      <c r="I53" s="479"/>
      <c r="J53" s="479"/>
      <c r="K53" s="478"/>
      <c r="L53" s="478"/>
      <c r="M53" s="479">
        <v>1</v>
      </c>
      <c r="N53" s="479">
        <v>35</v>
      </c>
      <c r="O53" s="486"/>
      <c r="P53" s="519">
        <v>35</v>
      </c>
    </row>
    <row r="54" spans="1:16" ht="14.4" customHeight="1" x14ac:dyDescent="0.3">
      <c r="A54" s="484" t="s">
        <v>877</v>
      </c>
      <c r="B54" s="478" t="s">
        <v>814</v>
      </c>
      <c r="C54" s="478" t="s">
        <v>878</v>
      </c>
      <c r="D54" s="478" t="s">
        <v>879</v>
      </c>
      <c r="E54" s="479">
        <v>48</v>
      </c>
      <c r="F54" s="479">
        <v>7824</v>
      </c>
      <c r="G54" s="478">
        <v>1</v>
      </c>
      <c r="H54" s="478">
        <v>163</v>
      </c>
      <c r="I54" s="479">
        <v>52</v>
      </c>
      <c r="J54" s="479">
        <v>8476</v>
      </c>
      <c r="K54" s="478">
        <v>1.0833333333333333</v>
      </c>
      <c r="L54" s="478">
        <v>163</v>
      </c>
      <c r="M54" s="479">
        <v>46</v>
      </c>
      <c r="N54" s="479">
        <v>7590</v>
      </c>
      <c r="O54" s="486">
        <v>0.97009202453987731</v>
      </c>
      <c r="P54" s="519">
        <v>165</v>
      </c>
    </row>
    <row r="55" spans="1:16" ht="14.4" customHeight="1" x14ac:dyDescent="0.3">
      <c r="A55" s="484" t="s">
        <v>877</v>
      </c>
      <c r="B55" s="478" t="s">
        <v>814</v>
      </c>
      <c r="C55" s="478" t="s">
        <v>880</v>
      </c>
      <c r="D55" s="478" t="s">
        <v>881</v>
      </c>
      <c r="E55" s="479"/>
      <c r="F55" s="479"/>
      <c r="G55" s="478"/>
      <c r="H55" s="478"/>
      <c r="I55" s="479">
        <v>2</v>
      </c>
      <c r="J55" s="479">
        <v>212</v>
      </c>
      <c r="K55" s="478"/>
      <c r="L55" s="478">
        <v>106</v>
      </c>
      <c r="M55" s="479">
        <v>2</v>
      </c>
      <c r="N55" s="479">
        <v>216</v>
      </c>
      <c r="O55" s="486"/>
      <c r="P55" s="519">
        <v>108</v>
      </c>
    </row>
    <row r="56" spans="1:16" ht="14.4" customHeight="1" x14ac:dyDescent="0.3">
      <c r="A56" s="484" t="s">
        <v>877</v>
      </c>
      <c r="B56" s="478" t="s">
        <v>814</v>
      </c>
      <c r="C56" s="478" t="s">
        <v>827</v>
      </c>
      <c r="D56" s="478" t="s">
        <v>828</v>
      </c>
      <c r="E56" s="479"/>
      <c r="F56" s="479"/>
      <c r="G56" s="478"/>
      <c r="H56" s="478"/>
      <c r="I56" s="479"/>
      <c r="J56" s="479"/>
      <c r="K56" s="478"/>
      <c r="L56" s="478"/>
      <c r="M56" s="479">
        <v>1</v>
      </c>
      <c r="N56" s="479">
        <v>36</v>
      </c>
      <c r="O56" s="486"/>
      <c r="P56" s="519">
        <v>36</v>
      </c>
    </row>
    <row r="57" spans="1:16" ht="14.4" customHeight="1" x14ac:dyDescent="0.3">
      <c r="A57" s="484" t="s">
        <v>877</v>
      </c>
      <c r="B57" s="478" t="s">
        <v>814</v>
      </c>
      <c r="C57" s="478" t="s">
        <v>882</v>
      </c>
      <c r="D57" s="478" t="s">
        <v>883</v>
      </c>
      <c r="E57" s="479">
        <v>2</v>
      </c>
      <c r="F57" s="479">
        <v>654</v>
      </c>
      <c r="G57" s="478">
        <v>1</v>
      </c>
      <c r="H57" s="478">
        <v>327</v>
      </c>
      <c r="I57" s="479">
        <v>8</v>
      </c>
      <c r="J57" s="479">
        <v>2616</v>
      </c>
      <c r="K57" s="478">
        <v>4</v>
      </c>
      <c r="L57" s="478">
        <v>327</v>
      </c>
      <c r="M57" s="479"/>
      <c r="N57" s="479"/>
      <c r="O57" s="486"/>
      <c r="P57" s="519"/>
    </row>
    <row r="58" spans="1:16" ht="14.4" customHeight="1" x14ac:dyDescent="0.3">
      <c r="A58" s="484" t="s">
        <v>877</v>
      </c>
      <c r="B58" s="478" t="s">
        <v>814</v>
      </c>
      <c r="C58" s="478" t="s">
        <v>884</v>
      </c>
      <c r="D58" s="478" t="s">
        <v>885</v>
      </c>
      <c r="E58" s="479">
        <v>17</v>
      </c>
      <c r="F58" s="479">
        <v>10965</v>
      </c>
      <c r="G58" s="478">
        <v>1</v>
      </c>
      <c r="H58" s="478">
        <v>645</v>
      </c>
      <c r="I58" s="479">
        <v>26</v>
      </c>
      <c r="J58" s="479">
        <v>16770</v>
      </c>
      <c r="K58" s="478">
        <v>1.5294117647058822</v>
      </c>
      <c r="L58" s="478">
        <v>645</v>
      </c>
      <c r="M58" s="479">
        <v>16</v>
      </c>
      <c r="N58" s="479">
        <v>10448</v>
      </c>
      <c r="O58" s="486">
        <v>0.95284997720018239</v>
      </c>
      <c r="P58" s="519">
        <v>653</v>
      </c>
    </row>
    <row r="59" spans="1:16" ht="14.4" customHeight="1" x14ac:dyDescent="0.3">
      <c r="A59" s="484" t="s">
        <v>877</v>
      </c>
      <c r="B59" s="478" t="s">
        <v>814</v>
      </c>
      <c r="C59" s="478" t="s">
        <v>837</v>
      </c>
      <c r="D59" s="478" t="s">
        <v>838</v>
      </c>
      <c r="E59" s="479">
        <v>1</v>
      </c>
      <c r="F59" s="479">
        <v>206</v>
      </c>
      <c r="G59" s="478">
        <v>1</v>
      </c>
      <c r="H59" s="478">
        <v>206</v>
      </c>
      <c r="I59" s="479">
        <v>4</v>
      </c>
      <c r="J59" s="479">
        <v>824</v>
      </c>
      <c r="K59" s="478">
        <v>4</v>
      </c>
      <c r="L59" s="478">
        <v>206</v>
      </c>
      <c r="M59" s="479">
        <v>1</v>
      </c>
      <c r="N59" s="479">
        <v>210</v>
      </c>
      <c r="O59" s="486">
        <v>1.0194174757281553</v>
      </c>
      <c r="P59" s="519">
        <v>210</v>
      </c>
    </row>
    <row r="60" spans="1:16" ht="14.4" customHeight="1" x14ac:dyDescent="0.3">
      <c r="A60" s="484" t="s">
        <v>877</v>
      </c>
      <c r="B60" s="478" t="s">
        <v>814</v>
      </c>
      <c r="C60" s="478" t="s">
        <v>839</v>
      </c>
      <c r="D60" s="478" t="s">
        <v>840</v>
      </c>
      <c r="E60" s="479"/>
      <c r="F60" s="479"/>
      <c r="G60" s="478"/>
      <c r="H60" s="478"/>
      <c r="I60" s="479"/>
      <c r="J60" s="479"/>
      <c r="K60" s="478"/>
      <c r="L60" s="478"/>
      <c r="M60" s="479">
        <v>3</v>
      </c>
      <c r="N60" s="479">
        <v>231</v>
      </c>
      <c r="O60" s="486"/>
      <c r="P60" s="519">
        <v>77</v>
      </c>
    </row>
    <row r="61" spans="1:16" ht="14.4" customHeight="1" x14ac:dyDescent="0.3">
      <c r="A61" s="484" t="s">
        <v>877</v>
      </c>
      <c r="B61" s="478" t="s">
        <v>814</v>
      </c>
      <c r="C61" s="478" t="s">
        <v>841</v>
      </c>
      <c r="D61" s="478" t="s">
        <v>842</v>
      </c>
      <c r="E61" s="479"/>
      <c r="F61" s="479"/>
      <c r="G61" s="478"/>
      <c r="H61" s="478"/>
      <c r="I61" s="479"/>
      <c r="J61" s="479"/>
      <c r="K61" s="478"/>
      <c r="L61" s="478"/>
      <c r="M61" s="479">
        <v>26</v>
      </c>
      <c r="N61" s="479">
        <v>5460</v>
      </c>
      <c r="O61" s="486"/>
      <c r="P61" s="519">
        <v>210</v>
      </c>
    </row>
    <row r="62" spans="1:16" ht="14.4" customHeight="1" x14ac:dyDescent="0.3">
      <c r="A62" s="484" t="s">
        <v>886</v>
      </c>
      <c r="B62" s="478" t="s">
        <v>814</v>
      </c>
      <c r="C62" s="478" t="s">
        <v>887</v>
      </c>
      <c r="D62" s="478" t="s">
        <v>888</v>
      </c>
      <c r="E62" s="479">
        <v>1</v>
      </c>
      <c r="F62" s="479">
        <v>117</v>
      </c>
      <c r="G62" s="478">
        <v>1</v>
      </c>
      <c r="H62" s="478">
        <v>117</v>
      </c>
      <c r="I62" s="479"/>
      <c r="J62" s="479"/>
      <c r="K62" s="478"/>
      <c r="L62" s="478"/>
      <c r="M62" s="479"/>
      <c r="N62" s="479"/>
      <c r="O62" s="486"/>
      <c r="P62" s="519"/>
    </row>
    <row r="63" spans="1:16" ht="14.4" customHeight="1" x14ac:dyDescent="0.3">
      <c r="A63" s="484" t="s">
        <v>886</v>
      </c>
      <c r="B63" s="478" t="s">
        <v>814</v>
      </c>
      <c r="C63" s="478" t="s">
        <v>889</v>
      </c>
      <c r="D63" s="478" t="s">
        <v>890</v>
      </c>
      <c r="E63" s="479">
        <v>11</v>
      </c>
      <c r="F63" s="479">
        <v>1672</v>
      </c>
      <c r="G63" s="478">
        <v>1</v>
      </c>
      <c r="H63" s="478">
        <v>152</v>
      </c>
      <c r="I63" s="479">
        <v>11</v>
      </c>
      <c r="J63" s="479">
        <v>1672</v>
      </c>
      <c r="K63" s="478">
        <v>1</v>
      </c>
      <c r="L63" s="478">
        <v>152</v>
      </c>
      <c r="M63" s="479">
        <v>35</v>
      </c>
      <c r="N63" s="479">
        <v>5460</v>
      </c>
      <c r="O63" s="486">
        <v>3.2655502392344498</v>
      </c>
      <c r="P63" s="519">
        <v>156</v>
      </c>
    </row>
    <row r="64" spans="1:16" ht="14.4" customHeight="1" x14ac:dyDescent="0.3">
      <c r="A64" s="484" t="s">
        <v>886</v>
      </c>
      <c r="B64" s="478" t="s">
        <v>814</v>
      </c>
      <c r="C64" s="478" t="s">
        <v>891</v>
      </c>
      <c r="D64" s="478" t="s">
        <v>892</v>
      </c>
      <c r="E64" s="479">
        <v>330</v>
      </c>
      <c r="F64" s="479">
        <v>26070</v>
      </c>
      <c r="G64" s="478">
        <v>1</v>
      </c>
      <c r="H64" s="478">
        <v>79</v>
      </c>
      <c r="I64" s="479">
        <v>600</v>
      </c>
      <c r="J64" s="479">
        <v>47400</v>
      </c>
      <c r="K64" s="478">
        <v>1.8181818181818181</v>
      </c>
      <c r="L64" s="478">
        <v>79</v>
      </c>
      <c r="M64" s="479">
        <v>318</v>
      </c>
      <c r="N64" s="479">
        <v>25758</v>
      </c>
      <c r="O64" s="486">
        <v>0.98803222094361332</v>
      </c>
      <c r="P64" s="519">
        <v>81</v>
      </c>
    </row>
    <row r="65" spans="1:16" ht="14.4" customHeight="1" x14ac:dyDescent="0.3">
      <c r="A65" s="484" t="s">
        <v>886</v>
      </c>
      <c r="B65" s="478" t="s">
        <v>814</v>
      </c>
      <c r="C65" s="478" t="s">
        <v>893</v>
      </c>
      <c r="D65" s="478" t="s">
        <v>894</v>
      </c>
      <c r="E65" s="479">
        <v>161</v>
      </c>
      <c r="F65" s="479">
        <v>12236</v>
      </c>
      <c r="G65" s="478">
        <v>1</v>
      </c>
      <c r="H65" s="478">
        <v>76</v>
      </c>
      <c r="I65" s="479">
        <v>259</v>
      </c>
      <c r="J65" s="479">
        <v>19684</v>
      </c>
      <c r="K65" s="478">
        <v>1.6086956521739131</v>
      </c>
      <c r="L65" s="478">
        <v>76</v>
      </c>
      <c r="M65" s="479">
        <v>311</v>
      </c>
      <c r="N65" s="479">
        <v>24258</v>
      </c>
      <c r="O65" s="486">
        <v>1.9825106243870545</v>
      </c>
      <c r="P65" s="519">
        <v>78</v>
      </c>
    </row>
    <row r="66" spans="1:16" ht="14.4" customHeight="1" x14ac:dyDescent="0.3">
      <c r="A66" s="484" t="s">
        <v>886</v>
      </c>
      <c r="B66" s="478" t="s">
        <v>814</v>
      </c>
      <c r="C66" s="478" t="s">
        <v>895</v>
      </c>
      <c r="D66" s="478" t="s">
        <v>896</v>
      </c>
      <c r="E66" s="479"/>
      <c r="F66" s="479"/>
      <c r="G66" s="478"/>
      <c r="H66" s="478"/>
      <c r="I66" s="479"/>
      <c r="J66" s="479"/>
      <c r="K66" s="478"/>
      <c r="L66" s="478"/>
      <c r="M66" s="479">
        <v>1</v>
      </c>
      <c r="N66" s="479">
        <v>78</v>
      </c>
      <c r="O66" s="486"/>
      <c r="P66" s="519">
        <v>78</v>
      </c>
    </row>
    <row r="67" spans="1:16" ht="14.4" customHeight="1" x14ac:dyDescent="0.3">
      <c r="A67" s="484" t="s">
        <v>886</v>
      </c>
      <c r="B67" s="478" t="s">
        <v>814</v>
      </c>
      <c r="C67" s="478" t="s">
        <v>897</v>
      </c>
      <c r="D67" s="478" t="s">
        <v>898</v>
      </c>
      <c r="E67" s="479">
        <v>18</v>
      </c>
      <c r="F67" s="479">
        <v>6804</v>
      </c>
      <c r="G67" s="478">
        <v>1</v>
      </c>
      <c r="H67" s="478">
        <v>378</v>
      </c>
      <c r="I67" s="479">
        <v>18</v>
      </c>
      <c r="J67" s="479">
        <v>6804</v>
      </c>
      <c r="K67" s="478">
        <v>1</v>
      </c>
      <c r="L67" s="478">
        <v>378</v>
      </c>
      <c r="M67" s="479">
        <v>64</v>
      </c>
      <c r="N67" s="479">
        <v>24576</v>
      </c>
      <c r="O67" s="486">
        <v>3.6119929453262785</v>
      </c>
      <c r="P67" s="519">
        <v>384</v>
      </c>
    </row>
    <row r="68" spans="1:16" ht="14.4" customHeight="1" x14ac:dyDescent="0.3">
      <c r="A68" s="484" t="s">
        <v>886</v>
      </c>
      <c r="B68" s="478" t="s">
        <v>814</v>
      </c>
      <c r="C68" s="478" t="s">
        <v>899</v>
      </c>
      <c r="D68" s="478" t="s">
        <v>900</v>
      </c>
      <c r="E68" s="479">
        <v>29</v>
      </c>
      <c r="F68" s="479">
        <v>2204</v>
      </c>
      <c r="G68" s="478">
        <v>1</v>
      </c>
      <c r="H68" s="478">
        <v>76</v>
      </c>
      <c r="I68" s="479">
        <v>40</v>
      </c>
      <c r="J68" s="479">
        <v>3040</v>
      </c>
      <c r="K68" s="478">
        <v>1.3793103448275863</v>
      </c>
      <c r="L68" s="478">
        <v>76</v>
      </c>
      <c r="M68" s="479">
        <v>241</v>
      </c>
      <c r="N68" s="479">
        <v>18798</v>
      </c>
      <c r="O68" s="486">
        <v>8.5290381125226862</v>
      </c>
      <c r="P68" s="519">
        <v>78</v>
      </c>
    </row>
    <row r="69" spans="1:16" ht="14.4" customHeight="1" x14ac:dyDescent="0.3">
      <c r="A69" s="484" t="s">
        <v>886</v>
      </c>
      <c r="B69" s="478" t="s">
        <v>814</v>
      </c>
      <c r="C69" s="478" t="s">
        <v>901</v>
      </c>
      <c r="D69" s="478" t="s">
        <v>902</v>
      </c>
      <c r="E69" s="479">
        <v>1</v>
      </c>
      <c r="F69" s="479">
        <v>101</v>
      </c>
      <c r="G69" s="478">
        <v>1</v>
      </c>
      <c r="H69" s="478">
        <v>101</v>
      </c>
      <c r="I69" s="479">
        <v>3</v>
      </c>
      <c r="J69" s="479">
        <v>303</v>
      </c>
      <c r="K69" s="478">
        <v>3</v>
      </c>
      <c r="L69" s="478">
        <v>101</v>
      </c>
      <c r="M69" s="479">
        <v>8</v>
      </c>
      <c r="N69" s="479">
        <v>832</v>
      </c>
      <c r="O69" s="486">
        <v>8.2376237623762378</v>
      </c>
      <c r="P69" s="519">
        <v>104</v>
      </c>
    </row>
    <row r="70" spans="1:16" ht="14.4" customHeight="1" x14ac:dyDescent="0.3">
      <c r="A70" s="484" t="s">
        <v>886</v>
      </c>
      <c r="B70" s="478" t="s">
        <v>814</v>
      </c>
      <c r="C70" s="478" t="s">
        <v>903</v>
      </c>
      <c r="D70" s="478" t="s">
        <v>904</v>
      </c>
      <c r="E70" s="479">
        <v>35</v>
      </c>
      <c r="F70" s="479">
        <v>2205</v>
      </c>
      <c r="G70" s="478">
        <v>1</v>
      </c>
      <c r="H70" s="478">
        <v>63</v>
      </c>
      <c r="I70" s="479">
        <v>36</v>
      </c>
      <c r="J70" s="479">
        <v>2268</v>
      </c>
      <c r="K70" s="478">
        <v>1.0285714285714285</v>
      </c>
      <c r="L70" s="478">
        <v>63</v>
      </c>
      <c r="M70" s="479">
        <v>289</v>
      </c>
      <c r="N70" s="479">
        <v>18785</v>
      </c>
      <c r="O70" s="486">
        <v>8.5192743764172327</v>
      </c>
      <c r="P70" s="519">
        <v>65</v>
      </c>
    </row>
    <row r="71" spans="1:16" ht="14.4" customHeight="1" x14ac:dyDescent="0.3">
      <c r="A71" s="484" t="s">
        <v>886</v>
      </c>
      <c r="B71" s="478" t="s">
        <v>814</v>
      </c>
      <c r="C71" s="478" t="s">
        <v>905</v>
      </c>
      <c r="D71" s="478" t="s">
        <v>906</v>
      </c>
      <c r="E71" s="479"/>
      <c r="F71" s="479"/>
      <c r="G71" s="478"/>
      <c r="H71" s="478"/>
      <c r="I71" s="479">
        <v>18</v>
      </c>
      <c r="J71" s="479">
        <v>4590</v>
      </c>
      <c r="K71" s="478"/>
      <c r="L71" s="478">
        <v>255</v>
      </c>
      <c r="M71" s="479">
        <v>42</v>
      </c>
      <c r="N71" s="479">
        <v>10878</v>
      </c>
      <c r="O71" s="486"/>
      <c r="P71" s="519">
        <v>259</v>
      </c>
    </row>
    <row r="72" spans="1:16" ht="14.4" customHeight="1" x14ac:dyDescent="0.3">
      <c r="A72" s="484" t="s">
        <v>886</v>
      </c>
      <c r="B72" s="478" t="s">
        <v>814</v>
      </c>
      <c r="C72" s="478" t="s">
        <v>907</v>
      </c>
      <c r="D72" s="478" t="s">
        <v>908</v>
      </c>
      <c r="E72" s="479">
        <v>18</v>
      </c>
      <c r="F72" s="479">
        <v>4788</v>
      </c>
      <c r="G72" s="478">
        <v>1</v>
      </c>
      <c r="H72" s="478">
        <v>266</v>
      </c>
      <c r="I72" s="479">
        <v>21</v>
      </c>
      <c r="J72" s="479">
        <v>5586</v>
      </c>
      <c r="K72" s="478">
        <v>1.1666666666666667</v>
      </c>
      <c r="L72" s="478">
        <v>266</v>
      </c>
      <c r="M72" s="479">
        <v>11</v>
      </c>
      <c r="N72" s="479">
        <v>2970</v>
      </c>
      <c r="O72" s="486">
        <v>0.62030075187969924</v>
      </c>
      <c r="P72" s="519">
        <v>270</v>
      </c>
    </row>
    <row r="73" spans="1:16" ht="14.4" customHeight="1" thickBot="1" x14ac:dyDescent="0.35">
      <c r="A73" s="485" t="s">
        <v>886</v>
      </c>
      <c r="B73" s="480" t="s">
        <v>814</v>
      </c>
      <c r="C73" s="480" t="s">
        <v>909</v>
      </c>
      <c r="D73" s="480" t="s">
        <v>910</v>
      </c>
      <c r="E73" s="458"/>
      <c r="F73" s="458"/>
      <c r="G73" s="480"/>
      <c r="H73" s="480"/>
      <c r="I73" s="458"/>
      <c r="J73" s="458"/>
      <c r="K73" s="480"/>
      <c r="L73" s="480"/>
      <c r="M73" s="458">
        <v>10</v>
      </c>
      <c r="N73" s="458">
        <v>1560</v>
      </c>
      <c r="O73" s="459"/>
      <c r="P73" s="468">
        <v>156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273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127</v>
      </c>
      <c r="B3" s="222">
        <f>SUBTOTAL(9,B6:B1048576)</f>
        <v>1705</v>
      </c>
      <c r="C3" s="223">
        <f t="shared" ref="C3:R3" si="0">SUBTOTAL(9,C6:C1048576)</f>
        <v>1</v>
      </c>
      <c r="D3" s="223">
        <f t="shared" si="0"/>
        <v>12272</v>
      </c>
      <c r="E3" s="223">
        <f t="shared" si="0"/>
        <v>3.402932551319648</v>
      </c>
      <c r="F3" s="223">
        <f t="shared" si="0"/>
        <v>4151</v>
      </c>
      <c r="G3" s="226">
        <f>IF(B3&lt;&gt;0,F3/B3,"")</f>
        <v>2.4346041055718475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6" t="s">
        <v>105</v>
      </c>
      <c r="B4" s="397" t="s">
        <v>99</v>
      </c>
      <c r="C4" s="398"/>
      <c r="D4" s="398"/>
      <c r="E4" s="398"/>
      <c r="F4" s="398"/>
      <c r="G4" s="399"/>
      <c r="H4" s="397" t="s">
        <v>100</v>
      </c>
      <c r="I4" s="398"/>
      <c r="J4" s="398"/>
      <c r="K4" s="398"/>
      <c r="L4" s="398"/>
      <c r="M4" s="399"/>
      <c r="N4" s="397" t="s">
        <v>101</v>
      </c>
      <c r="O4" s="398"/>
      <c r="P4" s="398"/>
      <c r="Q4" s="398"/>
      <c r="R4" s="398"/>
      <c r="S4" s="399"/>
    </row>
    <row r="5" spans="1:19" ht="14.4" customHeight="1" thickBot="1" x14ac:dyDescent="0.35">
      <c r="A5" s="571"/>
      <c r="B5" s="572">
        <v>2013</v>
      </c>
      <c r="C5" s="573"/>
      <c r="D5" s="573">
        <v>2014</v>
      </c>
      <c r="E5" s="573"/>
      <c r="F5" s="573">
        <v>2015</v>
      </c>
      <c r="G5" s="574" t="s">
        <v>2</v>
      </c>
      <c r="H5" s="572">
        <v>2013</v>
      </c>
      <c r="I5" s="573"/>
      <c r="J5" s="573">
        <v>2014</v>
      </c>
      <c r="K5" s="573"/>
      <c r="L5" s="573">
        <v>2015</v>
      </c>
      <c r="M5" s="574" t="s">
        <v>2</v>
      </c>
      <c r="N5" s="572">
        <v>2013</v>
      </c>
      <c r="O5" s="573"/>
      <c r="P5" s="573">
        <v>2014</v>
      </c>
      <c r="Q5" s="573"/>
      <c r="R5" s="573">
        <v>2015</v>
      </c>
      <c r="S5" s="574" t="s">
        <v>2</v>
      </c>
    </row>
    <row r="6" spans="1:19" ht="14.4" customHeight="1" x14ac:dyDescent="0.3">
      <c r="A6" s="527" t="s">
        <v>912</v>
      </c>
      <c r="B6" s="575"/>
      <c r="C6" s="500"/>
      <c r="D6" s="575">
        <v>940</v>
      </c>
      <c r="E6" s="500"/>
      <c r="F6" s="575"/>
      <c r="G6" s="505"/>
      <c r="H6" s="575"/>
      <c r="I6" s="500"/>
      <c r="J6" s="575"/>
      <c r="K6" s="500"/>
      <c r="L6" s="575"/>
      <c r="M6" s="505"/>
      <c r="N6" s="575"/>
      <c r="O6" s="500"/>
      <c r="P6" s="575"/>
      <c r="Q6" s="500"/>
      <c r="R6" s="575"/>
      <c r="S6" s="122"/>
    </row>
    <row r="7" spans="1:19" ht="14.4" customHeight="1" x14ac:dyDescent="0.3">
      <c r="A7" s="528" t="s">
        <v>913</v>
      </c>
      <c r="B7" s="576"/>
      <c r="C7" s="478"/>
      <c r="D7" s="576">
        <v>1880</v>
      </c>
      <c r="E7" s="478"/>
      <c r="F7" s="576"/>
      <c r="G7" s="486"/>
      <c r="H7" s="576"/>
      <c r="I7" s="478"/>
      <c r="J7" s="576"/>
      <c r="K7" s="478"/>
      <c r="L7" s="576"/>
      <c r="M7" s="486"/>
      <c r="N7" s="576"/>
      <c r="O7" s="478"/>
      <c r="P7" s="576"/>
      <c r="Q7" s="478"/>
      <c r="R7" s="576"/>
      <c r="S7" s="487"/>
    </row>
    <row r="8" spans="1:19" ht="14.4" customHeight="1" x14ac:dyDescent="0.3">
      <c r="A8" s="528" t="s">
        <v>914</v>
      </c>
      <c r="B8" s="576"/>
      <c r="C8" s="478"/>
      <c r="D8" s="576">
        <v>3650</v>
      </c>
      <c r="E8" s="478"/>
      <c r="F8" s="576">
        <v>653</v>
      </c>
      <c r="G8" s="486"/>
      <c r="H8" s="576"/>
      <c r="I8" s="478"/>
      <c r="J8" s="576"/>
      <c r="K8" s="478"/>
      <c r="L8" s="576"/>
      <c r="M8" s="486"/>
      <c r="N8" s="576"/>
      <c r="O8" s="478"/>
      <c r="P8" s="576"/>
      <c r="Q8" s="478"/>
      <c r="R8" s="576"/>
      <c r="S8" s="487"/>
    </row>
    <row r="9" spans="1:19" ht="14.4" customHeight="1" thickBot="1" x14ac:dyDescent="0.35">
      <c r="A9" s="578" t="s">
        <v>915</v>
      </c>
      <c r="B9" s="577">
        <v>1705</v>
      </c>
      <c r="C9" s="480">
        <v>1</v>
      </c>
      <c r="D9" s="577">
        <v>5802</v>
      </c>
      <c r="E9" s="480">
        <v>3.402932551319648</v>
      </c>
      <c r="F9" s="577">
        <v>3498</v>
      </c>
      <c r="G9" s="459">
        <v>2.0516129032258066</v>
      </c>
      <c r="H9" s="577"/>
      <c r="I9" s="480"/>
      <c r="J9" s="577"/>
      <c r="K9" s="480"/>
      <c r="L9" s="577"/>
      <c r="M9" s="459"/>
      <c r="N9" s="577"/>
      <c r="O9" s="480"/>
      <c r="P9" s="577"/>
      <c r="Q9" s="480"/>
      <c r="R9" s="577"/>
      <c r="S9" s="4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920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273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127</v>
      </c>
      <c r="F3" s="102">
        <f t="shared" ref="F3:O3" si="0">SUBTOTAL(9,F6:F1048576)</f>
        <v>1</v>
      </c>
      <c r="G3" s="103">
        <f t="shared" si="0"/>
        <v>1705</v>
      </c>
      <c r="H3" s="103"/>
      <c r="I3" s="103"/>
      <c r="J3" s="103">
        <f t="shared" si="0"/>
        <v>19</v>
      </c>
      <c r="K3" s="103">
        <f t="shared" si="0"/>
        <v>12272</v>
      </c>
      <c r="L3" s="103"/>
      <c r="M3" s="103"/>
      <c r="N3" s="103">
        <f t="shared" si="0"/>
        <v>10</v>
      </c>
      <c r="O3" s="103">
        <f t="shared" si="0"/>
        <v>4151</v>
      </c>
      <c r="P3" s="75">
        <f>IF(G3=0,0,O3/G3)</f>
        <v>2.4346041055718475</v>
      </c>
      <c r="Q3" s="104">
        <f>IF(N3=0,0,O3/N3)</f>
        <v>415.1</v>
      </c>
    </row>
    <row r="4" spans="1:17" ht="14.4" customHeight="1" x14ac:dyDescent="0.3">
      <c r="A4" s="405" t="s">
        <v>68</v>
      </c>
      <c r="B4" s="404" t="s">
        <v>94</v>
      </c>
      <c r="C4" s="405" t="s">
        <v>95</v>
      </c>
      <c r="D4" s="413" t="s">
        <v>96</v>
      </c>
      <c r="E4" s="406" t="s">
        <v>69</v>
      </c>
      <c r="F4" s="411">
        <v>2013</v>
      </c>
      <c r="G4" s="412"/>
      <c r="H4" s="105"/>
      <c r="I4" s="105"/>
      <c r="J4" s="411">
        <v>2014</v>
      </c>
      <c r="K4" s="412"/>
      <c r="L4" s="105"/>
      <c r="M4" s="105"/>
      <c r="N4" s="411">
        <v>2015</v>
      </c>
      <c r="O4" s="412"/>
      <c r="P4" s="414" t="s">
        <v>2</v>
      </c>
      <c r="Q4" s="403" t="s">
        <v>97</v>
      </c>
    </row>
    <row r="5" spans="1:17" ht="14.4" customHeight="1" thickBot="1" x14ac:dyDescent="0.35">
      <c r="A5" s="586"/>
      <c r="B5" s="585"/>
      <c r="C5" s="586"/>
      <c r="D5" s="594"/>
      <c r="E5" s="588"/>
      <c r="F5" s="595" t="s">
        <v>71</v>
      </c>
      <c r="G5" s="596" t="s">
        <v>13</v>
      </c>
      <c r="H5" s="597"/>
      <c r="I5" s="597"/>
      <c r="J5" s="595" t="s">
        <v>71</v>
      </c>
      <c r="K5" s="596" t="s">
        <v>13</v>
      </c>
      <c r="L5" s="597"/>
      <c r="M5" s="597"/>
      <c r="N5" s="595" t="s">
        <v>71</v>
      </c>
      <c r="O5" s="596" t="s">
        <v>13</v>
      </c>
      <c r="P5" s="598"/>
      <c r="Q5" s="593"/>
    </row>
    <row r="6" spans="1:17" ht="14.4" customHeight="1" x14ac:dyDescent="0.3">
      <c r="A6" s="499" t="s">
        <v>916</v>
      </c>
      <c r="B6" s="500" t="s">
        <v>845</v>
      </c>
      <c r="C6" s="500" t="s">
        <v>814</v>
      </c>
      <c r="D6" s="500" t="s">
        <v>850</v>
      </c>
      <c r="E6" s="500" t="s">
        <v>851</v>
      </c>
      <c r="F6" s="116"/>
      <c r="G6" s="116"/>
      <c r="H6" s="116"/>
      <c r="I6" s="116"/>
      <c r="J6" s="116">
        <v>1</v>
      </c>
      <c r="K6" s="116">
        <v>940</v>
      </c>
      <c r="L6" s="116"/>
      <c r="M6" s="116">
        <v>940</v>
      </c>
      <c r="N6" s="116"/>
      <c r="O6" s="116"/>
      <c r="P6" s="505"/>
      <c r="Q6" s="518"/>
    </row>
    <row r="7" spans="1:17" ht="14.4" customHeight="1" x14ac:dyDescent="0.3">
      <c r="A7" s="484" t="s">
        <v>917</v>
      </c>
      <c r="B7" s="478" t="s">
        <v>845</v>
      </c>
      <c r="C7" s="478" t="s">
        <v>814</v>
      </c>
      <c r="D7" s="478" t="s">
        <v>850</v>
      </c>
      <c r="E7" s="478" t="s">
        <v>851</v>
      </c>
      <c r="F7" s="479"/>
      <c r="G7" s="479"/>
      <c r="H7" s="479"/>
      <c r="I7" s="479"/>
      <c r="J7" s="479">
        <v>2</v>
      </c>
      <c r="K7" s="479">
        <v>1880</v>
      </c>
      <c r="L7" s="479"/>
      <c r="M7" s="479">
        <v>940</v>
      </c>
      <c r="N7" s="479"/>
      <c r="O7" s="479"/>
      <c r="P7" s="486"/>
      <c r="Q7" s="519"/>
    </row>
    <row r="8" spans="1:17" ht="14.4" customHeight="1" x14ac:dyDescent="0.3">
      <c r="A8" s="484" t="s">
        <v>918</v>
      </c>
      <c r="B8" s="478" t="s">
        <v>163</v>
      </c>
      <c r="C8" s="478" t="s">
        <v>814</v>
      </c>
      <c r="D8" s="478" t="s">
        <v>817</v>
      </c>
      <c r="E8" s="478" t="s">
        <v>818</v>
      </c>
      <c r="F8" s="479"/>
      <c r="G8" s="479"/>
      <c r="H8" s="479"/>
      <c r="I8" s="479"/>
      <c r="J8" s="479">
        <v>2</v>
      </c>
      <c r="K8" s="479">
        <v>260</v>
      </c>
      <c r="L8" s="479"/>
      <c r="M8" s="479">
        <v>130</v>
      </c>
      <c r="N8" s="479"/>
      <c r="O8" s="479"/>
      <c r="P8" s="486"/>
      <c r="Q8" s="519"/>
    </row>
    <row r="9" spans="1:17" ht="14.4" customHeight="1" x14ac:dyDescent="0.3">
      <c r="A9" s="484" t="s">
        <v>918</v>
      </c>
      <c r="B9" s="478" t="s">
        <v>163</v>
      </c>
      <c r="C9" s="478" t="s">
        <v>814</v>
      </c>
      <c r="D9" s="478" t="s">
        <v>831</v>
      </c>
      <c r="E9" s="478" t="s">
        <v>832</v>
      </c>
      <c r="F9" s="479"/>
      <c r="G9" s="479"/>
      <c r="H9" s="479"/>
      <c r="I9" s="479"/>
      <c r="J9" s="479">
        <v>2</v>
      </c>
      <c r="K9" s="479">
        <v>1290</v>
      </c>
      <c r="L9" s="479"/>
      <c r="M9" s="479">
        <v>645</v>
      </c>
      <c r="N9" s="479"/>
      <c r="O9" s="479"/>
      <c r="P9" s="486"/>
      <c r="Q9" s="519"/>
    </row>
    <row r="10" spans="1:17" ht="14.4" customHeight="1" x14ac:dyDescent="0.3">
      <c r="A10" s="484" t="s">
        <v>918</v>
      </c>
      <c r="B10" s="478" t="s">
        <v>845</v>
      </c>
      <c r="C10" s="478" t="s">
        <v>814</v>
      </c>
      <c r="D10" s="478" t="s">
        <v>850</v>
      </c>
      <c r="E10" s="478" t="s">
        <v>851</v>
      </c>
      <c r="F10" s="479"/>
      <c r="G10" s="479"/>
      <c r="H10" s="479"/>
      <c r="I10" s="479"/>
      <c r="J10" s="479">
        <v>1</v>
      </c>
      <c r="K10" s="479">
        <v>940</v>
      </c>
      <c r="L10" s="479"/>
      <c r="M10" s="479">
        <v>940</v>
      </c>
      <c r="N10" s="479"/>
      <c r="O10" s="479"/>
      <c r="P10" s="486"/>
      <c r="Q10" s="519"/>
    </row>
    <row r="11" spans="1:17" ht="14.4" customHeight="1" x14ac:dyDescent="0.3">
      <c r="A11" s="484" t="s">
        <v>918</v>
      </c>
      <c r="B11" s="478" t="s">
        <v>845</v>
      </c>
      <c r="C11" s="478" t="s">
        <v>814</v>
      </c>
      <c r="D11" s="478" t="s">
        <v>854</v>
      </c>
      <c r="E11" s="478" t="s">
        <v>855</v>
      </c>
      <c r="F11" s="479"/>
      <c r="G11" s="479"/>
      <c r="H11" s="479"/>
      <c r="I11" s="479"/>
      <c r="J11" s="479">
        <v>2</v>
      </c>
      <c r="K11" s="479">
        <v>1160</v>
      </c>
      <c r="L11" s="479"/>
      <c r="M11" s="479">
        <v>580</v>
      </c>
      <c r="N11" s="479"/>
      <c r="O11" s="479"/>
      <c r="P11" s="486"/>
      <c r="Q11" s="519"/>
    </row>
    <row r="12" spans="1:17" ht="14.4" customHeight="1" x14ac:dyDescent="0.3">
      <c r="A12" s="484" t="s">
        <v>918</v>
      </c>
      <c r="B12" s="478" t="s">
        <v>877</v>
      </c>
      <c r="C12" s="478" t="s">
        <v>814</v>
      </c>
      <c r="D12" s="478" t="s">
        <v>884</v>
      </c>
      <c r="E12" s="478" t="s">
        <v>885</v>
      </c>
      <c r="F12" s="479"/>
      <c r="G12" s="479"/>
      <c r="H12" s="479"/>
      <c r="I12" s="479"/>
      <c r="J12" s="479"/>
      <c r="K12" s="479"/>
      <c r="L12" s="479"/>
      <c r="M12" s="479"/>
      <c r="N12" s="479">
        <v>1</v>
      </c>
      <c r="O12" s="479">
        <v>653</v>
      </c>
      <c r="P12" s="486"/>
      <c r="Q12" s="519">
        <v>653</v>
      </c>
    </row>
    <row r="13" spans="1:17" ht="14.4" customHeight="1" x14ac:dyDescent="0.3">
      <c r="A13" s="484" t="s">
        <v>919</v>
      </c>
      <c r="B13" s="478" t="s">
        <v>163</v>
      </c>
      <c r="C13" s="478" t="s">
        <v>814</v>
      </c>
      <c r="D13" s="478" t="s">
        <v>817</v>
      </c>
      <c r="E13" s="478" t="s">
        <v>818</v>
      </c>
      <c r="F13" s="479"/>
      <c r="G13" s="479"/>
      <c r="H13" s="479"/>
      <c r="I13" s="479"/>
      <c r="J13" s="479">
        <v>2</v>
      </c>
      <c r="K13" s="479">
        <v>260</v>
      </c>
      <c r="L13" s="479"/>
      <c r="M13" s="479">
        <v>130</v>
      </c>
      <c r="N13" s="479">
        <v>1</v>
      </c>
      <c r="O13" s="479">
        <v>134</v>
      </c>
      <c r="P13" s="486"/>
      <c r="Q13" s="519">
        <v>134</v>
      </c>
    </row>
    <row r="14" spans="1:17" ht="14.4" customHeight="1" x14ac:dyDescent="0.3">
      <c r="A14" s="484" t="s">
        <v>919</v>
      </c>
      <c r="B14" s="478" t="s">
        <v>163</v>
      </c>
      <c r="C14" s="478" t="s">
        <v>814</v>
      </c>
      <c r="D14" s="478" t="s">
        <v>819</v>
      </c>
      <c r="E14" s="478" t="s">
        <v>820</v>
      </c>
      <c r="F14" s="479">
        <v>1</v>
      </c>
      <c r="G14" s="479">
        <v>1705</v>
      </c>
      <c r="H14" s="479">
        <v>1</v>
      </c>
      <c r="I14" s="479">
        <v>1705</v>
      </c>
      <c r="J14" s="479">
        <v>2</v>
      </c>
      <c r="K14" s="479">
        <v>3410</v>
      </c>
      <c r="L14" s="479">
        <v>2</v>
      </c>
      <c r="M14" s="479">
        <v>1705</v>
      </c>
      <c r="N14" s="479">
        <v>1</v>
      </c>
      <c r="O14" s="479">
        <v>1721</v>
      </c>
      <c r="P14" s="486">
        <v>1.0093841642228738</v>
      </c>
      <c r="Q14" s="519">
        <v>1721</v>
      </c>
    </row>
    <row r="15" spans="1:17" ht="14.4" customHeight="1" x14ac:dyDescent="0.3">
      <c r="A15" s="484" t="s">
        <v>919</v>
      </c>
      <c r="B15" s="478" t="s">
        <v>163</v>
      </c>
      <c r="C15" s="478" t="s">
        <v>814</v>
      </c>
      <c r="D15" s="478" t="s">
        <v>821</v>
      </c>
      <c r="E15" s="478" t="s">
        <v>822</v>
      </c>
      <c r="F15" s="479"/>
      <c r="G15" s="479"/>
      <c r="H15" s="479"/>
      <c r="I15" s="479"/>
      <c r="J15" s="479"/>
      <c r="K15" s="479"/>
      <c r="L15" s="479"/>
      <c r="M15" s="479"/>
      <c r="N15" s="479">
        <v>1</v>
      </c>
      <c r="O15" s="479">
        <v>588</v>
      </c>
      <c r="P15" s="486"/>
      <c r="Q15" s="519">
        <v>588</v>
      </c>
    </row>
    <row r="16" spans="1:17" ht="14.4" customHeight="1" x14ac:dyDescent="0.3">
      <c r="A16" s="484" t="s">
        <v>919</v>
      </c>
      <c r="B16" s="478" t="s">
        <v>163</v>
      </c>
      <c r="C16" s="478" t="s">
        <v>814</v>
      </c>
      <c r="D16" s="478" t="s">
        <v>823</v>
      </c>
      <c r="E16" s="478" t="s">
        <v>824</v>
      </c>
      <c r="F16" s="479"/>
      <c r="G16" s="479"/>
      <c r="H16" s="479"/>
      <c r="I16" s="479"/>
      <c r="J16" s="479">
        <v>1</v>
      </c>
      <c r="K16" s="479">
        <v>327</v>
      </c>
      <c r="L16" s="479"/>
      <c r="M16" s="479">
        <v>327</v>
      </c>
      <c r="N16" s="479"/>
      <c r="O16" s="479"/>
      <c r="P16" s="486"/>
      <c r="Q16" s="519"/>
    </row>
    <row r="17" spans="1:17" ht="14.4" customHeight="1" x14ac:dyDescent="0.3">
      <c r="A17" s="484" t="s">
        <v>919</v>
      </c>
      <c r="B17" s="478" t="s">
        <v>163</v>
      </c>
      <c r="C17" s="478" t="s">
        <v>814</v>
      </c>
      <c r="D17" s="478" t="s">
        <v>831</v>
      </c>
      <c r="E17" s="478" t="s">
        <v>832</v>
      </c>
      <c r="F17" s="479"/>
      <c r="G17" s="479"/>
      <c r="H17" s="479"/>
      <c r="I17" s="479"/>
      <c r="J17" s="479">
        <v>1</v>
      </c>
      <c r="K17" s="479">
        <v>645</v>
      </c>
      <c r="L17" s="479"/>
      <c r="M17" s="479">
        <v>645</v>
      </c>
      <c r="N17" s="479">
        <v>1</v>
      </c>
      <c r="O17" s="479">
        <v>653</v>
      </c>
      <c r="P17" s="486"/>
      <c r="Q17" s="519">
        <v>653</v>
      </c>
    </row>
    <row r="18" spans="1:17" ht="14.4" customHeight="1" x14ac:dyDescent="0.3">
      <c r="A18" s="484" t="s">
        <v>919</v>
      </c>
      <c r="B18" s="478" t="s">
        <v>845</v>
      </c>
      <c r="C18" s="478" t="s">
        <v>814</v>
      </c>
      <c r="D18" s="478" t="s">
        <v>854</v>
      </c>
      <c r="E18" s="478" t="s">
        <v>855</v>
      </c>
      <c r="F18" s="479"/>
      <c r="G18" s="479"/>
      <c r="H18" s="479"/>
      <c r="I18" s="479"/>
      <c r="J18" s="479">
        <v>2</v>
      </c>
      <c r="K18" s="479">
        <v>1160</v>
      </c>
      <c r="L18" s="479"/>
      <c r="M18" s="479">
        <v>580</v>
      </c>
      <c r="N18" s="479"/>
      <c r="O18" s="479"/>
      <c r="P18" s="486"/>
      <c r="Q18" s="519"/>
    </row>
    <row r="19" spans="1:17" ht="14.4" customHeight="1" x14ac:dyDescent="0.3">
      <c r="A19" s="484" t="s">
        <v>919</v>
      </c>
      <c r="B19" s="478" t="s">
        <v>860</v>
      </c>
      <c r="C19" s="478" t="s">
        <v>814</v>
      </c>
      <c r="D19" s="478" t="s">
        <v>825</v>
      </c>
      <c r="E19" s="478" t="s">
        <v>826</v>
      </c>
      <c r="F19" s="479"/>
      <c r="G19" s="479"/>
      <c r="H19" s="479"/>
      <c r="I19" s="479"/>
      <c r="J19" s="479">
        <v>1</v>
      </c>
      <c r="K19" s="479">
        <v>0</v>
      </c>
      <c r="L19" s="479"/>
      <c r="M19" s="479">
        <v>0</v>
      </c>
      <c r="N19" s="479"/>
      <c r="O19" s="479"/>
      <c r="P19" s="486"/>
      <c r="Q19" s="519"/>
    </row>
    <row r="20" spans="1:17" ht="14.4" customHeight="1" x14ac:dyDescent="0.3">
      <c r="A20" s="484" t="s">
        <v>919</v>
      </c>
      <c r="B20" s="478" t="s">
        <v>886</v>
      </c>
      <c r="C20" s="478" t="s">
        <v>814</v>
      </c>
      <c r="D20" s="478" t="s">
        <v>891</v>
      </c>
      <c r="E20" s="478" t="s">
        <v>892</v>
      </c>
      <c r="F20" s="479"/>
      <c r="G20" s="479"/>
      <c r="H20" s="479"/>
      <c r="I20" s="479"/>
      <c r="J20" s="479"/>
      <c r="K20" s="479"/>
      <c r="L20" s="479"/>
      <c r="M20" s="479"/>
      <c r="N20" s="479">
        <v>4</v>
      </c>
      <c r="O20" s="479">
        <v>324</v>
      </c>
      <c r="P20" s="486"/>
      <c r="Q20" s="519">
        <v>81</v>
      </c>
    </row>
    <row r="21" spans="1:17" ht="14.4" customHeight="1" thickBot="1" x14ac:dyDescent="0.35">
      <c r="A21" s="485" t="s">
        <v>919</v>
      </c>
      <c r="B21" s="480" t="s">
        <v>886</v>
      </c>
      <c r="C21" s="480" t="s">
        <v>814</v>
      </c>
      <c r="D21" s="480" t="s">
        <v>893</v>
      </c>
      <c r="E21" s="480" t="s">
        <v>894</v>
      </c>
      <c r="F21" s="458"/>
      <c r="G21" s="458"/>
      <c r="H21" s="458"/>
      <c r="I21" s="458"/>
      <c r="J21" s="458"/>
      <c r="K21" s="458"/>
      <c r="L21" s="458"/>
      <c r="M21" s="458"/>
      <c r="N21" s="458">
        <v>1</v>
      </c>
      <c r="O21" s="458">
        <v>78</v>
      </c>
      <c r="P21" s="459"/>
      <c r="Q21" s="468">
        <v>78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135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72</v>
      </c>
      <c r="C4" s="330"/>
      <c r="D4" s="7"/>
      <c r="E4" s="128" t="s">
        <v>72</v>
      </c>
      <c r="F4" s="109" t="s">
        <v>73</v>
      </c>
      <c r="G4" s="109" t="s">
        <v>67</v>
      </c>
      <c r="H4" s="110" t="s">
        <v>74</v>
      </c>
    </row>
    <row r="5" spans="1:8" ht="14.4" customHeight="1" x14ac:dyDescent="0.3">
      <c r="A5" s="112" t="str">
        <f>HYPERLINK("#'Léky Žádanky'!A1","Léky (Kč)")</f>
        <v>Léky (Kč)</v>
      </c>
      <c r="B5" s="27">
        <v>0.41830000000000001</v>
      </c>
      <c r="C5" s="29">
        <v>0.22811000000000001</v>
      </c>
      <c r="D5" s="8"/>
      <c r="E5" s="117">
        <v>0</v>
      </c>
      <c r="F5" s="28">
        <v>0.39045623634950005</v>
      </c>
      <c r="G5" s="116">
        <f>E5-F5</f>
        <v>-0.39045623634950005</v>
      </c>
      <c r="H5" s="122">
        <f>IF(F5&lt;0.00000001,"",E5/F5)</f>
        <v>0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0</v>
      </c>
      <c r="C6" s="31">
        <v>1.05145</v>
      </c>
      <c r="D6" s="8"/>
      <c r="E6" s="118">
        <v>0.51983999999999997</v>
      </c>
      <c r="F6" s="30">
        <v>4.7653931832350001</v>
      </c>
      <c r="G6" s="119">
        <f>E6-F6</f>
        <v>-4.2455531832349998</v>
      </c>
      <c r="H6" s="123">
        <f>IF(F6&lt;0.00000001,"",E6/F6)</f>
        <v>0.10908648667833641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765.74549000000002</v>
      </c>
      <c r="C7" s="31">
        <v>760.23306000000207</v>
      </c>
      <c r="D7" s="8"/>
      <c r="E7" s="118">
        <v>658.71869000000095</v>
      </c>
      <c r="F7" s="30">
        <v>811.83330776255002</v>
      </c>
      <c r="G7" s="119">
        <f>E7-F7</f>
        <v>-153.11461776254907</v>
      </c>
      <c r="H7" s="123">
        <f>IF(F7&lt;0.00000001,"",E7/F7)</f>
        <v>0.8113964821367825</v>
      </c>
    </row>
    <row r="8" spans="1:8" ht="14.4" customHeight="1" thickBot="1" x14ac:dyDescent="0.35">
      <c r="A8" s="1" t="s">
        <v>75</v>
      </c>
      <c r="B8" s="11">
        <v>155.25524999999999</v>
      </c>
      <c r="C8" s="33">
        <v>127.8950700000009</v>
      </c>
      <c r="D8" s="8"/>
      <c r="E8" s="120">
        <v>146.33732000000015</v>
      </c>
      <c r="F8" s="32">
        <v>157.52718734776494</v>
      </c>
      <c r="G8" s="121">
        <f>E8-F8</f>
        <v>-11.189867347764789</v>
      </c>
      <c r="H8" s="124">
        <f>IF(F8&lt;0.00000001,"",E8/F8)</f>
        <v>0.92896548503045717</v>
      </c>
    </row>
    <row r="9" spans="1:8" ht="14.4" customHeight="1" thickBot="1" x14ac:dyDescent="0.35">
      <c r="A9" s="2" t="s">
        <v>76</v>
      </c>
      <c r="B9" s="3">
        <v>921.41904</v>
      </c>
      <c r="C9" s="35">
        <v>889.40769000000296</v>
      </c>
      <c r="D9" s="8"/>
      <c r="E9" s="3">
        <v>805.57585000000108</v>
      </c>
      <c r="F9" s="34">
        <v>974.51634452989947</v>
      </c>
      <c r="G9" s="34">
        <f>E9-F9</f>
        <v>-168.94049452989839</v>
      </c>
      <c r="H9" s="125">
        <f>IF(F9&lt;0.00000001,"",E9/F9)</f>
        <v>0.82664170233964196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254.125</v>
      </c>
      <c r="C11" s="29">
        <f>IF(ISERROR(VLOOKUP("Celkem:",'ZV Vykáz.-A'!A:F,4,0)),0,VLOOKUP("Celkem:",'ZV Vykáz.-A'!A:F,4,0)/1000)</f>
        <v>380.92</v>
      </c>
      <c r="D11" s="8"/>
      <c r="E11" s="117">
        <f>IF(ISERROR(VLOOKUP("Celkem:",'ZV Vykáz.-A'!A:F,6,0)),0,VLOOKUP("Celkem:",'ZV Vykáz.-A'!A:F,6,0)/1000)</f>
        <v>492.50400000000002</v>
      </c>
      <c r="F11" s="28">
        <f>B11</f>
        <v>254.125</v>
      </c>
      <c r="G11" s="116">
        <f>E11-F11</f>
        <v>238.37900000000002</v>
      </c>
      <c r="H11" s="122">
        <f>IF(F11&lt;0.00000001,"",E11/F11)</f>
        <v>1.9380383669454009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79</v>
      </c>
      <c r="B13" s="5">
        <f>SUM(B11:B12)</f>
        <v>254.125</v>
      </c>
      <c r="C13" s="37">
        <f>SUM(C11:C12)</f>
        <v>380.92</v>
      </c>
      <c r="D13" s="8"/>
      <c r="E13" s="5">
        <f>SUM(E11:E12)</f>
        <v>492.50400000000002</v>
      </c>
      <c r="F13" s="36">
        <f>SUM(F11:F12)</f>
        <v>254.125</v>
      </c>
      <c r="G13" s="36">
        <f>E13-F13</f>
        <v>238.37900000000002</v>
      </c>
      <c r="H13" s="126">
        <f>IF(F13&lt;0.00000001,"",E13/F13)</f>
        <v>1.9380383669454009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0.27579742654330219</v>
      </c>
      <c r="C15" s="39">
        <f>IF(C9=0,"",C13/C9)</f>
        <v>0.42828503090635384</v>
      </c>
      <c r="D15" s="8"/>
      <c r="E15" s="6">
        <f>IF(E9=0,"",E13/E9)</f>
        <v>0.61136887358279091</v>
      </c>
      <c r="F15" s="38">
        <f>IF(F9=0,"",F13/F9)</f>
        <v>0.26077038258664437</v>
      </c>
      <c r="G15" s="38">
        <f>IF(ISERROR(F15-E15),"",E15-F15)</f>
        <v>0.35059849099614654</v>
      </c>
      <c r="H15" s="127">
        <f>IF(ISERROR(F15-E15),"",IF(F15&lt;0.00000001,"",E15/F15))</f>
        <v>2.3444720505391583</v>
      </c>
    </row>
    <row r="17" spans="1:8" ht="14.4" customHeight="1" x14ac:dyDescent="0.3">
      <c r="A17" s="113" t="s">
        <v>156</v>
      </c>
    </row>
    <row r="18" spans="1:8" ht="14.4" customHeight="1" x14ac:dyDescent="0.3">
      <c r="A18" s="288" t="s">
        <v>195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194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249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158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81</v>
      </c>
      <c r="C3" s="201" t="s">
        <v>82</v>
      </c>
      <c r="D3" s="201" t="s">
        <v>83</v>
      </c>
      <c r="E3" s="200" t="s">
        <v>84</v>
      </c>
      <c r="F3" s="201" t="s">
        <v>85</v>
      </c>
      <c r="G3" s="201" t="s">
        <v>86</v>
      </c>
      <c r="H3" s="201" t="s">
        <v>87</v>
      </c>
      <c r="I3" s="201" t="s">
        <v>88</v>
      </c>
      <c r="J3" s="201" t="s">
        <v>89</v>
      </c>
      <c r="K3" s="201" t="s">
        <v>90</v>
      </c>
      <c r="L3" s="201" t="s">
        <v>91</v>
      </c>
      <c r="M3" s="201" t="s">
        <v>92</v>
      </c>
    </row>
    <row r="4" spans="1:13" ht="14.4" customHeight="1" x14ac:dyDescent="0.3">
      <c r="A4" s="199" t="s">
        <v>80</v>
      </c>
      <c r="B4" s="202">
        <f>(B10+B8)/B6</f>
        <v>0.53131506937502548</v>
      </c>
      <c r="C4" s="202">
        <f t="shared" ref="C4:M4" si="0">(C10+C8)/C6</f>
        <v>0.61136887358279091</v>
      </c>
      <c r="D4" s="202">
        <f t="shared" si="0"/>
        <v>0.61136887358279091</v>
      </c>
      <c r="E4" s="202">
        <f t="shared" si="0"/>
        <v>0.61136887358279091</v>
      </c>
      <c r="F4" s="202">
        <f t="shared" si="0"/>
        <v>0.61136887358279091</v>
      </c>
      <c r="G4" s="202">
        <f t="shared" si="0"/>
        <v>0.61136887358279091</v>
      </c>
      <c r="H4" s="202">
        <f t="shared" si="0"/>
        <v>0.61136887358279091</v>
      </c>
      <c r="I4" s="202">
        <f t="shared" si="0"/>
        <v>0.61136887358279091</v>
      </c>
      <c r="J4" s="202">
        <f t="shared" si="0"/>
        <v>0.61136887358279091</v>
      </c>
      <c r="K4" s="202">
        <f t="shared" si="0"/>
        <v>0.61136887358279091</v>
      </c>
      <c r="L4" s="202">
        <f t="shared" si="0"/>
        <v>0.61136887358279091</v>
      </c>
      <c r="M4" s="202">
        <f t="shared" si="0"/>
        <v>0.61136887358279091</v>
      </c>
    </row>
    <row r="5" spans="1:13" ht="14.4" customHeight="1" x14ac:dyDescent="0.3">
      <c r="A5" s="203" t="s">
        <v>52</v>
      </c>
      <c r="B5" s="202">
        <f>IF(ISERROR(VLOOKUP($A5,'Man Tab'!$A:$Q,COLUMN()+2,0)),0,VLOOKUP($A5,'Man Tab'!$A:$Q,COLUMN()+2,0))</f>
        <v>446.74434000000002</v>
      </c>
      <c r="C5" s="202">
        <f>IF(ISERROR(VLOOKUP($A5,'Man Tab'!$A:$Q,COLUMN()+2,0)),0,VLOOKUP($A5,'Man Tab'!$A:$Q,COLUMN()+2,0))</f>
        <v>358.831510000001</v>
      </c>
      <c r="D5" s="202">
        <f>IF(ISERROR(VLOOKUP($A5,'Man Tab'!$A:$Q,COLUMN()+2,0)),0,VLOOKUP($A5,'Man Tab'!$A:$Q,COLUMN()+2,0))</f>
        <v>0</v>
      </c>
      <c r="E5" s="202">
        <f>IF(ISERROR(VLOOKUP($A5,'Man Tab'!$A:$Q,COLUMN()+2,0)),0,VLOOKUP($A5,'Man Tab'!$A:$Q,COLUMN()+2,0))</f>
        <v>0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76</v>
      </c>
      <c r="B6" s="204">
        <f>B5</f>
        <v>446.74434000000002</v>
      </c>
      <c r="C6" s="204">
        <f t="shared" ref="C6:M6" si="1">C5+B6</f>
        <v>805.57585000000108</v>
      </c>
      <c r="D6" s="204">
        <f t="shared" si="1"/>
        <v>805.57585000000108</v>
      </c>
      <c r="E6" s="204">
        <f t="shared" si="1"/>
        <v>805.57585000000108</v>
      </c>
      <c r="F6" s="204">
        <f t="shared" si="1"/>
        <v>805.57585000000108</v>
      </c>
      <c r="G6" s="204">
        <f t="shared" si="1"/>
        <v>805.57585000000108</v>
      </c>
      <c r="H6" s="204">
        <f t="shared" si="1"/>
        <v>805.57585000000108</v>
      </c>
      <c r="I6" s="204">
        <f t="shared" si="1"/>
        <v>805.57585000000108</v>
      </c>
      <c r="J6" s="204">
        <f t="shared" si="1"/>
        <v>805.57585000000108</v>
      </c>
      <c r="K6" s="204">
        <f t="shared" si="1"/>
        <v>805.57585000000108</v>
      </c>
      <c r="L6" s="204">
        <f t="shared" si="1"/>
        <v>805.57585000000108</v>
      </c>
      <c r="M6" s="204">
        <f t="shared" si="1"/>
        <v>805.57585000000108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77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237362</v>
      </c>
      <c r="C9" s="203">
        <v>255142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78</v>
      </c>
      <c r="B10" s="204">
        <f>B9/1000</f>
        <v>237.36199999999999</v>
      </c>
      <c r="C10" s="204">
        <f t="shared" ref="C10:M10" si="3">C9/1000+B10</f>
        <v>492.50400000000002</v>
      </c>
      <c r="D10" s="204">
        <f t="shared" si="3"/>
        <v>492.50400000000002</v>
      </c>
      <c r="E10" s="204">
        <f t="shared" si="3"/>
        <v>492.50400000000002</v>
      </c>
      <c r="F10" s="204">
        <f t="shared" si="3"/>
        <v>492.50400000000002</v>
      </c>
      <c r="G10" s="204">
        <f t="shared" si="3"/>
        <v>492.50400000000002</v>
      </c>
      <c r="H10" s="204">
        <f t="shared" si="3"/>
        <v>492.50400000000002</v>
      </c>
      <c r="I10" s="204">
        <f t="shared" si="3"/>
        <v>492.50400000000002</v>
      </c>
      <c r="J10" s="204">
        <f t="shared" si="3"/>
        <v>492.50400000000002</v>
      </c>
      <c r="K10" s="204">
        <f t="shared" si="3"/>
        <v>492.50400000000002</v>
      </c>
      <c r="L10" s="204">
        <f t="shared" si="3"/>
        <v>492.50400000000002</v>
      </c>
      <c r="M10" s="204">
        <f t="shared" si="3"/>
        <v>492.50400000000002</v>
      </c>
    </row>
    <row r="11" spans="1:13" ht="14.4" customHeight="1" x14ac:dyDescent="0.3">
      <c r="A11" s="199"/>
      <c r="B11" s="199" t="s">
        <v>93</v>
      </c>
      <c r="C11" s="199">
        <f ca="1">IF(MONTH(TODAY())=1,12,MONTH(TODAY())-1)</f>
        <v>2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0.26077038258664437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0.26077038258664437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275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28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29</v>
      </c>
      <c r="D4" s="129" t="s">
        <v>252</v>
      </c>
      <c r="E4" s="129" t="s">
        <v>253</v>
      </c>
      <c r="F4" s="129" t="s">
        <v>254</v>
      </c>
      <c r="G4" s="129" t="s">
        <v>255</v>
      </c>
      <c r="H4" s="129" t="s">
        <v>256</v>
      </c>
      <c r="I4" s="129" t="s">
        <v>257</v>
      </c>
      <c r="J4" s="129" t="s">
        <v>258</v>
      </c>
      <c r="K4" s="129" t="s">
        <v>259</v>
      </c>
      <c r="L4" s="129" t="s">
        <v>260</v>
      </c>
      <c r="M4" s="129" t="s">
        <v>261</v>
      </c>
      <c r="N4" s="129" t="s">
        <v>262</v>
      </c>
      <c r="O4" s="129" t="s">
        <v>263</v>
      </c>
      <c r="P4" s="337" t="s">
        <v>3</v>
      </c>
      <c r="Q4" s="338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274</v>
      </c>
    </row>
    <row r="7" spans="1:17" ht="14.4" customHeight="1" x14ac:dyDescent="0.3">
      <c r="A7" s="15" t="s">
        <v>34</v>
      </c>
      <c r="B7" s="51">
        <v>2.3427374180970002</v>
      </c>
      <c r="C7" s="52">
        <v>0.19522811817399999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>
        <v>0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274</v>
      </c>
    </row>
    <row r="9" spans="1:17" ht="14.4" customHeight="1" x14ac:dyDescent="0.3">
      <c r="A9" s="15" t="s">
        <v>36</v>
      </c>
      <c r="B9" s="51">
        <v>28.59235909941</v>
      </c>
      <c r="C9" s="52">
        <v>2.382696591617</v>
      </c>
      <c r="D9" s="52">
        <v>0.51983999999999997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0.51983999999999997</v>
      </c>
      <c r="Q9" s="95">
        <v>0.109086486678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274</v>
      </c>
    </row>
    <row r="11" spans="1:17" ht="14.4" customHeight="1" x14ac:dyDescent="0.3">
      <c r="A11" s="15" t="s">
        <v>38</v>
      </c>
      <c r="B11" s="51">
        <v>32.748992362406</v>
      </c>
      <c r="C11" s="52">
        <v>2.7290826968670001</v>
      </c>
      <c r="D11" s="52">
        <v>4.4791699999999999</v>
      </c>
      <c r="E11" s="52">
        <v>1.19974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5.6789100000000001</v>
      </c>
      <c r="Q11" s="95">
        <v>1.040443004259</v>
      </c>
    </row>
    <row r="12" spans="1:17" ht="14.4" customHeight="1" x14ac:dyDescent="0.3">
      <c r="A12" s="15" t="s">
        <v>39</v>
      </c>
      <c r="B12" s="51">
        <v>0.99999996850200001</v>
      </c>
      <c r="C12" s="52">
        <v>8.3333330708000003E-2</v>
      </c>
      <c r="D12" s="52">
        <v>1.0809</v>
      </c>
      <c r="E12" s="52">
        <v>0.13375000000000001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1.21465</v>
      </c>
      <c r="Q12" s="95">
        <v>7.287900229551</v>
      </c>
    </row>
    <row r="13" spans="1:17" ht="14.4" customHeight="1" x14ac:dyDescent="0.3">
      <c r="A13" s="15" t="s">
        <v>40</v>
      </c>
      <c r="B13" s="51">
        <v>5.9999998110139998</v>
      </c>
      <c r="C13" s="52">
        <v>0.49999998425100001</v>
      </c>
      <c r="D13" s="52">
        <v>0.31218000000000001</v>
      </c>
      <c r="E13" s="52">
        <v>0.69406000000000001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1.00624</v>
      </c>
      <c r="Q13" s="95">
        <v>1.0062400316939999</v>
      </c>
    </row>
    <row r="14" spans="1:17" ht="14.4" customHeight="1" x14ac:dyDescent="0.3">
      <c r="A14" s="15" t="s">
        <v>41</v>
      </c>
      <c r="B14" s="51">
        <v>179.854302898013</v>
      </c>
      <c r="C14" s="52">
        <v>14.987858574834</v>
      </c>
      <c r="D14" s="52">
        <v>19.677</v>
      </c>
      <c r="E14" s="52">
        <v>16.920000000000002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36.597000000000001</v>
      </c>
      <c r="Q14" s="95">
        <v>1.220888221531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274</v>
      </c>
    </row>
    <row r="17" spans="1:17" ht="14.4" customHeight="1" x14ac:dyDescent="0.3">
      <c r="A17" s="15" t="s">
        <v>44</v>
      </c>
      <c r="B17" s="51">
        <v>74.348924860227001</v>
      </c>
      <c r="C17" s="52">
        <v>6.1957437383520002</v>
      </c>
      <c r="D17" s="52">
        <v>1.0662400000000001</v>
      </c>
      <c r="E17" s="52">
        <v>0.93006999999999995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1.99631</v>
      </c>
      <c r="Q17" s="95">
        <v>0.16110333837999999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274</v>
      </c>
    </row>
    <row r="19" spans="1:17" ht="14.4" customHeight="1" x14ac:dyDescent="0.3">
      <c r="A19" s="15" t="s">
        <v>46</v>
      </c>
      <c r="B19" s="51">
        <v>248.21091687996099</v>
      </c>
      <c r="C19" s="52">
        <v>20.684243073329998</v>
      </c>
      <c r="D19" s="52">
        <v>20.661560000000001</v>
      </c>
      <c r="E19" s="52">
        <v>10.621650000000001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31.28321</v>
      </c>
      <c r="Q19" s="95">
        <v>0.75620872103199999</v>
      </c>
    </row>
    <row r="20" spans="1:17" ht="14.4" customHeight="1" x14ac:dyDescent="0.3">
      <c r="A20" s="15" t="s">
        <v>47</v>
      </c>
      <c r="B20" s="51">
        <v>4870.9998465752997</v>
      </c>
      <c r="C20" s="52">
        <v>405.91665388127501</v>
      </c>
      <c r="D20" s="52">
        <v>364.65145000000001</v>
      </c>
      <c r="E20" s="52">
        <v>294.06724000000099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658.71869000000095</v>
      </c>
      <c r="Q20" s="95">
        <v>0.81139648213600002</v>
      </c>
    </row>
    <row r="21" spans="1:17" ht="14.4" customHeight="1" x14ac:dyDescent="0.3">
      <c r="A21" s="16" t="s">
        <v>48</v>
      </c>
      <c r="B21" s="51">
        <v>402.99998730646502</v>
      </c>
      <c r="C21" s="52">
        <v>33.583332275537998</v>
      </c>
      <c r="D21" s="52">
        <v>33.850999999999999</v>
      </c>
      <c r="E21" s="52">
        <v>33.850999999999999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67.701999999999998</v>
      </c>
      <c r="Q21" s="95">
        <v>1.0079702550730001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274</v>
      </c>
    </row>
    <row r="24" spans="1:17" ht="14.4" customHeight="1" x14ac:dyDescent="0.3">
      <c r="A24" s="16" t="s">
        <v>51</v>
      </c>
      <c r="B24" s="51">
        <v>0</v>
      </c>
      <c r="C24" s="52">
        <v>-5.6843418860808002E-14</v>
      </c>
      <c r="D24" s="52">
        <v>0.44499999999899997</v>
      </c>
      <c r="E24" s="52">
        <v>0.413999999999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0.85899999999900001</v>
      </c>
      <c r="Q24" s="95"/>
    </row>
    <row r="25" spans="1:17" ht="14.4" customHeight="1" x14ac:dyDescent="0.3">
      <c r="A25" s="17" t="s">
        <v>52</v>
      </c>
      <c r="B25" s="54">
        <v>5847.0980671793995</v>
      </c>
      <c r="C25" s="55">
        <v>487.25817226495002</v>
      </c>
      <c r="D25" s="55">
        <v>446.74434000000002</v>
      </c>
      <c r="E25" s="55">
        <v>358.831510000001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805.57585000000097</v>
      </c>
      <c r="Q25" s="96">
        <v>0.82664170233900003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75.848839999999996</v>
      </c>
      <c r="E26" s="52">
        <v>62.640140000000002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138.48898</v>
      </c>
      <c r="Q26" s="95" t="s">
        <v>274</v>
      </c>
    </row>
    <row r="27" spans="1:17" ht="14.4" customHeight="1" x14ac:dyDescent="0.3">
      <c r="A27" s="18" t="s">
        <v>54</v>
      </c>
      <c r="B27" s="54">
        <v>5847.0980671793995</v>
      </c>
      <c r="C27" s="55">
        <v>487.25817226495002</v>
      </c>
      <c r="D27" s="55">
        <v>522.59317999999996</v>
      </c>
      <c r="E27" s="55">
        <v>421.47165000000098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944.06483000000105</v>
      </c>
      <c r="Q27" s="96">
        <v>0.96875217670699998</v>
      </c>
    </row>
    <row r="28" spans="1:17" ht="14.4" customHeight="1" x14ac:dyDescent="0.3">
      <c r="A28" s="16" t="s">
        <v>55</v>
      </c>
      <c r="B28" s="51">
        <v>1441.21914071369</v>
      </c>
      <c r="C28" s="52">
        <v>120.10159505947399</v>
      </c>
      <c r="D28" s="52">
        <v>142.86166</v>
      </c>
      <c r="E28" s="52">
        <v>117.34833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260.20999</v>
      </c>
      <c r="Q28" s="95">
        <v>1.08329114976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0.20699999999999999</v>
      </c>
      <c r="E31" s="58">
        <v>0.41399999999999998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0.621</v>
      </c>
      <c r="Q31" s="97" t="s">
        <v>274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156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272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60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61</v>
      </c>
      <c r="C3" s="336"/>
      <c r="D3" s="336"/>
      <c r="E3" s="336"/>
      <c r="F3" s="342" t="s">
        <v>62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268</v>
      </c>
      <c r="G4" s="346" t="s">
        <v>63</v>
      </c>
      <c r="H4" s="141" t="s">
        <v>140</v>
      </c>
      <c r="I4" s="344" t="s">
        <v>64</v>
      </c>
      <c r="J4" s="346" t="s">
        <v>270</v>
      </c>
      <c r="K4" s="347" t="s">
        <v>271</v>
      </c>
    </row>
    <row r="5" spans="1:11" ht="42" thickBot="1" x14ac:dyDescent="0.35">
      <c r="A5" s="78"/>
      <c r="B5" s="24" t="s">
        <v>264</v>
      </c>
      <c r="C5" s="25" t="s">
        <v>265</v>
      </c>
      <c r="D5" s="26" t="s">
        <v>266</v>
      </c>
      <c r="E5" s="26" t="s">
        <v>267</v>
      </c>
      <c r="F5" s="345"/>
      <c r="G5" s="345"/>
      <c r="H5" s="25" t="s">
        <v>269</v>
      </c>
      <c r="I5" s="345"/>
      <c r="J5" s="345"/>
      <c r="K5" s="348"/>
    </row>
    <row r="6" spans="1:11" ht="14.4" customHeight="1" thickBot="1" x14ac:dyDescent="0.35">
      <c r="A6" s="433" t="s">
        <v>276</v>
      </c>
      <c r="B6" s="415">
        <v>5627.1842393643801</v>
      </c>
      <c r="C6" s="415">
        <v>6031.1996399999998</v>
      </c>
      <c r="D6" s="416">
        <v>404.01540063562197</v>
      </c>
      <c r="E6" s="417">
        <v>1.071797080644</v>
      </c>
      <c r="F6" s="415">
        <v>5847.0980671793995</v>
      </c>
      <c r="G6" s="416">
        <v>974.51634452990004</v>
      </c>
      <c r="H6" s="418">
        <v>358.831510000001</v>
      </c>
      <c r="I6" s="415">
        <v>805.57585000000097</v>
      </c>
      <c r="J6" s="416">
        <v>-168.94049452989901</v>
      </c>
      <c r="K6" s="419">
        <v>0.137773617056</v>
      </c>
    </row>
    <row r="7" spans="1:11" ht="14.4" customHeight="1" thickBot="1" x14ac:dyDescent="0.35">
      <c r="A7" s="434" t="s">
        <v>277</v>
      </c>
      <c r="B7" s="415">
        <v>288.993772802997</v>
      </c>
      <c r="C7" s="415">
        <v>243.41095000000001</v>
      </c>
      <c r="D7" s="416">
        <v>-45.582822802995999</v>
      </c>
      <c r="E7" s="417">
        <v>0.84227057088099999</v>
      </c>
      <c r="F7" s="415">
        <v>250.53839155744299</v>
      </c>
      <c r="G7" s="416">
        <v>41.756398592906997</v>
      </c>
      <c r="H7" s="418">
        <v>19.361550000000001</v>
      </c>
      <c r="I7" s="415">
        <v>45.637639999999998</v>
      </c>
      <c r="J7" s="416">
        <v>3.8812414070919998</v>
      </c>
      <c r="K7" s="419">
        <v>0.182158270101</v>
      </c>
    </row>
    <row r="8" spans="1:11" ht="14.4" customHeight="1" thickBot="1" x14ac:dyDescent="0.35">
      <c r="A8" s="435" t="s">
        <v>278</v>
      </c>
      <c r="B8" s="415">
        <v>95.547764471511002</v>
      </c>
      <c r="C8" s="415">
        <v>72.058949999999996</v>
      </c>
      <c r="D8" s="416">
        <v>-23.488814471510999</v>
      </c>
      <c r="E8" s="417">
        <v>0.75416678138399995</v>
      </c>
      <c r="F8" s="415">
        <v>70.684088659430003</v>
      </c>
      <c r="G8" s="416">
        <v>11.780681443238</v>
      </c>
      <c r="H8" s="418">
        <v>2.4415499999999999</v>
      </c>
      <c r="I8" s="415">
        <v>9.0406399999999998</v>
      </c>
      <c r="J8" s="416">
        <v>-2.7400414432379998</v>
      </c>
      <c r="K8" s="419">
        <v>0.12790205223600001</v>
      </c>
    </row>
    <row r="9" spans="1:11" ht="14.4" customHeight="1" thickBot="1" x14ac:dyDescent="0.35">
      <c r="A9" s="436" t="s">
        <v>279</v>
      </c>
      <c r="B9" s="420">
        <v>0</v>
      </c>
      <c r="C9" s="420">
        <v>-4.0000000000000002E-4</v>
      </c>
      <c r="D9" s="421">
        <v>-4.0000000000000002E-4</v>
      </c>
      <c r="E9" s="422" t="s">
        <v>274</v>
      </c>
      <c r="F9" s="420">
        <v>0</v>
      </c>
      <c r="G9" s="421">
        <v>0</v>
      </c>
      <c r="H9" s="423">
        <v>0</v>
      </c>
      <c r="I9" s="420">
        <v>0</v>
      </c>
      <c r="J9" s="421">
        <v>0</v>
      </c>
      <c r="K9" s="424">
        <v>0</v>
      </c>
    </row>
    <row r="10" spans="1:11" ht="14.4" customHeight="1" thickBot="1" x14ac:dyDescent="0.35">
      <c r="A10" s="437" t="s">
        <v>280</v>
      </c>
      <c r="B10" s="415">
        <v>0</v>
      </c>
      <c r="C10" s="415">
        <v>-4.0000000000000002E-4</v>
      </c>
      <c r="D10" s="416">
        <v>-4.0000000000000002E-4</v>
      </c>
      <c r="E10" s="425" t="s">
        <v>274</v>
      </c>
      <c r="F10" s="415">
        <v>0</v>
      </c>
      <c r="G10" s="416">
        <v>0</v>
      </c>
      <c r="H10" s="418">
        <v>0</v>
      </c>
      <c r="I10" s="415">
        <v>0</v>
      </c>
      <c r="J10" s="416">
        <v>0</v>
      </c>
      <c r="K10" s="419">
        <v>0</v>
      </c>
    </row>
    <row r="11" spans="1:11" ht="14.4" customHeight="1" thickBot="1" x14ac:dyDescent="0.35">
      <c r="A11" s="436" t="s">
        <v>281</v>
      </c>
      <c r="B11" s="420">
        <v>3.471613634279</v>
      </c>
      <c r="C11" s="420">
        <v>1.6068499999999999</v>
      </c>
      <c r="D11" s="421">
        <v>-1.8647636342789999</v>
      </c>
      <c r="E11" s="426">
        <v>0.46285392594699998</v>
      </c>
      <c r="F11" s="420">
        <v>2.3427374180970002</v>
      </c>
      <c r="G11" s="421">
        <v>0.39045623634900001</v>
      </c>
      <c r="H11" s="423">
        <v>0</v>
      </c>
      <c r="I11" s="420">
        <v>0</v>
      </c>
      <c r="J11" s="421">
        <v>-0.39045623634900001</v>
      </c>
      <c r="K11" s="424">
        <v>0</v>
      </c>
    </row>
    <row r="12" spans="1:11" ht="14.4" customHeight="1" thickBot="1" x14ac:dyDescent="0.35">
      <c r="A12" s="437" t="s">
        <v>282</v>
      </c>
      <c r="B12" s="415">
        <v>1.6408319741070001</v>
      </c>
      <c r="C12" s="415">
        <v>1.6068499999999999</v>
      </c>
      <c r="D12" s="416">
        <v>-3.3981974106999997E-2</v>
      </c>
      <c r="E12" s="417">
        <v>0.97928979039599995</v>
      </c>
      <c r="F12" s="415">
        <v>2.3427374180970002</v>
      </c>
      <c r="G12" s="416">
        <v>0.39045623634900001</v>
      </c>
      <c r="H12" s="418">
        <v>0</v>
      </c>
      <c r="I12" s="415">
        <v>0</v>
      </c>
      <c r="J12" s="416">
        <v>-0.39045623634900001</v>
      </c>
      <c r="K12" s="419">
        <v>0</v>
      </c>
    </row>
    <row r="13" spans="1:11" ht="14.4" customHeight="1" thickBot="1" x14ac:dyDescent="0.35">
      <c r="A13" s="436" t="s">
        <v>283</v>
      </c>
      <c r="B13" s="420">
        <v>26.975640841495</v>
      </c>
      <c r="C13" s="420">
        <v>23.15354</v>
      </c>
      <c r="D13" s="421">
        <v>-3.8221008414950002</v>
      </c>
      <c r="E13" s="426">
        <v>0.85831288072199996</v>
      </c>
      <c r="F13" s="420">
        <v>28.59235909941</v>
      </c>
      <c r="G13" s="421">
        <v>4.765393183234</v>
      </c>
      <c r="H13" s="423">
        <v>0</v>
      </c>
      <c r="I13" s="420">
        <v>0.51983999999999997</v>
      </c>
      <c r="J13" s="421">
        <v>-4.2455531832339997</v>
      </c>
      <c r="K13" s="424">
        <v>1.8181081113E-2</v>
      </c>
    </row>
    <row r="14" spans="1:11" ht="14.4" customHeight="1" thickBot="1" x14ac:dyDescent="0.35">
      <c r="A14" s="437" t="s">
        <v>284</v>
      </c>
      <c r="B14" s="415">
        <v>1.576008330766</v>
      </c>
      <c r="C14" s="415">
        <v>4.3874599999999999</v>
      </c>
      <c r="D14" s="416">
        <v>2.8114516692330001</v>
      </c>
      <c r="E14" s="417">
        <v>2.7839066040130001</v>
      </c>
      <c r="F14" s="415">
        <v>2.9999999055069999</v>
      </c>
      <c r="G14" s="416">
        <v>0.49999998425100001</v>
      </c>
      <c r="H14" s="418">
        <v>0</v>
      </c>
      <c r="I14" s="415">
        <v>0</v>
      </c>
      <c r="J14" s="416">
        <v>-0.49999998425100001</v>
      </c>
      <c r="K14" s="419">
        <v>0</v>
      </c>
    </row>
    <row r="15" spans="1:11" ht="14.4" customHeight="1" thickBot="1" x14ac:dyDescent="0.35">
      <c r="A15" s="437" t="s">
        <v>285</v>
      </c>
      <c r="B15" s="415">
        <v>9.7511242466E-2</v>
      </c>
      <c r="C15" s="415">
        <v>0.18228</v>
      </c>
      <c r="D15" s="416">
        <v>8.4768757533000005E-2</v>
      </c>
      <c r="E15" s="417">
        <v>1.8693229148620001</v>
      </c>
      <c r="F15" s="415">
        <v>0.417359986854</v>
      </c>
      <c r="G15" s="416">
        <v>6.9559997809000004E-2</v>
      </c>
      <c r="H15" s="418">
        <v>0</v>
      </c>
      <c r="I15" s="415">
        <v>0</v>
      </c>
      <c r="J15" s="416">
        <v>-6.9559997809000004E-2</v>
      </c>
      <c r="K15" s="419">
        <v>0</v>
      </c>
    </row>
    <row r="16" spans="1:11" ht="14.4" customHeight="1" thickBot="1" x14ac:dyDescent="0.35">
      <c r="A16" s="437" t="s">
        <v>286</v>
      </c>
      <c r="B16" s="415">
        <v>24.476805606507</v>
      </c>
      <c r="C16" s="415">
        <v>18.408799999999999</v>
      </c>
      <c r="D16" s="416">
        <v>-6.0680056065069996</v>
      </c>
      <c r="E16" s="417">
        <v>0.75209160443300005</v>
      </c>
      <c r="F16" s="415">
        <v>23.999999244057999</v>
      </c>
      <c r="G16" s="416">
        <v>3.9999998740090001</v>
      </c>
      <c r="H16" s="418">
        <v>0</v>
      </c>
      <c r="I16" s="415">
        <v>0.49199999999999999</v>
      </c>
      <c r="J16" s="416">
        <v>-3.5079998740090002</v>
      </c>
      <c r="K16" s="419">
        <v>2.0500000644999999E-2</v>
      </c>
    </row>
    <row r="17" spans="1:11" ht="14.4" customHeight="1" thickBot="1" x14ac:dyDescent="0.35">
      <c r="A17" s="437" t="s">
        <v>287</v>
      </c>
      <c r="B17" s="415">
        <v>0</v>
      </c>
      <c r="C17" s="415">
        <v>0.17499999999999999</v>
      </c>
      <c r="D17" s="416">
        <v>0.17499999999999999</v>
      </c>
      <c r="E17" s="425" t="s">
        <v>288</v>
      </c>
      <c r="F17" s="415">
        <v>0.17499999448699999</v>
      </c>
      <c r="G17" s="416">
        <v>2.9166665747000001E-2</v>
      </c>
      <c r="H17" s="418">
        <v>0</v>
      </c>
      <c r="I17" s="415">
        <v>0</v>
      </c>
      <c r="J17" s="416">
        <v>-2.9166665747000001E-2</v>
      </c>
      <c r="K17" s="419">
        <v>0</v>
      </c>
    </row>
    <row r="18" spans="1:11" ht="14.4" customHeight="1" thickBot="1" x14ac:dyDescent="0.35">
      <c r="A18" s="437" t="s">
        <v>289</v>
      </c>
      <c r="B18" s="415">
        <v>0.82531566175500004</v>
      </c>
      <c r="C18" s="415">
        <v>0</v>
      </c>
      <c r="D18" s="416">
        <v>-0.82531566175500004</v>
      </c>
      <c r="E18" s="417">
        <v>0</v>
      </c>
      <c r="F18" s="415">
        <v>0.99999996850200001</v>
      </c>
      <c r="G18" s="416">
        <v>0.16666666141700001</v>
      </c>
      <c r="H18" s="418">
        <v>0</v>
      </c>
      <c r="I18" s="415">
        <v>0</v>
      </c>
      <c r="J18" s="416">
        <v>-0.16666666141700001</v>
      </c>
      <c r="K18" s="419">
        <v>0</v>
      </c>
    </row>
    <row r="19" spans="1:11" ht="14.4" customHeight="1" thickBot="1" x14ac:dyDescent="0.35">
      <c r="A19" s="437" t="s">
        <v>290</v>
      </c>
      <c r="B19" s="415">
        <v>0</v>
      </c>
      <c r="C19" s="415">
        <v>0</v>
      </c>
      <c r="D19" s="416">
        <v>0</v>
      </c>
      <c r="E19" s="417">
        <v>1</v>
      </c>
      <c r="F19" s="415">
        <v>0</v>
      </c>
      <c r="G19" s="416">
        <v>0</v>
      </c>
      <c r="H19" s="418">
        <v>0</v>
      </c>
      <c r="I19" s="415">
        <v>2.784E-2</v>
      </c>
      <c r="J19" s="416">
        <v>2.784E-2</v>
      </c>
      <c r="K19" s="427" t="s">
        <v>288</v>
      </c>
    </row>
    <row r="20" spans="1:11" ht="14.4" customHeight="1" thickBot="1" x14ac:dyDescent="0.35">
      <c r="A20" s="436" t="s">
        <v>291</v>
      </c>
      <c r="B20" s="420">
        <v>0</v>
      </c>
      <c r="C20" s="420">
        <v>0.16636999999999999</v>
      </c>
      <c r="D20" s="421">
        <v>0.16636999999999999</v>
      </c>
      <c r="E20" s="422" t="s">
        <v>274</v>
      </c>
      <c r="F20" s="420">
        <v>0</v>
      </c>
      <c r="G20" s="421">
        <v>0</v>
      </c>
      <c r="H20" s="423">
        <v>0</v>
      </c>
      <c r="I20" s="420">
        <v>0</v>
      </c>
      <c r="J20" s="421">
        <v>0</v>
      </c>
      <c r="K20" s="428" t="s">
        <v>274</v>
      </c>
    </row>
    <row r="21" spans="1:11" ht="14.4" customHeight="1" thickBot="1" x14ac:dyDescent="0.35">
      <c r="A21" s="437" t="s">
        <v>292</v>
      </c>
      <c r="B21" s="415">
        <v>0</v>
      </c>
      <c r="C21" s="415">
        <v>0.16636999999999999</v>
      </c>
      <c r="D21" s="416">
        <v>0.16636999999999999</v>
      </c>
      <c r="E21" s="425" t="s">
        <v>274</v>
      </c>
      <c r="F21" s="415">
        <v>0</v>
      </c>
      <c r="G21" s="416">
        <v>0</v>
      </c>
      <c r="H21" s="418">
        <v>0</v>
      </c>
      <c r="I21" s="415">
        <v>0</v>
      </c>
      <c r="J21" s="416">
        <v>0</v>
      </c>
      <c r="K21" s="427" t="s">
        <v>274</v>
      </c>
    </row>
    <row r="22" spans="1:11" ht="14.4" customHeight="1" thickBot="1" x14ac:dyDescent="0.35">
      <c r="A22" s="436" t="s">
        <v>293</v>
      </c>
      <c r="B22" s="420">
        <v>52.073316944585997</v>
      </c>
      <c r="C22" s="420">
        <v>37.16724</v>
      </c>
      <c r="D22" s="421">
        <v>-14.906076944585999</v>
      </c>
      <c r="E22" s="426">
        <v>0.71374827225899995</v>
      </c>
      <c r="F22" s="420">
        <v>32.748992362406</v>
      </c>
      <c r="G22" s="421">
        <v>5.4581653937340002</v>
      </c>
      <c r="H22" s="423">
        <v>1.19974</v>
      </c>
      <c r="I22" s="420">
        <v>5.6789100000000001</v>
      </c>
      <c r="J22" s="421">
        <v>0.220744606265</v>
      </c>
      <c r="K22" s="424">
        <v>0.17340716737600001</v>
      </c>
    </row>
    <row r="23" spans="1:11" ht="14.4" customHeight="1" thickBot="1" x14ac:dyDescent="0.35">
      <c r="A23" s="437" t="s">
        <v>294</v>
      </c>
      <c r="B23" s="415">
        <v>1.11022302462514E-16</v>
      </c>
      <c r="C23" s="415">
        <v>1.9259999999999999</v>
      </c>
      <c r="D23" s="416">
        <v>1.9259999999999999</v>
      </c>
      <c r="E23" s="417">
        <v>0</v>
      </c>
      <c r="F23" s="415">
        <v>3.4138530778780001</v>
      </c>
      <c r="G23" s="416">
        <v>0.56897551297899995</v>
      </c>
      <c r="H23" s="418">
        <v>8.3000000000000004E-2</v>
      </c>
      <c r="I23" s="415">
        <v>8.3000000000000004E-2</v>
      </c>
      <c r="J23" s="416">
        <v>-0.48597551297899999</v>
      </c>
      <c r="K23" s="419">
        <v>2.4312704181000001E-2</v>
      </c>
    </row>
    <row r="24" spans="1:11" ht="14.4" customHeight="1" thickBot="1" x14ac:dyDescent="0.35">
      <c r="A24" s="437" t="s">
        <v>295</v>
      </c>
      <c r="B24" s="415">
        <v>0.97336171138799998</v>
      </c>
      <c r="C24" s="415">
        <v>0.67513000000000001</v>
      </c>
      <c r="D24" s="416">
        <v>-0.29823171138799998</v>
      </c>
      <c r="E24" s="417">
        <v>0.69360648985899997</v>
      </c>
      <c r="F24" s="415">
        <v>0.99999996850200001</v>
      </c>
      <c r="G24" s="416">
        <v>0.16666666141700001</v>
      </c>
      <c r="H24" s="418">
        <v>0</v>
      </c>
      <c r="I24" s="415">
        <v>0</v>
      </c>
      <c r="J24" s="416">
        <v>-0.16666666141700001</v>
      </c>
      <c r="K24" s="419">
        <v>0</v>
      </c>
    </row>
    <row r="25" spans="1:11" ht="14.4" customHeight="1" thickBot="1" x14ac:dyDescent="0.35">
      <c r="A25" s="437" t="s">
        <v>296</v>
      </c>
      <c r="B25" s="415">
        <v>7.5825872651150004</v>
      </c>
      <c r="C25" s="415">
        <v>5.5330500000000002</v>
      </c>
      <c r="D25" s="416">
        <v>-2.0495372651150001</v>
      </c>
      <c r="E25" s="417">
        <v>0.72970475729999995</v>
      </c>
      <c r="F25" s="415">
        <v>3.103646111157</v>
      </c>
      <c r="G25" s="416">
        <v>0.51727435185899995</v>
      </c>
      <c r="H25" s="418">
        <v>0</v>
      </c>
      <c r="I25" s="415">
        <v>1.7377899999999999</v>
      </c>
      <c r="J25" s="416">
        <v>1.2205156481399999</v>
      </c>
      <c r="K25" s="419">
        <v>0.55991886244699995</v>
      </c>
    </row>
    <row r="26" spans="1:11" ht="14.4" customHeight="1" thickBot="1" x14ac:dyDescent="0.35">
      <c r="A26" s="437" t="s">
        <v>297</v>
      </c>
      <c r="B26" s="415">
        <v>11.804097476399001</v>
      </c>
      <c r="C26" s="415">
        <v>10.638249999999999</v>
      </c>
      <c r="D26" s="416">
        <v>-1.165847476398</v>
      </c>
      <c r="E26" s="417">
        <v>0.901233662401</v>
      </c>
      <c r="F26" s="415">
        <v>7.9999997480190004</v>
      </c>
      <c r="G26" s="416">
        <v>1.3333332913360001</v>
      </c>
      <c r="H26" s="418">
        <v>4.2000000000000003E-2</v>
      </c>
      <c r="I26" s="415">
        <v>0.41965000000000002</v>
      </c>
      <c r="J26" s="416">
        <v>-0.91368329133600001</v>
      </c>
      <c r="K26" s="419">
        <v>5.2456251651999998E-2</v>
      </c>
    </row>
    <row r="27" spans="1:11" ht="14.4" customHeight="1" thickBot="1" x14ac:dyDescent="0.35">
      <c r="A27" s="437" t="s">
        <v>298</v>
      </c>
      <c r="B27" s="415">
        <v>1.999837947781</v>
      </c>
      <c r="C27" s="415">
        <v>3.03077</v>
      </c>
      <c r="D27" s="416">
        <v>1.0309320522180001</v>
      </c>
      <c r="E27" s="417">
        <v>1.5155077957</v>
      </c>
      <c r="F27" s="415">
        <v>1.999999937004</v>
      </c>
      <c r="G27" s="416">
        <v>0.33333332283400002</v>
      </c>
      <c r="H27" s="418">
        <v>0</v>
      </c>
      <c r="I27" s="415">
        <v>0.96099999999999997</v>
      </c>
      <c r="J27" s="416">
        <v>0.62766667716500002</v>
      </c>
      <c r="K27" s="419">
        <v>0.48050001513399998</v>
      </c>
    </row>
    <row r="28" spans="1:11" ht="14.4" customHeight="1" thickBot="1" x14ac:dyDescent="0.35">
      <c r="A28" s="437" t="s">
        <v>299</v>
      </c>
      <c r="B28" s="415">
        <v>0</v>
      </c>
      <c r="C28" s="415">
        <v>3.1E-2</v>
      </c>
      <c r="D28" s="416">
        <v>3.1E-2</v>
      </c>
      <c r="E28" s="425" t="s">
        <v>288</v>
      </c>
      <c r="F28" s="415">
        <v>3.4633778529999999E-2</v>
      </c>
      <c r="G28" s="416">
        <v>5.7722964210000002E-3</v>
      </c>
      <c r="H28" s="418">
        <v>0</v>
      </c>
      <c r="I28" s="415">
        <v>0</v>
      </c>
      <c r="J28" s="416">
        <v>-5.7722964210000002E-3</v>
      </c>
      <c r="K28" s="419">
        <v>0</v>
      </c>
    </row>
    <row r="29" spans="1:11" ht="14.4" customHeight="1" thickBot="1" x14ac:dyDescent="0.35">
      <c r="A29" s="437" t="s">
        <v>300</v>
      </c>
      <c r="B29" s="415">
        <v>0.35346542463000002</v>
      </c>
      <c r="C29" s="415">
        <v>0.98740000000000006</v>
      </c>
      <c r="D29" s="416">
        <v>0.633934575369</v>
      </c>
      <c r="E29" s="417">
        <v>2.7934839766369999</v>
      </c>
      <c r="F29" s="415">
        <v>2.5871295573049999</v>
      </c>
      <c r="G29" s="416">
        <v>0.43118825955000001</v>
      </c>
      <c r="H29" s="418">
        <v>0</v>
      </c>
      <c r="I29" s="415">
        <v>0.95745000000000002</v>
      </c>
      <c r="J29" s="416">
        <v>0.52626174044899998</v>
      </c>
      <c r="K29" s="419">
        <v>0.37008196875799998</v>
      </c>
    </row>
    <row r="30" spans="1:11" ht="14.4" customHeight="1" thickBot="1" x14ac:dyDescent="0.35">
      <c r="A30" s="437" t="s">
        <v>301</v>
      </c>
      <c r="B30" s="415">
        <v>13.199800635453</v>
      </c>
      <c r="C30" s="415">
        <v>8.2789699999999993</v>
      </c>
      <c r="D30" s="416">
        <v>-4.920830635453</v>
      </c>
      <c r="E30" s="417">
        <v>0.62720416986899996</v>
      </c>
      <c r="F30" s="415">
        <v>7.6097303414950002</v>
      </c>
      <c r="G30" s="416">
        <v>1.2682883902490001</v>
      </c>
      <c r="H30" s="418">
        <v>0.42349999999999999</v>
      </c>
      <c r="I30" s="415">
        <v>0.84699999999999998</v>
      </c>
      <c r="J30" s="416">
        <v>-0.421288390249</v>
      </c>
      <c r="K30" s="419">
        <v>0.111304863903</v>
      </c>
    </row>
    <row r="31" spans="1:11" ht="14.4" customHeight="1" thickBot="1" x14ac:dyDescent="0.35">
      <c r="A31" s="437" t="s">
        <v>302</v>
      </c>
      <c r="B31" s="415">
        <v>3.9517149386180002</v>
      </c>
      <c r="C31" s="415">
        <v>6.0666700000000002</v>
      </c>
      <c r="D31" s="416">
        <v>2.114955061381</v>
      </c>
      <c r="E31" s="417">
        <v>1.535199298085</v>
      </c>
      <c r="F31" s="415">
        <v>4.9999998425119996</v>
      </c>
      <c r="G31" s="416">
        <v>0.83333330708499997</v>
      </c>
      <c r="H31" s="418">
        <v>0.65124000000000004</v>
      </c>
      <c r="I31" s="415">
        <v>0.67301999999999995</v>
      </c>
      <c r="J31" s="416">
        <v>-0.160313307085</v>
      </c>
      <c r="K31" s="419">
        <v>0.13460400423900001</v>
      </c>
    </row>
    <row r="32" spans="1:11" ht="14.4" customHeight="1" thickBot="1" x14ac:dyDescent="0.35">
      <c r="A32" s="436" t="s">
        <v>303</v>
      </c>
      <c r="B32" s="420">
        <v>8.5904035247980008</v>
      </c>
      <c r="C32" s="420">
        <v>0.68600000000000005</v>
      </c>
      <c r="D32" s="421">
        <v>-7.904403524798</v>
      </c>
      <c r="E32" s="426">
        <v>7.9856551326999994E-2</v>
      </c>
      <c r="F32" s="420">
        <v>0.99999996850200001</v>
      </c>
      <c r="G32" s="421">
        <v>0.16666666141700001</v>
      </c>
      <c r="H32" s="423">
        <v>0.13375000000000001</v>
      </c>
      <c r="I32" s="420">
        <v>1.21465</v>
      </c>
      <c r="J32" s="421">
        <v>1.0479833385820001</v>
      </c>
      <c r="K32" s="424">
        <v>1.2146500382580001</v>
      </c>
    </row>
    <row r="33" spans="1:11" ht="14.4" customHeight="1" thickBot="1" x14ac:dyDescent="0.35">
      <c r="A33" s="437" t="s">
        <v>304</v>
      </c>
      <c r="B33" s="415">
        <v>1.0001864980149999</v>
      </c>
      <c r="C33" s="415">
        <v>0.68600000000000005</v>
      </c>
      <c r="D33" s="416">
        <v>-0.314186498014</v>
      </c>
      <c r="E33" s="417">
        <v>0.68587208621700002</v>
      </c>
      <c r="F33" s="415">
        <v>0.99999996850200001</v>
      </c>
      <c r="G33" s="416">
        <v>0.16666666141700001</v>
      </c>
      <c r="H33" s="418">
        <v>0.13375000000000001</v>
      </c>
      <c r="I33" s="415">
        <v>1.21465</v>
      </c>
      <c r="J33" s="416">
        <v>1.0479833385820001</v>
      </c>
      <c r="K33" s="419">
        <v>1.2146500382580001</v>
      </c>
    </row>
    <row r="34" spans="1:11" ht="14.4" customHeight="1" thickBot="1" x14ac:dyDescent="0.35">
      <c r="A34" s="436" t="s">
        <v>305</v>
      </c>
      <c r="B34" s="420">
        <v>4.4367895263510002</v>
      </c>
      <c r="C34" s="420">
        <v>4.5493499999999996</v>
      </c>
      <c r="D34" s="421">
        <v>0.112560473648</v>
      </c>
      <c r="E34" s="426">
        <v>1.0253698024160001</v>
      </c>
      <c r="F34" s="420">
        <v>5.9999998110139998</v>
      </c>
      <c r="G34" s="421">
        <v>0.99999996850200001</v>
      </c>
      <c r="H34" s="423">
        <v>0.69406000000000001</v>
      </c>
      <c r="I34" s="420">
        <v>1.00624</v>
      </c>
      <c r="J34" s="421">
        <v>6.2400314970000002E-3</v>
      </c>
      <c r="K34" s="424">
        <v>0.16770667194899999</v>
      </c>
    </row>
    <row r="35" spans="1:11" ht="14.4" customHeight="1" thickBot="1" x14ac:dyDescent="0.35">
      <c r="A35" s="437" t="s">
        <v>306</v>
      </c>
      <c r="B35" s="415">
        <v>1.4371972573689999</v>
      </c>
      <c r="C35" s="415">
        <v>1.2588900000000001</v>
      </c>
      <c r="D35" s="416">
        <v>-0.17830725736899999</v>
      </c>
      <c r="E35" s="417">
        <v>0.87593404005200004</v>
      </c>
      <c r="F35" s="415">
        <v>1.999999937004</v>
      </c>
      <c r="G35" s="416">
        <v>0.33333332283400002</v>
      </c>
      <c r="H35" s="418">
        <v>0</v>
      </c>
      <c r="I35" s="415">
        <v>0.31218000000000001</v>
      </c>
      <c r="J35" s="416">
        <v>-2.1153322834E-2</v>
      </c>
      <c r="K35" s="419">
        <v>0.156090004916</v>
      </c>
    </row>
    <row r="36" spans="1:11" ht="14.4" customHeight="1" thickBot="1" x14ac:dyDescent="0.35">
      <c r="A36" s="437" t="s">
        <v>307</v>
      </c>
      <c r="B36" s="415">
        <v>0</v>
      </c>
      <c r="C36" s="415">
        <v>0.34072999999999998</v>
      </c>
      <c r="D36" s="416">
        <v>0.34072999999999998</v>
      </c>
      <c r="E36" s="425" t="s">
        <v>274</v>
      </c>
      <c r="F36" s="415">
        <v>0</v>
      </c>
      <c r="G36" s="416">
        <v>0</v>
      </c>
      <c r="H36" s="418">
        <v>0</v>
      </c>
      <c r="I36" s="415">
        <v>0</v>
      </c>
      <c r="J36" s="416">
        <v>0</v>
      </c>
      <c r="K36" s="427" t="s">
        <v>274</v>
      </c>
    </row>
    <row r="37" spans="1:11" ht="14.4" customHeight="1" thickBot="1" x14ac:dyDescent="0.35">
      <c r="A37" s="437" t="s">
        <v>308</v>
      </c>
      <c r="B37" s="415">
        <v>2.999592268981</v>
      </c>
      <c r="C37" s="415">
        <v>2.9497300000000002</v>
      </c>
      <c r="D37" s="416">
        <v>-4.9862268980999998E-2</v>
      </c>
      <c r="E37" s="417">
        <v>0.98337698443300003</v>
      </c>
      <c r="F37" s="415">
        <v>3.9999998740090001</v>
      </c>
      <c r="G37" s="416">
        <v>0.66666664566800005</v>
      </c>
      <c r="H37" s="418">
        <v>0.69406000000000001</v>
      </c>
      <c r="I37" s="415">
        <v>0.69406000000000001</v>
      </c>
      <c r="J37" s="416">
        <v>2.7393354331E-2</v>
      </c>
      <c r="K37" s="419">
        <v>0.17351500546500001</v>
      </c>
    </row>
    <row r="38" spans="1:11" ht="14.4" customHeight="1" thickBot="1" x14ac:dyDescent="0.35">
      <c r="A38" s="436" t="s">
        <v>309</v>
      </c>
      <c r="B38" s="420">
        <v>0</v>
      </c>
      <c r="C38" s="420">
        <v>4.7300000000000004</v>
      </c>
      <c r="D38" s="421">
        <v>4.7300000000000004</v>
      </c>
      <c r="E38" s="422" t="s">
        <v>274</v>
      </c>
      <c r="F38" s="420">
        <v>0</v>
      </c>
      <c r="G38" s="421">
        <v>0</v>
      </c>
      <c r="H38" s="423">
        <v>0.41399999999999998</v>
      </c>
      <c r="I38" s="420">
        <v>0.621</v>
      </c>
      <c r="J38" s="421">
        <v>0.621</v>
      </c>
      <c r="K38" s="428" t="s">
        <v>274</v>
      </c>
    </row>
    <row r="39" spans="1:11" ht="14.4" customHeight="1" thickBot="1" x14ac:dyDescent="0.35">
      <c r="A39" s="437" t="s">
        <v>310</v>
      </c>
      <c r="B39" s="415">
        <v>0</v>
      </c>
      <c r="C39" s="415">
        <v>4.7300000000000004</v>
      </c>
      <c r="D39" s="416">
        <v>4.7300000000000004</v>
      </c>
      <c r="E39" s="425" t="s">
        <v>274</v>
      </c>
      <c r="F39" s="415">
        <v>0</v>
      </c>
      <c r="G39" s="416">
        <v>0</v>
      </c>
      <c r="H39" s="418">
        <v>0.41399999999999998</v>
      </c>
      <c r="I39" s="415">
        <v>0.621</v>
      </c>
      <c r="J39" s="416">
        <v>0.621</v>
      </c>
      <c r="K39" s="427" t="s">
        <v>274</v>
      </c>
    </row>
    <row r="40" spans="1:11" ht="14.4" customHeight="1" thickBot="1" x14ac:dyDescent="0.35">
      <c r="A40" s="435" t="s">
        <v>41</v>
      </c>
      <c r="B40" s="415">
        <v>193.44600833148499</v>
      </c>
      <c r="C40" s="415">
        <v>171.352</v>
      </c>
      <c r="D40" s="416">
        <v>-22.094008331485</v>
      </c>
      <c r="E40" s="417">
        <v>0.88578720997100002</v>
      </c>
      <c r="F40" s="415">
        <v>179.854302898013</v>
      </c>
      <c r="G40" s="416">
        <v>29.975717149668</v>
      </c>
      <c r="H40" s="418">
        <v>16.920000000000002</v>
      </c>
      <c r="I40" s="415">
        <v>36.597000000000001</v>
      </c>
      <c r="J40" s="416">
        <v>6.6212828503310002</v>
      </c>
      <c r="K40" s="419">
        <v>0.20348137025499999</v>
      </c>
    </row>
    <row r="41" spans="1:11" ht="14.4" customHeight="1" thickBot="1" x14ac:dyDescent="0.35">
      <c r="A41" s="436" t="s">
        <v>311</v>
      </c>
      <c r="B41" s="420">
        <v>193.44600833148499</v>
      </c>
      <c r="C41" s="420">
        <v>171.352</v>
      </c>
      <c r="D41" s="421">
        <v>-22.094008331485</v>
      </c>
      <c r="E41" s="426">
        <v>0.88578720997100002</v>
      </c>
      <c r="F41" s="420">
        <v>179.854302898013</v>
      </c>
      <c r="G41" s="421">
        <v>29.975717149668</v>
      </c>
      <c r="H41" s="423">
        <v>16.920000000000002</v>
      </c>
      <c r="I41" s="420">
        <v>36.597000000000001</v>
      </c>
      <c r="J41" s="421">
        <v>6.6212828503310002</v>
      </c>
      <c r="K41" s="424">
        <v>0.20348137025499999</v>
      </c>
    </row>
    <row r="42" spans="1:11" ht="14.4" customHeight="1" thickBot="1" x14ac:dyDescent="0.35">
      <c r="A42" s="437" t="s">
        <v>312</v>
      </c>
      <c r="B42" s="415">
        <v>85.570647320961996</v>
      </c>
      <c r="C42" s="415">
        <v>71.903000000000006</v>
      </c>
      <c r="D42" s="416">
        <v>-13.667647320961001</v>
      </c>
      <c r="E42" s="417">
        <v>0.84027645286200003</v>
      </c>
      <c r="F42" s="415">
        <v>73.854306236754994</v>
      </c>
      <c r="G42" s="416">
        <v>12.309051039459</v>
      </c>
      <c r="H42" s="418">
        <v>5.8129999999999997</v>
      </c>
      <c r="I42" s="415">
        <v>12.087</v>
      </c>
      <c r="J42" s="416">
        <v>-0.22205103945900001</v>
      </c>
      <c r="K42" s="419">
        <v>0.16366005742699999</v>
      </c>
    </row>
    <row r="43" spans="1:11" ht="14.4" customHeight="1" thickBot="1" x14ac:dyDescent="0.35">
      <c r="A43" s="437" t="s">
        <v>313</v>
      </c>
      <c r="B43" s="415">
        <v>50.000338695281002</v>
      </c>
      <c r="C43" s="415">
        <v>45.758000000000003</v>
      </c>
      <c r="D43" s="416">
        <v>-4.242338695281</v>
      </c>
      <c r="E43" s="417">
        <v>0.915153800834</v>
      </c>
      <c r="F43" s="415">
        <v>49.999998425120999</v>
      </c>
      <c r="G43" s="416">
        <v>8.3333330708529996</v>
      </c>
      <c r="H43" s="418">
        <v>3.5659999999999998</v>
      </c>
      <c r="I43" s="415">
        <v>7.9790000000000001</v>
      </c>
      <c r="J43" s="416">
        <v>-0.35433307085299998</v>
      </c>
      <c r="K43" s="419">
        <v>0.159580005026</v>
      </c>
    </row>
    <row r="44" spans="1:11" ht="14.4" customHeight="1" thickBot="1" x14ac:dyDescent="0.35">
      <c r="A44" s="437" t="s">
        <v>314</v>
      </c>
      <c r="B44" s="415">
        <v>57.875022315240997</v>
      </c>
      <c r="C44" s="415">
        <v>53.691000000000003</v>
      </c>
      <c r="D44" s="416">
        <v>-4.1840223152410001</v>
      </c>
      <c r="E44" s="417">
        <v>0.92770590579699996</v>
      </c>
      <c r="F44" s="415">
        <v>55.999998236136001</v>
      </c>
      <c r="G44" s="416">
        <v>9.3333330393560008</v>
      </c>
      <c r="H44" s="418">
        <v>7.5410000000000004</v>
      </c>
      <c r="I44" s="415">
        <v>16.530999999999999</v>
      </c>
      <c r="J44" s="416">
        <v>7.1976669606439998</v>
      </c>
      <c r="K44" s="419">
        <v>0.29519643786900002</v>
      </c>
    </row>
    <row r="45" spans="1:11" ht="14.4" customHeight="1" thickBot="1" x14ac:dyDescent="0.35">
      <c r="A45" s="438" t="s">
        <v>315</v>
      </c>
      <c r="B45" s="420">
        <v>220.168338695301</v>
      </c>
      <c r="C45" s="420">
        <v>296.85410000000002</v>
      </c>
      <c r="D45" s="421">
        <v>76.685761304698005</v>
      </c>
      <c r="E45" s="426">
        <v>1.348305127608</v>
      </c>
      <c r="F45" s="420">
        <v>322.55984174018897</v>
      </c>
      <c r="G45" s="421">
        <v>53.759973623363997</v>
      </c>
      <c r="H45" s="423">
        <v>11.55172</v>
      </c>
      <c r="I45" s="420">
        <v>33.279519999999998</v>
      </c>
      <c r="J45" s="421">
        <v>-20.480453623363999</v>
      </c>
      <c r="K45" s="424">
        <v>0.10317316569899999</v>
      </c>
    </row>
    <row r="46" spans="1:11" ht="14.4" customHeight="1" thickBot="1" x14ac:dyDescent="0.35">
      <c r="A46" s="435" t="s">
        <v>44</v>
      </c>
      <c r="B46" s="415">
        <v>40.834261091667003</v>
      </c>
      <c r="C46" s="415">
        <v>93.00224</v>
      </c>
      <c r="D46" s="416">
        <v>52.167978908332003</v>
      </c>
      <c r="E46" s="417">
        <v>2.2775541301260001</v>
      </c>
      <c r="F46" s="415">
        <v>74.348924860227001</v>
      </c>
      <c r="G46" s="416">
        <v>12.391487476704</v>
      </c>
      <c r="H46" s="418">
        <v>0.93006999999999995</v>
      </c>
      <c r="I46" s="415">
        <v>1.99631</v>
      </c>
      <c r="J46" s="416">
        <v>-10.395177476703999</v>
      </c>
      <c r="K46" s="419">
        <v>2.6850556396000001E-2</v>
      </c>
    </row>
    <row r="47" spans="1:11" ht="14.4" customHeight="1" thickBot="1" x14ac:dyDescent="0.35">
      <c r="A47" s="439" t="s">
        <v>316</v>
      </c>
      <c r="B47" s="415">
        <v>40.834261091667003</v>
      </c>
      <c r="C47" s="415">
        <v>93.00224</v>
      </c>
      <c r="D47" s="416">
        <v>52.167978908332003</v>
      </c>
      <c r="E47" s="417">
        <v>2.2775541301260001</v>
      </c>
      <c r="F47" s="415">
        <v>74.348924860227001</v>
      </c>
      <c r="G47" s="416">
        <v>12.391487476704</v>
      </c>
      <c r="H47" s="418">
        <v>0.93006999999999995</v>
      </c>
      <c r="I47" s="415">
        <v>1.99631</v>
      </c>
      <c r="J47" s="416">
        <v>-10.395177476703999</v>
      </c>
      <c r="K47" s="419">
        <v>2.6850556396000001E-2</v>
      </c>
    </row>
    <row r="48" spans="1:11" ht="14.4" customHeight="1" thickBot="1" x14ac:dyDescent="0.35">
      <c r="A48" s="437" t="s">
        <v>317</v>
      </c>
      <c r="B48" s="415">
        <v>8.2568403222279994</v>
      </c>
      <c r="C48" s="415">
        <v>48.352499999999999</v>
      </c>
      <c r="D48" s="416">
        <v>40.095659677771003</v>
      </c>
      <c r="E48" s="417">
        <v>5.8560536613289997</v>
      </c>
      <c r="F48" s="415">
        <v>39.469972864801001</v>
      </c>
      <c r="G48" s="416">
        <v>6.5783288108000004</v>
      </c>
      <c r="H48" s="418">
        <v>0</v>
      </c>
      <c r="I48" s="415">
        <v>0</v>
      </c>
      <c r="J48" s="416">
        <v>-6.5783288108000004</v>
      </c>
      <c r="K48" s="419">
        <v>0</v>
      </c>
    </row>
    <row r="49" spans="1:11" ht="14.4" customHeight="1" thickBot="1" x14ac:dyDescent="0.35">
      <c r="A49" s="437" t="s">
        <v>318</v>
      </c>
      <c r="B49" s="415">
        <v>24.999957792414001</v>
      </c>
      <c r="C49" s="415">
        <v>32.544240000000002</v>
      </c>
      <c r="D49" s="416">
        <v>7.5442822075849998</v>
      </c>
      <c r="E49" s="417">
        <v>1.3017717977850001</v>
      </c>
      <c r="F49" s="415">
        <v>23.999999244057999</v>
      </c>
      <c r="G49" s="416">
        <v>3.9999998740090001</v>
      </c>
      <c r="H49" s="418">
        <v>0</v>
      </c>
      <c r="I49" s="415">
        <v>0</v>
      </c>
      <c r="J49" s="416">
        <v>-3.9999998740090001</v>
      </c>
      <c r="K49" s="419">
        <v>0</v>
      </c>
    </row>
    <row r="50" spans="1:11" ht="14.4" customHeight="1" thickBot="1" x14ac:dyDescent="0.35">
      <c r="A50" s="437" t="s">
        <v>319</v>
      </c>
      <c r="B50" s="415">
        <v>7.5774629770240001</v>
      </c>
      <c r="C50" s="415">
        <v>12.105499999999999</v>
      </c>
      <c r="D50" s="416">
        <v>4.528037022975</v>
      </c>
      <c r="E50" s="417">
        <v>1.5975663670939999</v>
      </c>
      <c r="F50" s="415">
        <v>10.878952751368001</v>
      </c>
      <c r="G50" s="416">
        <v>1.813158791894</v>
      </c>
      <c r="H50" s="418">
        <v>0.93006999999999995</v>
      </c>
      <c r="I50" s="415">
        <v>1.99631</v>
      </c>
      <c r="J50" s="416">
        <v>0.18315120810499999</v>
      </c>
      <c r="K50" s="419">
        <v>0.183502037891</v>
      </c>
    </row>
    <row r="51" spans="1:11" ht="14.4" customHeight="1" thickBot="1" x14ac:dyDescent="0.35">
      <c r="A51" s="440" t="s">
        <v>45</v>
      </c>
      <c r="B51" s="420">
        <v>0</v>
      </c>
      <c r="C51" s="420">
        <v>3.5990000000000002</v>
      </c>
      <c r="D51" s="421">
        <v>3.5990000000000002</v>
      </c>
      <c r="E51" s="422" t="s">
        <v>274</v>
      </c>
      <c r="F51" s="420">
        <v>0</v>
      </c>
      <c r="G51" s="421">
        <v>0</v>
      </c>
      <c r="H51" s="423">
        <v>0</v>
      </c>
      <c r="I51" s="420">
        <v>0</v>
      </c>
      <c r="J51" s="421">
        <v>0</v>
      </c>
      <c r="K51" s="428" t="s">
        <v>274</v>
      </c>
    </row>
    <row r="52" spans="1:11" ht="14.4" customHeight="1" thickBot="1" x14ac:dyDescent="0.35">
      <c r="A52" s="436" t="s">
        <v>320</v>
      </c>
      <c r="B52" s="420">
        <v>0</v>
      </c>
      <c r="C52" s="420">
        <v>3.5990000000000002</v>
      </c>
      <c r="D52" s="421">
        <v>3.5990000000000002</v>
      </c>
      <c r="E52" s="422" t="s">
        <v>274</v>
      </c>
      <c r="F52" s="420">
        <v>0</v>
      </c>
      <c r="G52" s="421">
        <v>0</v>
      </c>
      <c r="H52" s="423">
        <v>0</v>
      </c>
      <c r="I52" s="420">
        <v>0</v>
      </c>
      <c r="J52" s="421">
        <v>0</v>
      </c>
      <c r="K52" s="428" t="s">
        <v>274</v>
      </c>
    </row>
    <row r="53" spans="1:11" ht="14.4" customHeight="1" thickBot="1" x14ac:dyDescent="0.35">
      <c r="A53" s="437" t="s">
        <v>321</v>
      </c>
      <c r="B53" s="415">
        <v>0</v>
      </c>
      <c r="C53" s="415">
        <v>3.5990000000000002</v>
      </c>
      <c r="D53" s="416">
        <v>3.5990000000000002</v>
      </c>
      <c r="E53" s="425" t="s">
        <v>274</v>
      </c>
      <c r="F53" s="415">
        <v>0</v>
      </c>
      <c r="G53" s="416">
        <v>0</v>
      </c>
      <c r="H53" s="418">
        <v>0</v>
      </c>
      <c r="I53" s="415">
        <v>0</v>
      </c>
      <c r="J53" s="416">
        <v>0</v>
      </c>
      <c r="K53" s="427" t="s">
        <v>274</v>
      </c>
    </row>
    <row r="54" spans="1:11" ht="14.4" customHeight="1" thickBot="1" x14ac:dyDescent="0.35">
      <c r="A54" s="435" t="s">
        <v>46</v>
      </c>
      <c r="B54" s="415">
        <v>179.334077603634</v>
      </c>
      <c r="C54" s="415">
        <v>200.25286</v>
      </c>
      <c r="D54" s="416">
        <v>20.918782396366002</v>
      </c>
      <c r="E54" s="417">
        <v>1.116647001372</v>
      </c>
      <c r="F54" s="415">
        <v>248.21091687996099</v>
      </c>
      <c r="G54" s="416">
        <v>41.368486146659997</v>
      </c>
      <c r="H54" s="418">
        <v>10.621650000000001</v>
      </c>
      <c r="I54" s="415">
        <v>31.28321</v>
      </c>
      <c r="J54" s="416">
        <v>-10.08527614666</v>
      </c>
      <c r="K54" s="419">
        <v>0.12603478683800001</v>
      </c>
    </row>
    <row r="55" spans="1:11" ht="14.4" customHeight="1" thickBot="1" x14ac:dyDescent="0.35">
      <c r="A55" s="436" t="s">
        <v>322</v>
      </c>
      <c r="B55" s="420">
        <v>0.20704397083500001</v>
      </c>
      <c r="C55" s="420">
        <v>0.624</v>
      </c>
      <c r="D55" s="421">
        <v>0.41695602916399999</v>
      </c>
      <c r="E55" s="426">
        <v>3.013852552586</v>
      </c>
      <c r="F55" s="420">
        <v>0.84709613800100003</v>
      </c>
      <c r="G55" s="421">
        <v>0.14118268966600001</v>
      </c>
      <c r="H55" s="423">
        <v>0.104</v>
      </c>
      <c r="I55" s="420">
        <v>0.20699999999999999</v>
      </c>
      <c r="J55" s="421">
        <v>6.5817310333000006E-2</v>
      </c>
      <c r="K55" s="424">
        <v>0.244364235313</v>
      </c>
    </row>
    <row r="56" spans="1:11" ht="14.4" customHeight="1" thickBot="1" x14ac:dyDescent="0.35">
      <c r="A56" s="437" t="s">
        <v>323</v>
      </c>
      <c r="B56" s="415">
        <v>0.20704397083500001</v>
      </c>
      <c r="C56" s="415">
        <v>0.624</v>
      </c>
      <c r="D56" s="416">
        <v>0.41695602916399999</v>
      </c>
      <c r="E56" s="417">
        <v>3.013852552586</v>
      </c>
      <c r="F56" s="415">
        <v>0.84709613800100003</v>
      </c>
      <c r="G56" s="416">
        <v>0.14118268966600001</v>
      </c>
      <c r="H56" s="418">
        <v>0.104</v>
      </c>
      <c r="I56" s="415">
        <v>0.20699999999999999</v>
      </c>
      <c r="J56" s="416">
        <v>6.5817310333000006E-2</v>
      </c>
      <c r="K56" s="419">
        <v>0.244364235313</v>
      </c>
    </row>
    <row r="57" spans="1:11" ht="14.4" customHeight="1" thickBot="1" x14ac:dyDescent="0.35">
      <c r="A57" s="436" t="s">
        <v>324</v>
      </c>
      <c r="B57" s="420">
        <v>8.4028696793919995</v>
      </c>
      <c r="C57" s="420">
        <v>7.3081300000000002</v>
      </c>
      <c r="D57" s="421">
        <v>-1.0947396793919999</v>
      </c>
      <c r="E57" s="426">
        <v>0.86971835561400002</v>
      </c>
      <c r="F57" s="420">
        <v>7.0525211648130002</v>
      </c>
      <c r="G57" s="421">
        <v>1.175420194135</v>
      </c>
      <c r="H57" s="423">
        <v>0.95235000000000003</v>
      </c>
      <c r="I57" s="420">
        <v>1.0725899999999999</v>
      </c>
      <c r="J57" s="421">
        <v>-0.102830194135</v>
      </c>
      <c r="K57" s="424">
        <v>0.15208603773500001</v>
      </c>
    </row>
    <row r="58" spans="1:11" ht="14.4" customHeight="1" thickBot="1" x14ac:dyDescent="0.35">
      <c r="A58" s="437" t="s">
        <v>325</v>
      </c>
      <c r="B58" s="415">
        <v>2.371793569017</v>
      </c>
      <c r="C58" s="415">
        <v>2.5453999999999999</v>
      </c>
      <c r="D58" s="416">
        <v>0.17360643098199999</v>
      </c>
      <c r="E58" s="417">
        <v>1.0731962651589999</v>
      </c>
      <c r="F58" s="415">
        <v>2.0249424230709998</v>
      </c>
      <c r="G58" s="416">
        <v>0.33749040384500001</v>
      </c>
      <c r="H58" s="418">
        <v>0.60419999999999996</v>
      </c>
      <c r="I58" s="415">
        <v>0.60419999999999996</v>
      </c>
      <c r="J58" s="416">
        <v>0.26670959615399997</v>
      </c>
      <c r="K58" s="419">
        <v>0.29837885419100002</v>
      </c>
    </row>
    <row r="59" spans="1:11" ht="14.4" customHeight="1" thickBot="1" x14ac:dyDescent="0.35">
      <c r="A59" s="437" t="s">
        <v>326</v>
      </c>
      <c r="B59" s="415">
        <v>6.0310761103740003</v>
      </c>
      <c r="C59" s="415">
        <v>4.7627300000000004</v>
      </c>
      <c r="D59" s="416">
        <v>-1.2683461103739999</v>
      </c>
      <c r="E59" s="417">
        <v>0.78969820855100004</v>
      </c>
      <c r="F59" s="415">
        <v>5.0275787417420004</v>
      </c>
      <c r="G59" s="416">
        <v>0.83792979029000003</v>
      </c>
      <c r="H59" s="418">
        <v>0.34815000000000002</v>
      </c>
      <c r="I59" s="415">
        <v>0.46838999999999997</v>
      </c>
      <c r="J59" s="416">
        <v>-0.36953979029</v>
      </c>
      <c r="K59" s="419">
        <v>9.3164130102999995E-2</v>
      </c>
    </row>
    <row r="60" spans="1:11" ht="14.4" customHeight="1" thickBot="1" x14ac:dyDescent="0.35">
      <c r="A60" s="436" t="s">
        <v>327</v>
      </c>
      <c r="B60" s="420">
        <v>8.5155811080439996</v>
      </c>
      <c r="C60" s="420">
        <v>11.07226</v>
      </c>
      <c r="D60" s="421">
        <v>2.5566788919549999</v>
      </c>
      <c r="E60" s="426">
        <v>1.300235399031</v>
      </c>
      <c r="F60" s="420">
        <v>7.9153635961560003</v>
      </c>
      <c r="G60" s="421">
        <v>1.319227266026</v>
      </c>
      <c r="H60" s="423">
        <v>0</v>
      </c>
      <c r="I60" s="420">
        <v>6.9142999999999999</v>
      </c>
      <c r="J60" s="421">
        <v>5.5950727339729998</v>
      </c>
      <c r="K60" s="424">
        <v>0.87352904462299996</v>
      </c>
    </row>
    <row r="61" spans="1:11" ht="14.4" customHeight="1" thickBot="1" x14ac:dyDescent="0.35">
      <c r="A61" s="437" t="s">
        <v>328</v>
      </c>
      <c r="B61" s="415">
        <v>3.915363845471</v>
      </c>
      <c r="C61" s="415">
        <v>3.78</v>
      </c>
      <c r="D61" s="416">
        <v>-0.135363845471</v>
      </c>
      <c r="E61" s="417">
        <v>0.96542751815299999</v>
      </c>
      <c r="F61" s="415">
        <v>3.9153637221470001</v>
      </c>
      <c r="G61" s="416">
        <v>0.65256062035700002</v>
      </c>
      <c r="H61" s="418">
        <v>0</v>
      </c>
      <c r="I61" s="415">
        <v>0.94499999999999995</v>
      </c>
      <c r="J61" s="416">
        <v>0.29243937964200001</v>
      </c>
      <c r="K61" s="419">
        <v>0.24135688714</v>
      </c>
    </row>
    <row r="62" spans="1:11" ht="14.4" customHeight="1" thickBot="1" x14ac:dyDescent="0.35">
      <c r="A62" s="437" t="s">
        <v>329</v>
      </c>
      <c r="B62" s="415">
        <v>4.6002172625720004</v>
      </c>
      <c r="C62" s="415">
        <v>7.2922599999999997</v>
      </c>
      <c r="D62" s="416">
        <v>2.6920427374270002</v>
      </c>
      <c r="E62" s="417">
        <v>1.5851990425160001</v>
      </c>
      <c r="F62" s="415">
        <v>3.9999998740090001</v>
      </c>
      <c r="G62" s="416">
        <v>0.66666664566800005</v>
      </c>
      <c r="H62" s="418">
        <v>0</v>
      </c>
      <c r="I62" s="415">
        <v>5.9692999999999996</v>
      </c>
      <c r="J62" s="416">
        <v>5.3026333543310002</v>
      </c>
      <c r="K62" s="419">
        <v>1.4923250470039999</v>
      </c>
    </row>
    <row r="63" spans="1:11" ht="14.4" customHeight="1" thickBot="1" x14ac:dyDescent="0.35">
      <c r="A63" s="436" t="s">
        <v>330</v>
      </c>
      <c r="B63" s="420">
        <v>86.290741275323995</v>
      </c>
      <c r="C63" s="420">
        <v>85.031800000000004</v>
      </c>
      <c r="D63" s="421">
        <v>-1.2589412753239999</v>
      </c>
      <c r="E63" s="426">
        <v>0.98541047096400003</v>
      </c>
      <c r="F63" s="420">
        <v>88.564995754156996</v>
      </c>
      <c r="G63" s="421">
        <v>14.760832625692</v>
      </c>
      <c r="H63" s="423">
        <v>7.4938000000000002</v>
      </c>
      <c r="I63" s="420">
        <v>14.70792</v>
      </c>
      <c r="J63" s="421">
        <v>-5.2912625691999997E-2</v>
      </c>
      <c r="K63" s="424">
        <v>0.166069222662</v>
      </c>
    </row>
    <row r="64" spans="1:11" ht="14.4" customHeight="1" thickBot="1" x14ac:dyDescent="0.35">
      <c r="A64" s="437" t="s">
        <v>331</v>
      </c>
      <c r="B64" s="415">
        <v>81.961151339319997</v>
      </c>
      <c r="C64" s="415">
        <v>80.459990000000005</v>
      </c>
      <c r="D64" s="416">
        <v>-1.5011613393200001</v>
      </c>
      <c r="E64" s="417">
        <v>0.98168447715999996</v>
      </c>
      <c r="F64" s="415">
        <v>83.996751528019999</v>
      </c>
      <c r="G64" s="416">
        <v>13.999458588003</v>
      </c>
      <c r="H64" s="418">
        <v>7.1012000000000004</v>
      </c>
      <c r="I64" s="415">
        <v>13.906739999999999</v>
      </c>
      <c r="J64" s="416">
        <v>-9.2718588002999994E-2</v>
      </c>
      <c r="K64" s="419">
        <v>0.16556283126400001</v>
      </c>
    </row>
    <row r="65" spans="1:11" ht="14.4" customHeight="1" thickBot="1" x14ac:dyDescent="0.35">
      <c r="A65" s="437" t="s">
        <v>332</v>
      </c>
      <c r="B65" s="415">
        <v>4.3295899360029999</v>
      </c>
      <c r="C65" s="415">
        <v>4.5718100000000002</v>
      </c>
      <c r="D65" s="416">
        <v>0.24222006399599999</v>
      </c>
      <c r="E65" s="417">
        <v>1.055945266775</v>
      </c>
      <c r="F65" s="415">
        <v>4.5682442261369998</v>
      </c>
      <c r="G65" s="416">
        <v>0.76137403768900003</v>
      </c>
      <c r="H65" s="418">
        <v>0.3926</v>
      </c>
      <c r="I65" s="415">
        <v>0.80118</v>
      </c>
      <c r="J65" s="416">
        <v>3.9805962309999998E-2</v>
      </c>
      <c r="K65" s="419">
        <v>0.17538029061900001</v>
      </c>
    </row>
    <row r="66" spans="1:11" ht="14.4" customHeight="1" thickBot="1" x14ac:dyDescent="0.35">
      <c r="A66" s="436" t="s">
        <v>333</v>
      </c>
      <c r="B66" s="420">
        <v>75.917841570036998</v>
      </c>
      <c r="C66" s="420">
        <v>95.192070000000001</v>
      </c>
      <c r="D66" s="421">
        <v>19.274228429962001</v>
      </c>
      <c r="E66" s="426">
        <v>1.2538827241570001</v>
      </c>
      <c r="F66" s="420">
        <v>143.79566443307499</v>
      </c>
      <c r="G66" s="421">
        <v>23.965944072178999</v>
      </c>
      <c r="H66" s="423">
        <v>2.0714999999999999</v>
      </c>
      <c r="I66" s="420">
        <v>8.3813999999999993</v>
      </c>
      <c r="J66" s="421">
        <v>-15.584544072179</v>
      </c>
      <c r="K66" s="424">
        <v>5.8286875566999997E-2</v>
      </c>
    </row>
    <row r="67" spans="1:11" ht="14.4" customHeight="1" thickBot="1" x14ac:dyDescent="0.35">
      <c r="A67" s="437" t="s">
        <v>334</v>
      </c>
      <c r="B67" s="415">
        <v>48.544883368169998</v>
      </c>
      <c r="C67" s="415">
        <v>83.605069999999998</v>
      </c>
      <c r="D67" s="416">
        <v>35.060186631828998</v>
      </c>
      <c r="E67" s="417">
        <v>1.722222079841</v>
      </c>
      <c r="F67" s="415">
        <v>130.385312309455</v>
      </c>
      <c r="G67" s="416">
        <v>21.730885384909001</v>
      </c>
      <c r="H67" s="418">
        <v>1.3009999999999999</v>
      </c>
      <c r="I67" s="415">
        <v>6.8403999999999998</v>
      </c>
      <c r="J67" s="416">
        <v>-14.890485384909001</v>
      </c>
      <c r="K67" s="419">
        <v>5.2462964415E-2</v>
      </c>
    </row>
    <row r="68" spans="1:11" ht="14.4" customHeight="1" thickBot="1" x14ac:dyDescent="0.35">
      <c r="A68" s="437" t="s">
        <v>335</v>
      </c>
      <c r="B68" s="415">
        <v>0</v>
      </c>
      <c r="C68" s="415">
        <v>0.40500000000000003</v>
      </c>
      <c r="D68" s="416">
        <v>0.40500000000000003</v>
      </c>
      <c r="E68" s="425" t="s">
        <v>274</v>
      </c>
      <c r="F68" s="415">
        <v>0.49402417199499998</v>
      </c>
      <c r="G68" s="416">
        <v>8.2337361999000006E-2</v>
      </c>
      <c r="H68" s="418">
        <v>0</v>
      </c>
      <c r="I68" s="415">
        <v>0</v>
      </c>
      <c r="J68" s="416">
        <v>-8.2337361999000006E-2</v>
      </c>
      <c r="K68" s="419">
        <v>0</v>
      </c>
    </row>
    <row r="69" spans="1:11" ht="14.4" customHeight="1" thickBot="1" x14ac:dyDescent="0.35">
      <c r="A69" s="437" t="s">
        <v>336</v>
      </c>
      <c r="B69" s="415">
        <v>3.8256034402769998</v>
      </c>
      <c r="C69" s="415">
        <v>1.9359999999999999</v>
      </c>
      <c r="D69" s="416">
        <v>-1.8896034402769999</v>
      </c>
      <c r="E69" s="417">
        <v>0.50606395310499996</v>
      </c>
      <c r="F69" s="415">
        <v>2.3609854179949998</v>
      </c>
      <c r="G69" s="416">
        <v>0.39349756966499999</v>
      </c>
      <c r="H69" s="418">
        <v>0</v>
      </c>
      <c r="I69" s="415">
        <v>0</v>
      </c>
      <c r="J69" s="416">
        <v>-0.39349756966499999</v>
      </c>
      <c r="K69" s="419">
        <v>0</v>
      </c>
    </row>
    <row r="70" spans="1:11" ht="14.4" customHeight="1" thickBot="1" x14ac:dyDescent="0.35">
      <c r="A70" s="437" t="s">
        <v>337</v>
      </c>
      <c r="B70" s="415">
        <v>12.278399117637999</v>
      </c>
      <c r="C70" s="415">
        <v>9.2460000000000004</v>
      </c>
      <c r="D70" s="416">
        <v>-3.0323991176380001</v>
      </c>
      <c r="E70" s="417">
        <v>0.75302976482600004</v>
      </c>
      <c r="F70" s="415">
        <v>10.555342533629</v>
      </c>
      <c r="G70" s="416">
        <v>1.759223755604</v>
      </c>
      <c r="H70" s="418">
        <v>0.77049999999999996</v>
      </c>
      <c r="I70" s="415">
        <v>1.5409999999999999</v>
      </c>
      <c r="J70" s="416">
        <v>-0.21822375560400001</v>
      </c>
      <c r="K70" s="419">
        <v>0.14599241996000001</v>
      </c>
    </row>
    <row r="71" spans="1:11" ht="14.4" customHeight="1" thickBot="1" x14ac:dyDescent="0.35">
      <c r="A71" s="436" t="s">
        <v>338</v>
      </c>
      <c r="B71" s="420">
        <v>0</v>
      </c>
      <c r="C71" s="420">
        <v>3.56E-2</v>
      </c>
      <c r="D71" s="421">
        <v>3.56E-2</v>
      </c>
      <c r="E71" s="422" t="s">
        <v>288</v>
      </c>
      <c r="F71" s="420">
        <v>3.5275793755999998E-2</v>
      </c>
      <c r="G71" s="421">
        <v>5.8792989589999999E-3</v>
      </c>
      <c r="H71" s="423">
        <v>0</v>
      </c>
      <c r="I71" s="420">
        <v>0</v>
      </c>
      <c r="J71" s="421">
        <v>-5.8792989589999999E-3</v>
      </c>
      <c r="K71" s="424">
        <v>0</v>
      </c>
    </row>
    <row r="72" spans="1:11" ht="14.4" customHeight="1" thickBot="1" x14ac:dyDescent="0.35">
      <c r="A72" s="437" t="s">
        <v>339</v>
      </c>
      <c r="B72" s="415">
        <v>0</v>
      </c>
      <c r="C72" s="415">
        <v>3.56E-2</v>
      </c>
      <c r="D72" s="416">
        <v>3.56E-2</v>
      </c>
      <c r="E72" s="425" t="s">
        <v>288</v>
      </c>
      <c r="F72" s="415">
        <v>3.5275793755999998E-2</v>
      </c>
      <c r="G72" s="416">
        <v>5.8792989589999999E-3</v>
      </c>
      <c r="H72" s="418">
        <v>0</v>
      </c>
      <c r="I72" s="415">
        <v>0</v>
      </c>
      <c r="J72" s="416">
        <v>-5.8792989589999999E-3</v>
      </c>
      <c r="K72" s="419">
        <v>0</v>
      </c>
    </row>
    <row r="73" spans="1:11" ht="14.4" customHeight="1" thickBot="1" x14ac:dyDescent="0.35">
      <c r="A73" s="436" t="s">
        <v>340</v>
      </c>
      <c r="B73" s="420">
        <v>0</v>
      </c>
      <c r="C73" s="420">
        <v>0.98899999999999999</v>
      </c>
      <c r="D73" s="421">
        <v>0.98899999999999999</v>
      </c>
      <c r="E73" s="422" t="s">
        <v>274</v>
      </c>
      <c r="F73" s="420">
        <v>0</v>
      </c>
      <c r="G73" s="421">
        <v>0</v>
      </c>
      <c r="H73" s="423">
        <v>0</v>
      </c>
      <c r="I73" s="420">
        <v>0</v>
      </c>
      <c r="J73" s="421">
        <v>0</v>
      </c>
      <c r="K73" s="428" t="s">
        <v>274</v>
      </c>
    </row>
    <row r="74" spans="1:11" ht="14.4" customHeight="1" thickBot="1" x14ac:dyDescent="0.35">
      <c r="A74" s="437" t="s">
        <v>341</v>
      </c>
      <c r="B74" s="415">
        <v>0</v>
      </c>
      <c r="C74" s="415">
        <v>0.98899999999999999</v>
      </c>
      <c r="D74" s="416">
        <v>0.98899999999999999</v>
      </c>
      <c r="E74" s="425" t="s">
        <v>274</v>
      </c>
      <c r="F74" s="415">
        <v>0</v>
      </c>
      <c r="G74" s="416">
        <v>0</v>
      </c>
      <c r="H74" s="418">
        <v>0</v>
      </c>
      <c r="I74" s="415">
        <v>0</v>
      </c>
      <c r="J74" s="416">
        <v>0</v>
      </c>
      <c r="K74" s="427" t="s">
        <v>274</v>
      </c>
    </row>
    <row r="75" spans="1:11" ht="14.4" customHeight="1" thickBot="1" x14ac:dyDescent="0.35">
      <c r="A75" s="434" t="s">
        <v>47</v>
      </c>
      <c r="B75" s="415">
        <v>4712.0232800296599</v>
      </c>
      <c r="C75" s="415">
        <v>4996.87878</v>
      </c>
      <c r="D75" s="416">
        <v>284.85549997033701</v>
      </c>
      <c r="E75" s="417">
        <v>1.0604529059050001</v>
      </c>
      <c r="F75" s="415">
        <v>4870.9998465752997</v>
      </c>
      <c r="G75" s="416">
        <v>811.83330776255104</v>
      </c>
      <c r="H75" s="418">
        <v>294.06724000000099</v>
      </c>
      <c r="I75" s="415">
        <v>658.71869000000095</v>
      </c>
      <c r="J75" s="416">
        <v>-153.11461776255001</v>
      </c>
      <c r="K75" s="419">
        <v>0.135232747022</v>
      </c>
    </row>
    <row r="76" spans="1:11" ht="14.4" customHeight="1" thickBot="1" x14ac:dyDescent="0.35">
      <c r="A76" s="440" t="s">
        <v>342</v>
      </c>
      <c r="B76" s="420">
        <v>3493.99999999994</v>
      </c>
      <c r="C76" s="420">
        <v>3702.5349999999999</v>
      </c>
      <c r="D76" s="421">
        <v>208.535000000064</v>
      </c>
      <c r="E76" s="426">
        <v>1.0596837435599999</v>
      </c>
      <c r="F76" s="420">
        <v>3610.9998862622501</v>
      </c>
      <c r="G76" s="421">
        <v>601.83331437704203</v>
      </c>
      <c r="H76" s="423">
        <v>218.936000000001</v>
      </c>
      <c r="I76" s="420">
        <v>489.04899999999998</v>
      </c>
      <c r="J76" s="421">
        <v>-112.784314377041</v>
      </c>
      <c r="K76" s="424">
        <v>0.13543312528400001</v>
      </c>
    </row>
    <row r="77" spans="1:11" ht="14.4" customHeight="1" thickBot="1" x14ac:dyDescent="0.35">
      <c r="A77" s="436" t="s">
        <v>343</v>
      </c>
      <c r="B77" s="420">
        <v>3481.99999999994</v>
      </c>
      <c r="C77" s="420">
        <v>3697.9389999999999</v>
      </c>
      <c r="D77" s="421">
        <v>215.939000000064</v>
      </c>
      <c r="E77" s="426">
        <v>1.0620157955189999</v>
      </c>
      <c r="F77" s="420">
        <v>3599.9998866087199</v>
      </c>
      <c r="G77" s="421">
        <v>599.99998110145395</v>
      </c>
      <c r="H77" s="423">
        <v>196.18700000000001</v>
      </c>
      <c r="I77" s="420">
        <v>466.3</v>
      </c>
      <c r="J77" s="421">
        <v>-133.699981101454</v>
      </c>
      <c r="K77" s="424">
        <v>0.12952778185700001</v>
      </c>
    </row>
    <row r="78" spans="1:11" ht="14.4" customHeight="1" thickBot="1" x14ac:dyDescent="0.35">
      <c r="A78" s="437" t="s">
        <v>344</v>
      </c>
      <c r="B78" s="415">
        <v>3481.99999999994</v>
      </c>
      <c r="C78" s="415">
        <v>3697.9389999999999</v>
      </c>
      <c r="D78" s="416">
        <v>215.939000000064</v>
      </c>
      <c r="E78" s="417">
        <v>1.0620157955189999</v>
      </c>
      <c r="F78" s="415">
        <v>3599.9998866087199</v>
      </c>
      <c r="G78" s="416">
        <v>599.99998110145395</v>
      </c>
      <c r="H78" s="418">
        <v>196.18700000000001</v>
      </c>
      <c r="I78" s="415">
        <v>466.3</v>
      </c>
      <c r="J78" s="416">
        <v>-133.699981101454</v>
      </c>
      <c r="K78" s="419">
        <v>0.12952778185700001</v>
      </c>
    </row>
    <row r="79" spans="1:11" ht="14.4" customHeight="1" thickBot="1" x14ac:dyDescent="0.35">
      <c r="A79" s="436" t="s">
        <v>345</v>
      </c>
      <c r="B79" s="420">
        <v>0</v>
      </c>
      <c r="C79" s="420">
        <v>0</v>
      </c>
      <c r="D79" s="421">
        <v>0</v>
      </c>
      <c r="E79" s="422" t="s">
        <v>274</v>
      </c>
      <c r="F79" s="420">
        <v>0</v>
      </c>
      <c r="G79" s="421">
        <v>0</v>
      </c>
      <c r="H79" s="423">
        <v>18.899999999999999</v>
      </c>
      <c r="I79" s="420">
        <v>18.899999999999999</v>
      </c>
      <c r="J79" s="421">
        <v>18.899999999999999</v>
      </c>
      <c r="K79" s="428" t="s">
        <v>288</v>
      </c>
    </row>
    <row r="80" spans="1:11" ht="14.4" customHeight="1" thickBot="1" x14ac:dyDescent="0.35">
      <c r="A80" s="437" t="s">
        <v>346</v>
      </c>
      <c r="B80" s="415">
        <v>0</v>
      </c>
      <c r="C80" s="415">
        <v>0</v>
      </c>
      <c r="D80" s="416">
        <v>0</v>
      </c>
      <c r="E80" s="425" t="s">
        <v>274</v>
      </c>
      <c r="F80" s="415">
        <v>0</v>
      </c>
      <c r="G80" s="416">
        <v>0</v>
      </c>
      <c r="H80" s="418">
        <v>18.899999999999999</v>
      </c>
      <c r="I80" s="415">
        <v>18.899999999999999</v>
      </c>
      <c r="J80" s="416">
        <v>18.899999999999999</v>
      </c>
      <c r="K80" s="427" t="s">
        <v>288</v>
      </c>
    </row>
    <row r="81" spans="1:11" ht="14.4" customHeight="1" thickBot="1" x14ac:dyDescent="0.35">
      <c r="A81" s="436" t="s">
        <v>347</v>
      </c>
      <c r="B81" s="420">
        <v>11.999999999999</v>
      </c>
      <c r="C81" s="420">
        <v>4.5960000000000001</v>
      </c>
      <c r="D81" s="421">
        <v>-7.4039999999989998</v>
      </c>
      <c r="E81" s="426">
        <v>0.38300000000000001</v>
      </c>
      <c r="F81" s="420">
        <v>10.999999653526</v>
      </c>
      <c r="G81" s="421">
        <v>1.833333275587</v>
      </c>
      <c r="H81" s="423">
        <v>3.8490000000000002</v>
      </c>
      <c r="I81" s="420">
        <v>3.8490000000000002</v>
      </c>
      <c r="J81" s="421">
        <v>2.0156667244120001</v>
      </c>
      <c r="K81" s="424">
        <v>0.34990910193000002</v>
      </c>
    </row>
    <row r="82" spans="1:11" ht="14.4" customHeight="1" thickBot="1" x14ac:dyDescent="0.35">
      <c r="A82" s="437" t="s">
        <v>348</v>
      </c>
      <c r="B82" s="415">
        <v>11.999999999999</v>
      </c>
      <c r="C82" s="415">
        <v>4.5960000000000001</v>
      </c>
      <c r="D82" s="416">
        <v>-7.4039999999989998</v>
      </c>
      <c r="E82" s="417">
        <v>0.38300000000000001</v>
      </c>
      <c r="F82" s="415">
        <v>10.999999653526</v>
      </c>
      <c r="G82" s="416">
        <v>1.833333275587</v>
      </c>
      <c r="H82" s="418">
        <v>3.8490000000000002</v>
      </c>
      <c r="I82" s="415">
        <v>3.8490000000000002</v>
      </c>
      <c r="J82" s="416">
        <v>2.0156667244120001</v>
      </c>
      <c r="K82" s="419">
        <v>0.34990910193000002</v>
      </c>
    </row>
    <row r="83" spans="1:11" ht="14.4" customHeight="1" thickBot="1" x14ac:dyDescent="0.35">
      <c r="A83" s="435" t="s">
        <v>349</v>
      </c>
      <c r="B83" s="415">
        <v>1184.0232800297299</v>
      </c>
      <c r="C83" s="415">
        <v>1257.3004900000001</v>
      </c>
      <c r="D83" s="416">
        <v>73.277209970271997</v>
      </c>
      <c r="E83" s="417">
        <v>1.0618883185879999</v>
      </c>
      <c r="F83" s="415">
        <v>1223.99996144697</v>
      </c>
      <c r="G83" s="416">
        <v>203.999993574494</v>
      </c>
      <c r="H83" s="418">
        <v>73.130399999999995</v>
      </c>
      <c r="I83" s="415">
        <v>164.96800999999999</v>
      </c>
      <c r="J83" s="416">
        <v>-39.031983574493999</v>
      </c>
      <c r="K83" s="419">
        <v>0.13477779019200001</v>
      </c>
    </row>
    <row r="84" spans="1:11" ht="14.4" customHeight="1" thickBot="1" x14ac:dyDescent="0.35">
      <c r="A84" s="436" t="s">
        <v>350</v>
      </c>
      <c r="B84" s="420">
        <v>313.02328002974599</v>
      </c>
      <c r="C84" s="420">
        <v>332.81576000000001</v>
      </c>
      <c r="D84" s="421">
        <v>19.792479970254</v>
      </c>
      <c r="E84" s="426">
        <v>1.06323005742</v>
      </c>
      <c r="F84" s="420">
        <v>323.99998979478499</v>
      </c>
      <c r="G84" s="421">
        <v>53.999998299129999</v>
      </c>
      <c r="H84" s="423">
        <v>19.358640000000001</v>
      </c>
      <c r="I84" s="420">
        <v>43.667999999999999</v>
      </c>
      <c r="J84" s="421">
        <v>-10.331998299129999</v>
      </c>
      <c r="K84" s="424">
        <v>0.134777782022</v>
      </c>
    </row>
    <row r="85" spans="1:11" ht="14.4" customHeight="1" thickBot="1" x14ac:dyDescent="0.35">
      <c r="A85" s="437" t="s">
        <v>351</v>
      </c>
      <c r="B85" s="415">
        <v>313.02328002974599</v>
      </c>
      <c r="C85" s="415">
        <v>332.81576000000001</v>
      </c>
      <c r="D85" s="416">
        <v>19.792479970254</v>
      </c>
      <c r="E85" s="417">
        <v>1.06323005742</v>
      </c>
      <c r="F85" s="415">
        <v>323.99998979478499</v>
      </c>
      <c r="G85" s="416">
        <v>53.999998299129999</v>
      </c>
      <c r="H85" s="418">
        <v>19.358640000000001</v>
      </c>
      <c r="I85" s="415">
        <v>43.667999999999999</v>
      </c>
      <c r="J85" s="416">
        <v>-10.331998299129999</v>
      </c>
      <c r="K85" s="419">
        <v>0.134777782022</v>
      </c>
    </row>
    <row r="86" spans="1:11" ht="14.4" customHeight="1" thickBot="1" x14ac:dyDescent="0.35">
      <c r="A86" s="436" t="s">
        <v>352</v>
      </c>
      <c r="B86" s="420">
        <v>870.99999999998204</v>
      </c>
      <c r="C86" s="420">
        <v>924.48473000000001</v>
      </c>
      <c r="D86" s="421">
        <v>53.484730000017997</v>
      </c>
      <c r="E86" s="426">
        <v>1.061406119403</v>
      </c>
      <c r="F86" s="420">
        <v>899.99997165218099</v>
      </c>
      <c r="G86" s="421">
        <v>149.999995275364</v>
      </c>
      <c r="H86" s="423">
        <v>53.77176</v>
      </c>
      <c r="I86" s="420">
        <v>121.30001</v>
      </c>
      <c r="J86" s="421">
        <v>-28.699985275363002</v>
      </c>
      <c r="K86" s="424">
        <v>0.13477779313400001</v>
      </c>
    </row>
    <row r="87" spans="1:11" ht="14.4" customHeight="1" thickBot="1" x14ac:dyDescent="0.35">
      <c r="A87" s="437" t="s">
        <v>353</v>
      </c>
      <c r="B87" s="415">
        <v>870.99999999998204</v>
      </c>
      <c r="C87" s="415">
        <v>924.48473000000001</v>
      </c>
      <c r="D87" s="416">
        <v>53.484730000017997</v>
      </c>
      <c r="E87" s="417">
        <v>1.061406119403</v>
      </c>
      <c r="F87" s="415">
        <v>899.99997165218099</v>
      </c>
      <c r="G87" s="416">
        <v>149.999995275364</v>
      </c>
      <c r="H87" s="418">
        <v>53.77176</v>
      </c>
      <c r="I87" s="415">
        <v>121.30001</v>
      </c>
      <c r="J87" s="416">
        <v>-28.699985275363002</v>
      </c>
      <c r="K87" s="419">
        <v>0.13477779313400001</v>
      </c>
    </row>
    <row r="88" spans="1:11" ht="14.4" customHeight="1" thickBot="1" x14ac:dyDescent="0.35">
      <c r="A88" s="435" t="s">
        <v>354</v>
      </c>
      <c r="B88" s="415">
        <v>33.999999999998998</v>
      </c>
      <c r="C88" s="415">
        <v>37.043289999999999</v>
      </c>
      <c r="D88" s="416">
        <v>3.0432899999999998</v>
      </c>
      <c r="E88" s="417">
        <v>1.0895085294110001</v>
      </c>
      <c r="F88" s="415">
        <v>35.999998866086997</v>
      </c>
      <c r="G88" s="416">
        <v>5.9999998110139998</v>
      </c>
      <c r="H88" s="418">
        <v>2.0008400000000002</v>
      </c>
      <c r="I88" s="415">
        <v>4.7016799999999996</v>
      </c>
      <c r="J88" s="416">
        <v>-1.298319811014</v>
      </c>
      <c r="K88" s="419">
        <v>0.13060222633499999</v>
      </c>
    </row>
    <row r="89" spans="1:11" ht="14.4" customHeight="1" thickBot="1" x14ac:dyDescent="0.35">
      <c r="A89" s="436" t="s">
        <v>355</v>
      </c>
      <c r="B89" s="420">
        <v>33.999999999998998</v>
      </c>
      <c r="C89" s="420">
        <v>37.043289999999999</v>
      </c>
      <c r="D89" s="421">
        <v>3.0432899999999998</v>
      </c>
      <c r="E89" s="426">
        <v>1.0895085294110001</v>
      </c>
      <c r="F89" s="420">
        <v>35.999998866086997</v>
      </c>
      <c r="G89" s="421">
        <v>5.9999998110139998</v>
      </c>
      <c r="H89" s="423">
        <v>2.0008400000000002</v>
      </c>
      <c r="I89" s="420">
        <v>4.7016799999999996</v>
      </c>
      <c r="J89" s="421">
        <v>-1.298319811014</v>
      </c>
      <c r="K89" s="424">
        <v>0.13060222633499999</v>
      </c>
    </row>
    <row r="90" spans="1:11" ht="14.4" customHeight="1" thickBot="1" x14ac:dyDescent="0.35">
      <c r="A90" s="437" t="s">
        <v>356</v>
      </c>
      <c r="B90" s="415">
        <v>33.999999999998998</v>
      </c>
      <c r="C90" s="415">
        <v>37.043289999999999</v>
      </c>
      <c r="D90" s="416">
        <v>3.0432899999999998</v>
      </c>
      <c r="E90" s="417">
        <v>1.0895085294110001</v>
      </c>
      <c r="F90" s="415">
        <v>35.999998866086997</v>
      </c>
      <c r="G90" s="416">
        <v>5.9999998110139998</v>
      </c>
      <c r="H90" s="418">
        <v>2.0008400000000002</v>
      </c>
      <c r="I90" s="415">
        <v>4.7016799999999996</v>
      </c>
      <c r="J90" s="416">
        <v>-1.298319811014</v>
      </c>
      <c r="K90" s="419">
        <v>0.13060222633499999</v>
      </c>
    </row>
    <row r="91" spans="1:11" ht="14.4" customHeight="1" thickBot="1" x14ac:dyDescent="0.35">
      <c r="A91" s="434" t="s">
        <v>357</v>
      </c>
      <c r="B91" s="415">
        <v>0</v>
      </c>
      <c r="C91" s="415">
        <v>88.436809999999994</v>
      </c>
      <c r="D91" s="416">
        <v>88.436809999999994</v>
      </c>
      <c r="E91" s="425" t="s">
        <v>274</v>
      </c>
      <c r="F91" s="415">
        <v>0</v>
      </c>
      <c r="G91" s="416">
        <v>0</v>
      </c>
      <c r="H91" s="418">
        <v>0</v>
      </c>
      <c r="I91" s="415">
        <v>0.23799999999999999</v>
      </c>
      <c r="J91" s="416">
        <v>0.23799999999999999</v>
      </c>
      <c r="K91" s="427" t="s">
        <v>274</v>
      </c>
    </row>
    <row r="92" spans="1:11" ht="14.4" customHeight="1" thickBot="1" x14ac:dyDescent="0.35">
      <c r="A92" s="435" t="s">
        <v>358</v>
      </c>
      <c r="B92" s="415">
        <v>0</v>
      </c>
      <c r="C92" s="415">
        <v>84.623999999999995</v>
      </c>
      <c r="D92" s="416">
        <v>84.623999999999995</v>
      </c>
      <c r="E92" s="425" t="s">
        <v>274</v>
      </c>
      <c r="F92" s="415">
        <v>0</v>
      </c>
      <c r="G92" s="416">
        <v>0</v>
      </c>
      <c r="H92" s="418">
        <v>0</v>
      </c>
      <c r="I92" s="415">
        <v>0</v>
      </c>
      <c r="J92" s="416">
        <v>0</v>
      </c>
      <c r="K92" s="427" t="s">
        <v>274</v>
      </c>
    </row>
    <row r="93" spans="1:11" ht="14.4" customHeight="1" thickBot="1" x14ac:dyDescent="0.35">
      <c r="A93" s="436" t="s">
        <v>359</v>
      </c>
      <c r="B93" s="420">
        <v>0</v>
      </c>
      <c r="C93" s="420">
        <v>84.623999999999995</v>
      </c>
      <c r="D93" s="421">
        <v>84.623999999999995</v>
      </c>
      <c r="E93" s="422" t="s">
        <v>274</v>
      </c>
      <c r="F93" s="420">
        <v>0</v>
      </c>
      <c r="G93" s="421">
        <v>0</v>
      </c>
      <c r="H93" s="423">
        <v>0</v>
      </c>
      <c r="I93" s="420">
        <v>0</v>
      </c>
      <c r="J93" s="421">
        <v>0</v>
      </c>
      <c r="K93" s="428" t="s">
        <v>274</v>
      </c>
    </row>
    <row r="94" spans="1:11" ht="14.4" customHeight="1" thickBot="1" x14ac:dyDescent="0.35">
      <c r="A94" s="437" t="s">
        <v>360</v>
      </c>
      <c r="B94" s="415">
        <v>0</v>
      </c>
      <c r="C94" s="415">
        <v>84.623999999999995</v>
      </c>
      <c r="D94" s="416">
        <v>84.623999999999995</v>
      </c>
      <c r="E94" s="425" t="s">
        <v>274</v>
      </c>
      <c r="F94" s="415">
        <v>0</v>
      </c>
      <c r="G94" s="416">
        <v>0</v>
      </c>
      <c r="H94" s="418">
        <v>0</v>
      </c>
      <c r="I94" s="415">
        <v>0</v>
      </c>
      <c r="J94" s="416">
        <v>0</v>
      </c>
      <c r="K94" s="427" t="s">
        <v>274</v>
      </c>
    </row>
    <row r="95" spans="1:11" ht="14.4" customHeight="1" thickBot="1" x14ac:dyDescent="0.35">
      <c r="A95" s="435" t="s">
        <v>361</v>
      </c>
      <c r="B95" s="415">
        <v>0</v>
      </c>
      <c r="C95" s="415">
        <v>3.8128099999999998</v>
      </c>
      <c r="D95" s="416">
        <v>3.8128099999999998</v>
      </c>
      <c r="E95" s="425" t="s">
        <v>274</v>
      </c>
      <c r="F95" s="415">
        <v>0</v>
      </c>
      <c r="G95" s="416">
        <v>0</v>
      </c>
      <c r="H95" s="418">
        <v>0</v>
      </c>
      <c r="I95" s="415">
        <v>0.23799999999999999</v>
      </c>
      <c r="J95" s="416">
        <v>0.23799999999999999</v>
      </c>
      <c r="K95" s="427" t="s">
        <v>274</v>
      </c>
    </row>
    <row r="96" spans="1:11" ht="14.4" customHeight="1" thickBot="1" x14ac:dyDescent="0.35">
      <c r="A96" s="436" t="s">
        <v>362</v>
      </c>
      <c r="B96" s="420">
        <v>0</v>
      </c>
      <c r="C96" s="420">
        <v>4.0949</v>
      </c>
      <c r="D96" s="421">
        <v>4.0949</v>
      </c>
      <c r="E96" s="422" t="s">
        <v>274</v>
      </c>
      <c r="F96" s="420">
        <v>0</v>
      </c>
      <c r="G96" s="421">
        <v>0</v>
      </c>
      <c r="H96" s="423">
        <v>0</v>
      </c>
      <c r="I96" s="420">
        <v>0.23799999999999999</v>
      </c>
      <c r="J96" s="421">
        <v>0.23799999999999999</v>
      </c>
      <c r="K96" s="428" t="s">
        <v>274</v>
      </c>
    </row>
    <row r="97" spans="1:11" ht="14.4" customHeight="1" thickBot="1" x14ac:dyDescent="0.35">
      <c r="A97" s="437" t="s">
        <v>363</v>
      </c>
      <c r="B97" s="415">
        <v>0</v>
      </c>
      <c r="C97" s="415">
        <v>2.0949</v>
      </c>
      <c r="D97" s="416">
        <v>2.0949</v>
      </c>
      <c r="E97" s="425" t="s">
        <v>274</v>
      </c>
      <c r="F97" s="415">
        <v>0</v>
      </c>
      <c r="G97" s="416">
        <v>0</v>
      </c>
      <c r="H97" s="418">
        <v>0</v>
      </c>
      <c r="I97" s="415">
        <v>0.23799999999999999</v>
      </c>
      <c r="J97" s="416">
        <v>0.23799999999999999</v>
      </c>
      <c r="K97" s="427" t="s">
        <v>274</v>
      </c>
    </row>
    <row r="98" spans="1:11" ht="14.4" customHeight="1" thickBot="1" x14ac:dyDescent="0.35">
      <c r="A98" s="437" t="s">
        <v>364</v>
      </c>
      <c r="B98" s="415">
        <v>0</v>
      </c>
      <c r="C98" s="415">
        <v>2</v>
      </c>
      <c r="D98" s="416">
        <v>2</v>
      </c>
      <c r="E98" s="425" t="s">
        <v>274</v>
      </c>
      <c r="F98" s="415">
        <v>0</v>
      </c>
      <c r="G98" s="416">
        <v>0</v>
      </c>
      <c r="H98" s="418">
        <v>0</v>
      </c>
      <c r="I98" s="415">
        <v>0</v>
      </c>
      <c r="J98" s="416">
        <v>0</v>
      </c>
      <c r="K98" s="427" t="s">
        <v>274</v>
      </c>
    </row>
    <row r="99" spans="1:11" ht="14.4" customHeight="1" thickBot="1" x14ac:dyDescent="0.35">
      <c r="A99" s="436" t="s">
        <v>365</v>
      </c>
      <c r="B99" s="420">
        <v>0</v>
      </c>
      <c r="C99" s="420">
        <v>-0.28209000000000001</v>
      </c>
      <c r="D99" s="421">
        <v>-0.28209000000000001</v>
      </c>
      <c r="E99" s="422" t="s">
        <v>288</v>
      </c>
      <c r="F99" s="420">
        <v>0</v>
      </c>
      <c r="G99" s="421">
        <v>0</v>
      </c>
      <c r="H99" s="423">
        <v>0</v>
      </c>
      <c r="I99" s="420">
        <v>0</v>
      </c>
      <c r="J99" s="421">
        <v>0</v>
      </c>
      <c r="K99" s="428" t="s">
        <v>274</v>
      </c>
    </row>
    <row r="100" spans="1:11" ht="14.4" customHeight="1" thickBot="1" x14ac:dyDescent="0.35">
      <c r="A100" s="437" t="s">
        <v>366</v>
      </c>
      <c r="B100" s="415">
        <v>0</v>
      </c>
      <c r="C100" s="415">
        <v>-0.28209000000000001</v>
      </c>
      <c r="D100" s="416">
        <v>-0.28209000000000001</v>
      </c>
      <c r="E100" s="425" t="s">
        <v>288</v>
      </c>
      <c r="F100" s="415">
        <v>0</v>
      </c>
      <c r="G100" s="416">
        <v>0</v>
      </c>
      <c r="H100" s="418">
        <v>0</v>
      </c>
      <c r="I100" s="415">
        <v>0</v>
      </c>
      <c r="J100" s="416">
        <v>0</v>
      </c>
      <c r="K100" s="427" t="s">
        <v>274</v>
      </c>
    </row>
    <row r="101" spans="1:11" ht="14.4" customHeight="1" thickBot="1" x14ac:dyDescent="0.35">
      <c r="A101" s="434" t="s">
        <v>367</v>
      </c>
      <c r="B101" s="415">
        <v>405.99884783641897</v>
      </c>
      <c r="C101" s="415">
        <v>405.61900000000003</v>
      </c>
      <c r="D101" s="416">
        <v>-0.37984783641800002</v>
      </c>
      <c r="E101" s="417">
        <v>0.99906441154000003</v>
      </c>
      <c r="F101" s="415">
        <v>402.99998730646502</v>
      </c>
      <c r="G101" s="416">
        <v>67.166664551077005</v>
      </c>
      <c r="H101" s="418">
        <v>33.850999999999999</v>
      </c>
      <c r="I101" s="415">
        <v>67.701999999999998</v>
      </c>
      <c r="J101" s="416">
        <v>0.53533544892200002</v>
      </c>
      <c r="K101" s="419">
        <v>0.16799504251200001</v>
      </c>
    </row>
    <row r="102" spans="1:11" ht="14.4" customHeight="1" thickBot="1" x14ac:dyDescent="0.35">
      <c r="A102" s="435" t="s">
        <v>368</v>
      </c>
      <c r="B102" s="415">
        <v>405.99884783641897</v>
      </c>
      <c r="C102" s="415">
        <v>405.61900000000003</v>
      </c>
      <c r="D102" s="416">
        <v>-0.37984783641800002</v>
      </c>
      <c r="E102" s="417">
        <v>0.99906441154000003</v>
      </c>
      <c r="F102" s="415">
        <v>402.99998730646502</v>
      </c>
      <c r="G102" s="416">
        <v>67.166664551077005</v>
      </c>
      <c r="H102" s="418">
        <v>33.850999999999999</v>
      </c>
      <c r="I102" s="415">
        <v>67.701999999999998</v>
      </c>
      <c r="J102" s="416">
        <v>0.53533544892200002</v>
      </c>
      <c r="K102" s="419">
        <v>0.16799504251200001</v>
      </c>
    </row>
    <row r="103" spans="1:11" ht="14.4" customHeight="1" thickBot="1" x14ac:dyDescent="0.35">
      <c r="A103" s="436" t="s">
        <v>369</v>
      </c>
      <c r="B103" s="420">
        <v>405.99884783641897</v>
      </c>
      <c r="C103" s="420">
        <v>405.61900000000003</v>
      </c>
      <c r="D103" s="421">
        <v>-0.37984783641800002</v>
      </c>
      <c r="E103" s="426">
        <v>0.99906441154000003</v>
      </c>
      <c r="F103" s="420">
        <v>402.99998730646502</v>
      </c>
      <c r="G103" s="421">
        <v>67.166664551077005</v>
      </c>
      <c r="H103" s="423">
        <v>33.850999999999999</v>
      </c>
      <c r="I103" s="420">
        <v>67.701999999999998</v>
      </c>
      <c r="J103" s="421">
        <v>0.53533544892200002</v>
      </c>
      <c r="K103" s="424">
        <v>0.16799504251200001</v>
      </c>
    </row>
    <row r="104" spans="1:11" ht="14.4" customHeight="1" thickBot="1" x14ac:dyDescent="0.35">
      <c r="A104" s="437" t="s">
        <v>370</v>
      </c>
      <c r="B104" s="415">
        <v>28.998847836425</v>
      </c>
      <c r="C104" s="415">
        <v>28.879000000000001</v>
      </c>
      <c r="D104" s="416">
        <v>-0.11984783642500001</v>
      </c>
      <c r="E104" s="417">
        <v>0.995867151788</v>
      </c>
      <c r="F104" s="415">
        <v>28.999999086569002</v>
      </c>
      <c r="G104" s="416">
        <v>4.8333331810939999</v>
      </c>
      <c r="H104" s="418">
        <v>2.4569999999999999</v>
      </c>
      <c r="I104" s="415">
        <v>4.9139999999999997</v>
      </c>
      <c r="J104" s="416">
        <v>8.0666818905000007E-2</v>
      </c>
      <c r="K104" s="419">
        <v>0.16944828119899999</v>
      </c>
    </row>
    <row r="105" spans="1:11" ht="14.4" customHeight="1" thickBot="1" x14ac:dyDescent="0.35">
      <c r="A105" s="437" t="s">
        <v>371</v>
      </c>
      <c r="B105" s="415">
        <v>241.99999999999599</v>
      </c>
      <c r="C105" s="415">
        <v>242.11199999999999</v>
      </c>
      <c r="D105" s="416">
        <v>0.112000000004</v>
      </c>
      <c r="E105" s="417">
        <v>1.0004628099170001</v>
      </c>
      <c r="F105" s="415">
        <v>241.999992377578</v>
      </c>
      <c r="G105" s="416">
        <v>40.333332062929003</v>
      </c>
      <c r="H105" s="418">
        <v>20.175000000000001</v>
      </c>
      <c r="I105" s="415">
        <v>40.35</v>
      </c>
      <c r="J105" s="416">
        <v>1.666793707E-2</v>
      </c>
      <c r="K105" s="419">
        <v>0.166735542441</v>
      </c>
    </row>
    <row r="106" spans="1:11" ht="14.4" customHeight="1" thickBot="1" x14ac:dyDescent="0.35">
      <c r="A106" s="437" t="s">
        <v>372</v>
      </c>
      <c r="B106" s="415">
        <v>0</v>
      </c>
      <c r="C106" s="415">
        <v>0.13200000000000001</v>
      </c>
      <c r="D106" s="416">
        <v>0.13200000000000001</v>
      </c>
      <c r="E106" s="425" t="s">
        <v>274</v>
      </c>
      <c r="F106" s="415">
        <v>0</v>
      </c>
      <c r="G106" s="416">
        <v>0</v>
      </c>
      <c r="H106" s="418">
        <v>1.0999999999999999E-2</v>
      </c>
      <c r="I106" s="415">
        <v>2.1999999999999999E-2</v>
      </c>
      <c r="J106" s="416">
        <v>2.1999999999999999E-2</v>
      </c>
      <c r="K106" s="427" t="s">
        <v>274</v>
      </c>
    </row>
    <row r="107" spans="1:11" ht="14.4" customHeight="1" thickBot="1" x14ac:dyDescent="0.35">
      <c r="A107" s="437" t="s">
        <v>373</v>
      </c>
      <c r="B107" s="415">
        <v>134.99999999999801</v>
      </c>
      <c r="C107" s="415">
        <v>134.49600000000001</v>
      </c>
      <c r="D107" s="416">
        <v>-0.50399999999699996</v>
      </c>
      <c r="E107" s="417">
        <v>0.99626666666599994</v>
      </c>
      <c r="F107" s="415">
        <v>131.99999584231699</v>
      </c>
      <c r="G107" s="416">
        <v>21.999999307052001</v>
      </c>
      <c r="H107" s="418">
        <v>11.208</v>
      </c>
      <c r="I107" s="415">
        <v>22.416</v>
      </c>
      <c r="J107" s="416">
        <v>0.41600069294699998</v>
      </c>
      <c r="K107" s="419">
        <v>0.16981818716700001</v>
      </c>
    </row>
    <row r="108" spans="1:11" ht="14.4" customHeight="1" thickBot="1" x14ac:dyDescent="0.35">
      <c r="A108" s="433" t="s">
        <v>374</v>
      </c>
      <c r="B108" s="415">
        <v>2669.33649380215</v>
      </c>
      <c r="C108" s="415">
        <v>3643.2699200000002</v>
      </c>
      <c r="D108" s="416">
        <v>973.93342619785096</v>
      </c>
      <c r="E108" s="417">
        <v>1.364859742658</v>
      </c>
      <c r="F108" s="415">
        <v>3549.3638230475199</v>
      </c>
      <c r="G108" s="416">
        <v>591.56063717458699</v>
      </c>
      <c r="H108" s="418">
        <v>366.47082999999998</v>
      </c>
      <c r="I108" s="415">
        <v>754.74068</v>
      </c>
      <c r="J108" s="416">
        <v>163.18004282541301</v>
      </c>
      <c r="K108" s="419">
        <v>0.21264111475299999</v>
      </c>
    </row>
    <row r="109" spans="1:11" ht="14.4" customHeight="1" thickBot="1" x14ac:dyDescent="0.35">
      <c r="A109" s="434" t="s">
        <v>375</v>
      </c>
      <c r="B109" s="415">
        <v>2665.3657507037201</v>
      </c>
      <c r="C109" s="415">
        <v>3580.85502</v>
      </c>
      <c r="D109" s="416">
        <v>915.48926929627703</v>
      </c>
      <c r="E109" s="417">
        <v>1.3434760385340001</v>
      </c>
      <c r="F109" s="415">
        <v>3500.21914071422</v>
      </c>
      <c r="G109" s="416">
        <v>583.36985678570397</v>
      </c>
      <c r="H109" s="418">
        <v>366.05682999999999</v>
      </c>
      <c r="I109" s="415">
        <v>752.04256999999996</v>
      </c>
      <c r="J109" s="416">
        <v>168.67271321429601</v>
      </c>
      <c r="K109" s="419">
        <v>0.21485585323799999</v>
      </c>
    </row>
    <row r="110" spans="1:11" ht="14.4" customHeight="1" thickBot="1" x14ac:dyDescent="0.35">
      <c r="A110" s="435" t="s">
        <v>376</v>
      </c>
      <c r="B110" s="415">
        <v>2665.3657507037201</v>
      </c>
      <c r="C110" s="415">
        <v>3580.85502</v>
      </c>
      <c r="D110" s="416">
        <v>915.48926929627703</v>
      </c>
      <c r="E110" s="417">
        <v>1.3434760385340001</v>
      </c>
      <c r="F110" s="415">
        <v>3500.21914071422</v>
      </c>
      <c r="G110" s="416">
        <v>583.36985678570397</v>
      </c>
      <c r="H110" s="418">
        <v>366.05682999999999</v>
      </c>
      <c r="I110" s="415">
        <v>752.04256999999996</v>
      </c>
      <c r="J110" s="416">
        <v>168.67271321429601</v>
      </c>
      <c r="K110" s="419">
        <v>0.21485585323799999</v>
      </c>
    </row>
    <row r="111" spans="1:11" ht="14.4" customHeight="1" thickBot="1" x14ac:dyDescent="0.35">
      <c r="A111" s="436" t="s">
        <v>377</v>
      </c>
      <c r="B111" s="420">
        <v>1127.3657507037201</v>
      </c>
      <c r="C111" s="420">
        <v>1456.8672899999999</v>
      </c>
      <c r="D111" s="421">
        <v>329.50153929627697</v>
      </c>
      <c r="E111" s="426">
        <v>1.292275633786</v>
      </c>
      <c r="F111" s="420">
        <v>1441.21914071369</v>
      </c>
      <c r="G111" s="421">
        <v>240.20319011894799</v>
      </c>
      <c r="H111" s="423">
        <v>117.34833</v>
      </c>
      <c r="I111" s="420">
        <v>260.20999</v>
      </c>
      <c r="J111" s="421">
        <v>20.006799881052</v>
      </c>
      <c r="K111" s="424">
        <v>0.18054852496000001</v>
      </c>
    </row>
    <row r="112" spans="1:11" ht="14.4" customHeight="1" thickBot="1" x14ac:dyDescent="0.35">
      <c r="A112" s="437" t="s">
        <v>378</v>
      </c>
      <c r="B112" s="415">
        <v>156.735287777623</v>
      </c>
      <c r="C112" s="415">
        <v>26.563749999999999</v>
      </c>
      <c r="D112" s="416">
        <v>-130.171537777623</v>
      </c>
      <c r="E112" s="417">
        <v>0.16948161691300001</v>
      </c>
      <c r="F112" s="415">
        <v>21.993811113014001</v>
      </c>
      <c r="G112" s="416">
        <v>3.665635185502</v>
      </c>
      <c r="H112" s="418">
        <v>0.6</v>
      </c>
      <c r="I112" s="415">
        <v>39.354799999999997</v>
      </c>
      <c r="J112" s="416">
        <v>35.689164814496998</v>
      </c>
      <c r="K112" s="419">
        <v>1.789357915177</v>
      </c>
    </row>
    <row r="113" spans="1:11" ht="14.4" customHeight="1" thickBot="1" x14ac:dyDescent="0.35">
      <c r="A113" s="437" t="s">
        <v>379</v>
      </c>
      <c r="B113" s="415">
        <v>0</v>
      </c>
      <c r="C113" s="415">
        <v>1.056</v>
      </c>
      <c r="D113" s="416">
        <v>1.056</v>
      </c>
      <c r="E113" s="425" t="s">
        <v>288</v>
      </c>
      <c r="F113" s="415">
        <v>0.82532960067000005</v>
      </c>
      <c r="G113" s="416">
        <v>0.137554933445</v>
      </c>
      <c r="H113" s="418">
        <v>0</v>
      </c>
      <c r="I113" s="415">
        <v>0</v>
      </c>
      <c r="J113" s="416">
        <v>-0.137554933445</v>
      </c>
      <c r="K113" s="419">
        <v>0</v>
      </c>
    </row>
    <row r="114" spans="1:11" ht="14.4" customHeight="1" thickBot="1" x14ac:dyDescent="0.35">
      <c r="A114" s="437" t="s">
        <v>380</v>
      </c>
      <c r="B114" s="415">
        <v>970.63046292609999</v>
      </c>
      <c r="C114" s="415">
        <v>1429.2475400000001</v>
      </c>
      <c r="D114" s="416">
        <v>458.61707707390002</v>
      </c>
      <c r="E114" s="417">
        <v>1.472494007339</v>
      </c>
      <c r="F114" s="415">
        <v>1418.4</v>
      </c>
      <c r="G114" s="416">
        <v>236.4</v>
      </c>
      <c r="H114" s="418">
        <v>116.74833</v>
      </c>
      <c r="I114" s="415">
        <v>220.85518999999999</v>
      </c>
      <c r="J114" s="416">
        <v>-15.54481</v>
      </c>
      <c r="K114" s="419">
        <v>0.15570726875300001</v>
      </c>
    </row>
    <row r="115" spans="1:11" ht="14.4" customHeight="1" thickBot="1" x14ac:dyDescent="0.35">
      <c r="A115" s="436" t="s">
        <v>381</v>
      </c>
      <c r="B115" s="420">
        <v>0</v>
      </c>
      <c r="C115" s="420">
        <v>0</v>
      </c>
      <c r="D115" s="421">
        <v>0</v>
      </c>
      <c r="E115" s="426">
        <v>1</v>
      </c>
      <c r="F115" s="420">
        <v>0</v>
      </c>
      <c r="G115" s="421">
        <v>0</v>
      </c>
      <c r="H115" s="423">
        <v>1.272</v>
      </c>
      <c r="I115" s="420">
        <v>1.272</v>
      </c>
      <c r="J115" s="421">
        <v>1.272</v>
      </c>
      <c r="K115" s="428" t="s">
        <v>288</v>
      </c>
    </row>
    <row r="116" spans="1:11" ht="14.4" customHeight="1" thickBot="1" x14ac:dyDescent="0.35">
      <c r="A116" s="437" t="s">
        <v>382</v>
      </c>
      <c r="B116" s="415">
        <v>0</v>
      </c>
      <c r="C116" s="415">
        <v>0</v>
      </c>
      <c r="D116" s="416">
        <v>0</v>
      </c>
      <c r="E116" s="417">
        <v>1</v>
      </c>
      <c r="F116" s="415">
        <v>0</v>
      </c>
      <c r="G116" s="416">
        <v>0</v>
      </c>
      <c r="H116" s="418">
        <v>1.272</v>
      </c>
      <c r="I116" s="415">
        <v>1.272</v>
      </c>
      <c r="J116" s="416">
        <v>1.272</v>
      </c>
      <c r="K116" s="427" t="s">
        <v>288</v>
      </c>
    </row>
    <row r="117" spans="1:11" ht="14.4" customHeight="1" thickBot="1" x14ac:dyDescent="0.35">
      <c r="A117" s="436" t="s">
        <v>383</v>
      </c>
      <c r="B117" s="420">
        <v>0</v>
      </c>
      <c r="C117" s="420">
        <v>0.93330000000000002</v>
      </c>
      <c r="D117" s="421">
        <v>0.93330000000000002</v>
      </c>
      <c r="E117" s="422" t="s">
        <v>274</v>
      </c>
      <c r="F117" s="420">
        <v>3</v>
      </c>
      <c r="G117" s="421">
        <v>0.5</v>
      </c>
      <c r="H117" s="423">
        <v>0</v>
      </c>
      <c r="I117" s="420">
        <v>0</v>
      </c>
      <c r="J117" s="421">
        <v>-0.5</v>
      </c>
      <c r="K117" s="424">
        <v>0</v>
      </c>
    </row>
    <row r="118" spans="1:11" ht="14.4" customHeight="1" thickBot="1" x14ac:dyDescent="0.35">
      <c r="A118" s="437" t="s">
        <v>384</v>
      </c>
      <c r="B118" s="415">
        <v>0</v>
      </c>
      <c r="C118" s="415">
        <v>0.93330000000000002</v>
      </c>
      <c r="D118" s="416">
        <v>0.93330000000000002</v>
      </c>
      <c r="E118" s="425" t="s">
        <v>274</v>
      </c>
      <c r="F118" s="415">
        <v>3</v>
      </c>
      <c r="G118" s="416">
        <v>0.5</v>
      </c>
      <c r="H118" s="418">
        <v>0</v>
      </c>
      <c r="I118" s="415">
        <v>0</v>
      </c>
      <c r="J118" s="416">
        <v>-0.5</v>
      </c>
      <c r="K118" s="419">
        <v>0</v>
      </c>
    </row>
    <row r="119" spans="1:11" ht="14.4" customHeight="1" thickBot="1" x14ac:dyDescent="0.35">
      <c r="A119" s="436" t="s">
        <v>385</v>
      </c>
      <c r="B119" s="420">
        <v>1</v>
      </c>
      <c r="C119" s="420">
        <v>0.55800000000000005</v>
      </c>
      <c r="D119" s="421">
        <v>-0.442</v>
      </c>
      <c r="E119" s="426">
        <v>0.55800000000000005</v>
      </c>
      <c r="F119" s="420">
        <v>1</v>
      </c>
      <c r="G119" s="421">
        <v>0.166666666666</v>
      </c>
      <c r="H119" s="423">
        <v>0</v>
      </c>
      <c r="I119" s="420">
        <v>0</v>
      </c>
      <c r="J119" s="421">
        <v>-0.166666666666</v>
      </c>
      <c r="K119" s="424">
        <v>0</v>
      </c>
    </row>
    <row r="120" spans="1:11" ht="14.4" customHeight="1" thickBot="1" x14ac:dyDescent="0.35">
      <c r="A120" s="437" t="s">
        <v>386</v>
      </c>
      <c r="B120" s="415">
        <v>1</v>
      </c>
      <c r="C120" s="415">
        <v>0.55800000000000005</v>
      </c>
      <c r="D120" s="416">
        <v>-0.442</v>
      </c>
      <c r="E120" s="417">
        <v>0.55800000000000005</v>
      </c>
      <c r="F120" s="415">
        <v>1</v>
      </c>
      <c r="G120" s="416">
        <v>0.166666666666</v>
      </c>
      <c r="H120" s="418">
        <v>0</v>
      </c>
      <c r="I120" s="415">
        <v>0</v>
      </c>
      <c r="J120" s="416">
        <v>-0.166666666666</v>
      </c>
      <c r="K120" s="419">
        <v>0</v>
      </c>
    </row>
    <row r="121" spans="1:11" ht="14.4" customHeight="1" thickBot="1" x14ac:dyDescent="0.35">
      <c r="A121" s="436" t="s">
        <v>387</v>
      </c>
      <c r="B121" s="420">
        <v>1537</v>
      </c>
      <c r="C121" s="420">
        <v>1967.4592600000001</v>
      </c>
      <c r="D121" s="421">
        <v>430.45925999999997</v>
      </c>
      <c r="E121" s="426">
        <v>1.280064580351</v>
      </c>
      <c r="F121" s="420">
        <v>2055.0000000005398</v>
      </c>
      <c r="G121" s="421">
        <v>342.50000000008998</v>
      </c>
      <c r="H121" s="423">
        <v>247.4365</v>
      </c>
      <c r="I121" s="420">
        <v>491.37139999999999</v>
      </c>
      <c r="J121" s="421">
        <v>148.87139999991001</v>
      </c>
      <c r="K121" s="424">
        <v>0.23911017031599999</v>
      </c>
    </row>
    <row r="122" spans="1:11" ht="14.4" customHeight="1" thickBot="1" x14ac:dyDescent="0.35">
      <c r="A122" s="437" t="s">
        <v>388</v>
      </c>
      <c r="B122" s="415">
        <v>362</v>
      </c>
      <c r="C122" s="415">
        <v>448.73205999999999</v>
      </c>
      <c r="D122" s="416">
        <v>86.732059999998995</v>
      </c>
      <c r="E122" s="417">
        <v>1.2395913259660001</v>
      </c>
      <c r="F122" s="415">
        <v>503.00000000013102</v>
      </c>
      <c r="G122" s="416">
        <v>83.833333333355</v>
      </c>
      <c r="H122" s="418">
        <v>72.17868</v>
      </c>
      <c r="I122" s="415">
        <v>121.89498</v>
      </c>
      <c r="J122" s="416">
        <v>38.061646666644002</v>
      </c>
      <c r="K122" s="419">
        <v>0.24233594433299999</v>
      </c>
    </row>
    <row r="123" spans="1:11" ht="14.4" customHeight="1" thickBot="1" x14ac:dyDescent="0.35">
      <c r="A123" s="437" t="s">
        <v>389</v>
      </c>
      <c r="B123" s="415">
        <v>1175</v>
      </c>
      <c r="C123" s="415">
        <v>1518.7272</v>
      </c>
      <c r="D123" s="416">
        <v>343.72719999999998</v>
      </c>
      <c r="E123" s="417">
        <v>1.2925337872339999</v>
      </c>
      <c r="F123" s="415">
        <v>1552.00000000041</v>
      </c>
      <c r="G123" s="416">
        <v>258.66666666673399</v>
      </c>
      <c r="H123" s="418">
        <v>175.25782000000001</v>
      </c>
      <c r="I123" s="415">
        <v>369.47642000000002</v>
      </c>
      <c r="J123" s="416">
        <v>110.809753333266</v>
      </c>
      <c r="K123" s="419">
        <v>0.238064703608</v>
      </c>
    </row>
    <row r="124" spans="1:11" ht="14.4" customHeight="1" thickBot="1" x14ac:dyDescent="0.35">
      <c r="A124" s="436" t="s">
        <v>390</v>
      </c>
      <c r="B124" s="420">
        <v>0</v>
      </c>
      <c r="C124" s="420">
        <v>155.03717</v>
      </c>
      <c r="D124" s="421">
        <v>155.03717</v>
      </c>
      <c r="E124" s="422" t="s">
        <v>274</v>
      </c>
      <c r="F124" s="420">
        <v>0</v>
      </c>
      <c r="G124" s="421">
        <v>0</v>
      </c>
      <c r="H124" s="423">
        <v>0</v>
      </c>
      <c r="I124" s="420">
        <v>-0.81081999999999999</v>
      </c>
      <c r="J124" s="421">
        <v>-0.81081999999999999</v>
      </c>
      <c r="K124" s="428" t="s">
        <v>274</v>
      </c>
    </row>
    <row r="125" spans="1:11" ht="14.4" customHeight="1" thickBot="1" x14ac:dyDescent="0.35">
      <c r="A125" s="437" t="s">
        <v>391</v>
      </c>
      <c r="B125" s="415">
        <v>0</v>
      </c>
      <c r="C125" s="415">
        <v>2.51877</v>
      </c>
      <c r="D125" s="416">
        <v>2.51877</v>
      </c>
      <c r="E125" s="425" t="s">
        <v>274</v>
      </c>
      <c r="F125" s="415">
        <v>0</v>
      </c>
      <c r="G125" s="416">
        <v>0</v>
      </c>
      <c r="H125" s="418">
        <v>0</v>
      </c>
      <c r="I125" s="415">
        <v>0</v>
      </c>
      <c r="J125" s="416">
        <v>0</v>
      </c>
      <c r="K125" s="427" t="s">
        <v>274</v>
      </c>
    </row>
    <row r="126" spans="1:11" ht="14.4" customHeight="1" thickBot="1" x14ac:dyDescent="0.35">
      <c r="A126" s="437" t="s">
        <v>392</v>
      </c>
      <c r="B126" s="415">
        <v>0</v>
      </c>
      <c r="C126" s="415">
        <v>152.51840000000001</v>
      </c>
      <c r="D126" s="416">
        <v>152.51840000000001</v>
      </c>
      <c r="E126" s="425" t="s">
        <v>274</v>
      </c>
      <c r="F126" s="415">
        <v>0</v>
      </c>
      <c r="G126" s="416">
        <v>0</v>
      </c>
      <c r="H126" s="418">
        <v>0</v>
      </c>
      <c r="I126" s="415">
        <v>-0.81081999999999999</v>
      </c>
      <c r="J126" s="416">
        <v>-0.81081999999999999</v>
      </c>
      <c r="K126" s="427" t="s">
        <v>274</v>
      </c>
    </row>
    <row r="127" spans="1:11" ht="14.4" customHeight="1" thickBot="1" x14ac:dyDescent="0.35">
      <c r="A127" s="434" t="s">
        <v>393</v>
      </c>
      <c r="B127" s="415">
        <v>3.9707430984249998</v>
      </c>
      <c r="C127" s="415">
        <v>62.414900000000003</v>
      </c>
      <c r="D127" s="416">
        <v>58.444156901573997</v>
      </c>
      <c r="E127" s="417">
        <v>15.718695078696999</v>
      </c>
      <c r="F127" s="415">
        <v>49.144682333295002</v>
      </c>
      <c r="G127" s="416">
        <v>8.1907803888820006</v>
      </c>
      <c r="H127" s="418">
        <v>0.41399999999999998</v>
      </c>
      <c r="I127" s="415">
        <v>2.6981099999999998</v>
      </c>
      <c r="J127" s="416">
        <v>-5.4926703888819999</v>
      </c>
      <c r="K127" s="419">
        <v>5.4901362097999999E-2</v>
      </c>
    </row>
    <row r="128" spans="1:11" ht="14.4" customHeight="1" thickBot="1" x14ac:dyDescent="0.35">
      <c r="A128" s="435" t="s">
        <v>394</v>
      </c>
      <c r="B128" s="415">
        <v>0</v>
      </c>
      <c r="C128" s="415">
        <v>5.7190000000000003</v>
      </c>
      <c r="D128" s="416">
        <v>5.7190000000000003</v>
      </c>
      <c r="E128" s="425" t="s">
        <v>274</v>
      </c>
      <c r="F128" s="415">
        <v>0</v>
      </c>
      <c r="G128" s="416">
        <v>0</v>
      </c>
      <c r="H128" s="418">
        <v>0.41399999999999998</v>
      </c>
      <c r="I128" s="415">
        <v>0.621</v>
      </c>
      <c r="J128" s="416">
        <v>0.621</v>
      </c>
      <c r="K128" s="427" t="s">
        <v>274</v>
      </c>
    </row>
    <row r="129" spans="1:11" ht="14.4" customHeight="1" thickBot="1" x14ac:dyDescent="0.35">
      <c r="A129" s="436" t="s">
        <v>395</v>
      </c>
      <c r="B129" s="420">
        <v>0</v>
      </c>
      <c r="C129" s="420">
        <v>5.7190000000000003</v>
      </c>
      <c r="D129" s="421">
        <v>5.7190000000000003</v>
      </c>
      <c r="E129" s="422" t="s">
        <v>274</v>
      </c>
      <c r="F129" s="420">
        <v>0</v>
      </c>
      <c r="G129" s="421">
        <v>0</v>
      </c>
      <c r="H129" s="423">
        <v>0.41399999999999998</v>
      </c>
      <c r="I129" s="420">
        <v>0.621</v>
      </c>
      <c r="J129" s="421">
        <v>0.621</v>
      </c>
      <c r="K129" s="428" t="s">
        <v>274</v>
      </c>
    </row>
    <row r="130" spans="1:11" ht="14.4" customHeight="1" thickBot="1" x14ac:dyDescent="0.35">
      <c r="A130" s="437" t="s">
        <v>396</v>
      </c>
      <c r="B130" s="415">
        <v>0</v>
      </c>
      <c r="C130" s="415">
        <v>5.7190000000000003</v>
      </c>
      <c r="D130" s="416">
        <v>5.7190000000000003</v>
      </c>
      <c r="E130" s="425" t="s">
        <v>274</v>
      </c>
      <c r="F130" s="415">
        <v>0</v>
      </c>
      <c r="G130" s="416">
        <v>0</v>
      </c>
      <c r="H130" s="418">
        <v>0.41399999999999998</v>
      </c>
      <c r="I130" s="415">
        <v>0.621</v>
      </c>
      <c r="J130" s="416">
        <v>0.621</v>
      </c>
      <c r="K130" s="427" t="s">
        <v>274</v>
      </c>
    </row>
    <row r="131" spans="1:11" ht="14.4" customHeight="1" thickBot="1" x14ac:dyDescent="0.35">
      <c r="A131" s="440" t="s">
        <v>397</v>
      </c>
      <c r="B131" s="420">
        <v>3.9707430984249998</v>
      </c>
      <c r="C131" s="420">
        <v>56.695900000000002</v>
      </c>
      <c r="D131" s="421">
        <v>52.725156901574003</v>
      </c>
      <c r="E131" s="426">
        <v>14.278410512751</v>
      </c>
      <c r="F131" s="420">
        <v>49.144682333295002</v>
      </c>
      <c r="G131" s="421">
        <v>8.1907803888820006</v>
      </c>
      <c r="H131" s="423">
        <v>0</v>
      </c>
      <c r="I131" s="420">
        <v>2.0771099999999998</v>
      </c>
      <c r="J131" s="421">
        <v>-6.1136703888820003</v>
      </c>
      <c r="K131" s="424">
        <v>4.2265203504000003E-2</v>
      </c>
    </row>
    <row r="132" spans="1:11" ht="14.4" customHeight="1" thickBot="1" x14ac:dyDescent="0.35">
      <c r="A132" s="436" t="s">
        <v>398</v>
      </c>
      <c r="B132" s="420">
        <v>0</v>
      </c>
      <c r="C132" s="420">
        <v>-1.3999999999999999E-4</v>
      </c>
      <c r="D132" s="421">
        <v>-1.3999999999999999E-4</v>
      </c>
      <c r="E132" s="422" t="s">
        <v>274</v>
      </c>
      <c r="F132" s="420">
        <v>0</v>
      </c>
      <c r="G132" s="421">
        <v>0</v>
      </c>
      <c r="H132" s="423">
        <v>0</v>
      </c>
      <c r="I132" s="420">
        <v>-1.0000000000000001E-5</v>
      </c>
      <c r="J132" s="421">
        <v>-1.0000000000000001E-5</v>
      </c>
      <c r="K132" s="428" t="s">
        <v>274</v>
      </c>
    </row>
    <row r="133" spans="1:11" ht="14.4" customHeight="1" thickBot="1" x14ac:dyDescent="0.35">
      <c r="A133" s="437" t="s">
        <v>399</v>
      </c>
      <c r="B133" s="415">
        <v>0</v>
      </c>
      <c r="C133" s="415">
        <v>-1.3999999999999999E-4</v>
      </c>
      <c r="D133" s="416">
        <v>-1.3999999999999999E-4</v>
      </c>
      <c r="E133" s="425" t="s">
        <v>274</v>
      </c>
      <c r="F133" s="415">
        <v>0</v>
      </c>
      <c r="G133" s="416">
        <v>0</v>
      </c>
      <c r="H133" s="418">
        <v>0</v>
      </c>
      <c r="I133" s="415">
        <v>-1.0000000000000001E-5</v>
      </c>
      <c r="J133" s="416">
        <v>-1.0000000000000001E-5</v>
      </c>
      <c r="K133" s="427" t="s">
        <v>274</v>
      </c>
    </row>
    <row r="134" spans="1:11" ht="14.4" customHeight="1" thickBot="1" x14ac:dyDescent="0.35">
      <c r="A134" s="436" t="s">
        <v>400</v>
      </c>
      <c r="B134" s="420">
        <v>3.9707430984249998</v>
      </c>
      <c r="C134" s="420">
        <v>56.696040000000004</v>
      </c>
      <c r="D134" s="421">
        <v>52.725296901573998</v>
      </c>
      <c r="E134" s="426">
        <v>14.278445770635001</v>
      </c>
      <c r="F134" s="420">
        <v>49.144682333295002</v>
      </c>
      <c r="G134" s="421">
        <v>8.1907803888820006</v>
      </c>
      <c r="H134" s="423">
        <v>0</v>
      </c>
      <c r="I134" s="420">
        <v>2.0771199999999999</v>
      </c>
      <c r="J134" s="421">
        <v>-6.1136603888819998</v>
      </c>
      <c r="K134" s="424">
        <v>4.2265406984999997E-2</v>
      </c>
    </row>
    <row r="135" spans="1:11" ht="14.4" customHeight="1" thickBot="1" x14ac:dyDescent="0.35">
      <c r="A135" s="437" t="s">
        <v>401</v>
      </c>
      <c r="B135" s="415">
        <v>0</v>
      </c>
      <c r="C135" s="415">
        <v>0.16700000000000001</v>
      </c>
      <c r="D135" s="416">
        <v>0.16700000000000001</v>
      </c>
      <c r="E135" s="425" t="s">
        <v>274</v>
      </c>
      <c r="F135" s="415">
        <v>0.14468233329499999</v>
      </c>
      <c r="G135" s="416">
        <v>2.4113722215000001E-2</v>
      </c>
      <c r="H135" s="418">
        <v>0</v>
      </c>
      <c r="I135" s="415">
        <v>1.0999999999999999E-2</v>
      </c>
      <c r="J135" s="416">
        <v>-1.3113722215E-2</v>
      </c>
      <c r="K135" s="419">
        <v>7.6028632863000004E-2</v>
      </c>
    </row>
    <row r="136" spans="1:11" ht="14.4" customHeight="1" thickBot="1" x14ac:dyDescent="0.35">
      <c r="A136" s="437" t="s">
        <v>402</v>
      </c>
      <c r="B136" s="415">
        <v>3.9707430984249998</v>
      </c>
      <c r="C136" s="415">
        <v>56.529040000000002</v>
      </c>
      <c r="D136" s="416">
        <v>52.558296901574003</v>
      </c>
      <c r="E136" s="417">
        <v>14.236388151730999</v>
      </c>
      <c r="F136" s="415">
        <v>49</v>
      </c>
      <c r="G136" s="416">
        <v>8.1666666666659999</v>
      </c>
      <c r="H136" s="418">
        <v>0</v>
      </c>
      <c r="I136" s="415">
        <v>2.0661200000000002</v>
      </c>
      <c r="J136" s="416">
        <v>-6.1005466666660002</v>
      </c>
      <c r="K136" s="419">
        <v>4.2165714285000003E-2</v>
      </c>
    </row>
    <row r="137" spans="1:11" ht="14.4" customHeight="1" thickBot="1" x14ac:dyDescent="0.35">
      <c r="A137" s="433" t="s">
        <v>403</v>
      </c>
      <c r="B137" s="415">
        <v>855.00056705415398</v>
      </c>
      <c r="C137" s="415">
        <v>862.57258000000002</v>
      </c>
      <c r="D137" s="416">
        <v>7.5720129458459997</v>
      </c>
      <c r="E137" s="417">
        <v>1.008856149618</v>
      </c>
      <c r="F137" s="415">
        <v>0</v>
      </c>
      <c r="G137" s="416">
        <v>0</v>
      </c>
      <c r="H137" s="418">
        <v>62.640140000000002</v>
      </c>
      <c r="I137" s="415">
        <v>138.48898</v>
      </c>
      <c r="J137" s="416">
        <v>138.48898</v>
      </c>
      <c r="K137" s="427" t="s">
        <v>274</v>
      </c>
    </row>
    <row r="138" spans="1:11" ht="14.4" customHeight="1" thickBot="1" x14ac:dyDescent="0.35">
      <c r="A138" s="438" t="s">
        <v>404</v>
      </c>
      <c r="B138" s="420">
        <v>855.00056705415398</v>
      </c>
      <c r="C138" s="420">
        <v>862.57258000000002</v>
      </c>
      <c r="D138" s="421">
        <v>7.5720129458459997</v>
      </c>
      <c r="E138" s="426">
        <v>1.008856149618</v>
      </c>
      <c r="F138" s="420">
        <v>0</v>
      </c>
      <c r="G138" s="421">
        <v>0</v>
      </c>
      <c r="H138" s="423">
        <v>62.640140000000002</v>
      </c>
      <c r="I138" s="420">
        <v>138.48898</v>
      </c>
      <c r="J138" s="421">
        <v>138.48898</v>
      </c>
      <c r="K138" s="428" t="s">
        <v>274</v>
      </c>
    </row>
    <row r="139" spans="1:11" ht="14.4" customHeight="1" thickBot="1" x14ac:dyDescent="0.35">
      <c r="A139" s="440" t="s">
        <v>53</v>
      </c>
      <c r="B139" s="420">
        <v>855.00056705415398</v>
      </c>
      <c r="C139" s="420">
        <v>862.57258000000002</v>
      </c>
      <c r="D139" s="421">
        <v>7.5720129458459997</v>
      </c>
      <c r="E139" s="426">
        <v>1.008856149618</v>
      </c>
      <c r="F139" s="420">
        <v>0</v>
      </c>
      <c r="G139" s="421">
        <v>0</v>
      </c>
      <c r="H139" s="423">
        <v>62.640140000000002</v>
      </c>
      <c r="I139" s="420">
        <v>138.48898</v>
      </c>
      <c r="J139" s="421">
        <v>138.48898</v>
      </c>
      <c r="K139" s="428" t="s">
        <v>274</v>
      </c>
    </row>
    <row r="140" spans="1:11" ht="14.4" customHeight="1" thickBot="1" x14ac:dyDescent="0.35">
      <c r="A140" s="436" t="s">
        <v>405</v>
      </c>
      <c r="B140" s="420">
        <v>15</v>
      </c>
      <c r="C140" s="420">
        <v>17.106120000000001</v>
      </c>
      <c r="D140" s="421">
        <v>2.1061200000000002</v>
      </c>
      <c r="E140" s="426">
        <v>1.1404080000000001</v>
      </c>
      <c r="F140" s="420">
        <v>0</v>
      </c>
      <c r="G140" s="421">
        <v>0</v>
      </c>
      <c r="H140" s="423">
        <v>0.95799999999999996</v>
      </c>
      <c r="I140" s="420">
        <v>2.3022499999999999</v>
      </c>
      <c r="J140" s="421">
        <v>2.3022499999999999</v>
      </c>
      <c r="K140" s="428" t="s">
        <v>274</v>
      </c>
    </row>
    <row r="141" spans="1:11" ht="14.4" customHeight="1" thickBot="1" x14ac:dyDescent="0.35">
      <c r="A141" s="437" t="s">
        <v>406</v>
      </c>
      <c r="B141" s="415">
        <v>15</v>
      </c>
      <c r="C141" s="415">
        <v>17.106120000000001</v>
      </c>
      <c r="D141" s="416">
        <v>2.1061200000000002</v>
      </c>
      <c r="E141" s="417">
        <v>1.1404080000000001</v>
      </c>
      <c r="F141" s="415">
        <v>0</v>
      </c>
      <c r="G141" s="416">
        <v>0</v>
      </c>
      <c r="H141" s="418">
        <v>0.95799999999999996</v>
      </c>
      <c r="I141" s="415">
        <v>2.3022499999999999</v>
      </c>
      <c r="J141" s="416">
        <v>2.3022499999999999</v>
      </c>
      <c r="K141" s="427" t="s">
        <v>274</v>
      </c>
    </row>
    <row r="142" spans="1:11" ht="14.4" customHeight="1" thickBot="1" x14ac:dyDescent="0.35">
      <c r="A142" s="436" t="s">
        <v>407</v>
      </c>
      <c r="B142" s="420">
        <v>4.0005670541529996</v>
      </c>
      <c r="C142" s="420">
        <v>5.0763999999999996</v>
      </c>
      <c r="D142" s="421">
        <v>1.0758329458460001</v>
      </c>
      <c r="E142" s="426">
        <v>1.268920113394</v>
      </c>
      <c r="F142" s="420">
        <v>0</v>
      </c>
      <c r="G142" s="421">
        <v>0</v>
      </c>
      <c r="H142" s="423">
        <v>0.58799999999999997</v>
      </c>
      <c r="I142" s="420">
        <v>1.0289999999999999</v>
      </c>
      <c r="J142" s="421">
        <v>1.0289999999999999</v>
      </c>
      <c r="K142" s="428" t="s">
        <v>274</v>
      </c>
    </row>
    <row r="143" spans="1:11" ht="14.4" customHeight="1" thickBot="1" x14ac:dyDescent="0.35">
      <c r="A143" s="437" t="s">
        <v>408</v>
      </c>
      <c r="B143" s="415">
        <v>4.0005670541529996</v>
      </c>
      <c r="C143" s="415">
        <v>5.0763999999999996</v>
      </c>
      <c r="D143" s="416">
        <v>1.0758329458460001</v>
      </c>
      <c r="E143" s="417">
        <v>1.268920113394</v>
      </c>
      <c r="F143" s="415">
        <v>0</v>
      </c>
      <c r="G143" s="416">
        <v>0</v>
      </c>
      <c r="H143" s="418">
        <v>0.58799999999999997</v>
      </c>
      <c r="I143" s="415">
        <v>1.0289999999999999</v>
      </c>
      <c r="J143" s="416">
        <v>1.0289999999999999</v>
      </c>
      <c r="K143" s="427" t="s">
        <v>274</v>
      </c>
    </row>
    <row r="144" spans="1:11" ht="14.4" customHeight="1" thickBot="1" x14ac:dyDescent="0.35">
      <c r="A144" s="436" t="s">
        <v>409</v>
      </c>
      <c r="B144" s="420">
        <v>36</v>
      </c>
      <c r="C144" s="420">
        <v>29.622920000000001</v>
      </c>
      <c r="D144" s="421">
        <v>-6.3770800000000003</v>
      </c>
      <c r="E144" s="426">
        <v>0.82285888888799996</v>
      </c>
      <c r="F144" s="420">
        <v>0</v>
      </c>
      <c r="G144" s="421">
        <v>0</v>
      </c>
      <c r="H144" s="423">
        <v>2.1773600000000002</v>
      </c>
      <c r="I144" s="420">
        <v>4.0183799999999996</v>
      </c>
      <c r="J144" s="421">
        <v>4.0183799999999996</v>
      </c>
      <c r="K144" s="428" t="s">
        <v>274</v>
      </c>
    </row>
    <row r="145" spans="1:11" ht="14.4" customHeight="1" thickBot="1" x14ac:dyDescent="0.35">
      <c r="A145" s="437" t="s">
        <v>410</v>
      </c>
      <c r="B145" s="415">
        <v>36</v>
      </c>
      <c r="C145" s="415">
        <v>29.622920000000001</v>
      </c>
      <c r="D145" s="416">
        <v>-6.3770800000000003</v>
      </c>
      <c r="E145" s="417">
        <v>0.82285888888799996</v>
      </c>
      <c r="F145" s="415">
        <v>0</v>
      </c>
      <c r="G145" s="416">
        <v>0</v>
      </c>
      <c r="H145" s="418">
        <v>2.1773600000000002</v>
      </c>
      <c r="I145" s="415">
        <v>4.0183799999999996</v>
      </c>
      <c r="J145" s="416">
        <v>4.0183799999999996</v>
      </c>
      <c r="K145" s="427" t="s">
        <v>274</v>
      </c>
    </row>
    <row r="146" spans="1:11" ht="14.4" customHeight="1" thickBot="1" x14ac:dyDescent="0.35">
      <c r="A146" s="436" t="s">
        <v>411</v>
      </c>
      <c r="B146" s="420">
        <v>0</v>
      </c>
      <c r="C146" s="420">
        <v>0.78900000000000003</v>
      </c>
      <c r="D146" s="421">
        <v>0.78900000000000003</v>
      </c>
      <c r="E146" s="422" t="s">
        <v>288</v>
      </c>
      <c r="F146" s="420">
        <v>0</v>
      </c>
      <c r="G146" s="421">
        <v>0</v>
      </c>
      <c r="H146" s="423">
        <v>0</v>
      </c>
      <c r="I146" s="420">
        <v>0.224</v>
      </c>
      <c r="J146" s="421">
        <v>0.224</v>
      </c>
      <c r="K146" s="428" t="s">
        <v>274</v>
      </c>
    </row>
    <row r="147" spans="1:11" ht="14.4" customHeight="1" thickBot="1" x14ac:dyDescent="0.35">
      <c r="A147" s="437" t="s">
        <v>412</v>
      </c>
      <c r="B147" s="415">
        <v>0</v>
      </c>
      <c r="C147" s="415">
        <v>0.78900000000000003</v>
      </c>
      <c r="D147" s="416">
        <v>0.78900000000000003</v>
      </c>
      <c r="E147" s="425" t="s">
        <v>288</v>
      </c>
      <c r="F147" s="415">
        <v>0</v>
      </c>
      <c r="G147" s="416">
        <v>0</v>
      </c>
      <c r="H147" s="418">
        <v>0</v>
      </c>
      <c r="I147" s="415">
        <v>0.224</v>
      </c>
      <c r="J147" s="416">
        <v>0.224</v>
      </c>
      <c r="K147" s="427" t="s">
        <v>274</v>
      </c>
    </row>
    <row r="148" spans="1:11" ht="14.4" customHeight="1" thickBot="1" x14ac:dyDescent="0.35">
      <c r="A148" s="436" t="s">
        <v>413</v>
      </c>
      <c r="B148" s="420">
        <v>267</v>
      </c>
      <c r="C148" s="420">
        <v>235.55105</v>
      </c>
      <c r="D148" s="421">
        <v>-31.44895</v>
      </c>
      <c r="E148" s="426">
        <v>0.88221367041099996</v>
      </c>
      <c r="F148" s="420">
        <v>0</v>
      </c>
      <c r="G148" s="421">
        <v>0</v>
      </c>
      <c r="H148" s="423">
        <v>24.619530000000001</v>
      </c>
      <c r="I148" s="420">
        <v>62.167729999999999</v>
      </c>
      <c r="J148" s="421">
        <v>62.167729999999999</v>
      </c>
      <c r="K148" s="428" t="s">
        <v>274</v>
      </c>
    </row>
    <row r="149" spans="1:11" ht="14.4" customHeight="1" thickBot="1" x14ac:dyDescent="0.35">
      <c r="A149" s="437" t="s">
        <v>414</v>
      </c>
      <c r="B149" s="415">
        <v>263</v>
      </c>
      <c r="C149" s="415">
        <v>230.87762000000001</v>
      </c>
      <c r="D149" s="416">
        <v>-32.12238</v>
      </c>
      <c r="E149" s="417">
        <v>0.877861673003</v>
      </c>
      <c r="F149" s="415">
        <v>0</v>
      </c>
      <c r="G149" s="416">
        <v>0</v>
      </c>
      <c r="H149" s="418">
        <v>24.619530000000001</v>
      </c>
      <c r="I149" s="415">
        <v>62.167729999999999</v>
      </c>
      <c r="J149" s="416">
        <v>62.167729999999999</v>
      </c>
      <c r="K149" s="427" t="s">
        <v>274</v>
      </c>
    </row>
    <row r="150" spans="1:11" ht="14.4" customHeight="1" thickBot="1" x14ac:dyDescent="0.35">
      <c r="A150" s="437" t="s">
        <v>415</v>
      </c>
      <c r="B150" s="415">
        <v>4</v>
      </c>
      <c r="C150" s="415">
        <v>4.6734299999999998</v>
      </c>
      <c r="D150" s="416">
        <v>0.673429999999</v>
      </c>
      <c r="E150" s="417">
        <v>1.1683574999999999</v>
      </c>
      <c r="F150" s="415">
        <v>0</v>
      </c>
      <c r="G150" s="416">
        <v>0</v>
      </c>
      <c r="H150" s="418">
        <v>0</v>
      </c>
      <c r="I150" s="415">
        <v>0</v>
      </c>
      <c r="J150" s="416">
        <v>0</v>
      </c>
      <c r="K150" s="427" t="s">
        <v>274</v>
      </c>
    </row>
    <row r="151" spans="1:11" ht="14.4" customHeight="1" thickBot="1" x14ac:dyDescent="0.35">
      <c r="A151" s="436" t="s">
        <v>416</v>
      </c>
      <c r="B151" s="420">
        <v>533</v>
      </c>
      <c r="C151" s="420">
        <v>574.42709000000002</v>
      </c>
      <c r="D151" s="421">
        <v>41.427089999998998</v>
      </c>
      <c r="E151" s="426">
        <v>1.077724371482</v>
      </c>
      <c r="F151" s="420">
        <v>0</v>
      </c>
      <c r="G151" s="421">
        <v>0</v>
      </c>
      <c r="H151" s="423">
        <v>34.297249999999998</v>
      </c>
      <c r="I151" s="420">
        <v>68.747619999999998</v>
      </c>
      <c r="J151" s="421">
        <v>68.747619999999998</v>
      </c>
      <c r="K151" s="428" t="s">
        <v>274</v>
      </c>
    </row>
    <row r="152" spans="1:11" ht="14.4" customHeight="1" thickBot="1" x14ac:dyDescent="0.35">
      <c r="A152" s="437" t="s">
        <v>417</v>
      </c>
      <c r="B152" s="415">
        <v>533</v>
      </c>
      <c r="C152" s="415">
        <v>574.42709000000002</v>
      </c>
      <c r="D152" s="416">
        <v>41.427089999998998</v>
      </c>
      <c r="E152" s="417">
        <v>1.077724371482</v>
      </c>
      <c r="F152" s="415">
        <v>0</v>
      </c>
      <c r="G152" s="416">
        <v>0</v>
      </c>
      <c r="H152" s="418">
        <v>34.297249999999998</v>
      </c>
      <c r="I152" s="415">
        <v>68.747619999999998</v>
      </c>
      <c r="J152" s="416">
        <v>68.747619999999998</v>
      </c>
      <c r="K152" s="427" t="s">
        <v>274</v>
      </c>
    </row>
    <row r="153" spans="1:11" ht="14.4" customHeight="1" thickBot="1" x14ac:dyDescent="0.35">
      <c r="A153" s="441" t="s">
        <v>418</v>
      </c>
      <c r="B153" s="420">
        <v>0</v>
      </c>
      <c r="C153" s="420">
        <v>9.6464499999999997</v>
      </c>
      <c r="D153" s="421">
        <v>9.6464499999999997</v>
      </c>
      <c r="E153" s="422" t="s">
        <v>288</v>
      </c>
      <c r="F153" s="420">
        <v>0</v>
      </c>
      <c r="G153" s="421">
        <v>0</v>
      </c>
      <c r="H153" s="423">
        <v>1.3181499999999999</v>
      </c>
      <c r="I153" s="420">
        <v>3.1650100000000001</v>
      </c>
      <c r="J153" s="421">
        <v>3.1650100000000001</v>
      </c>
      <c r="K153" s="428" t="s">
        <v>274</v>
      </c>
    </row>
    <row r="154" spans="1:11" ht="14.4" customHeight="1" thickBot="1" x14ac:dyDescent="0.35">
      <c r="A154" s="438" t="s">
        <v>419</v>
      </c>
      <c r="B154" s="420">
        <v>0</v>
      </c>
      <c r="C154" s="420">
        <v>9.6464499999999997</v>
      </c>
      <c r="D154" s="421">
        <v>9.6464499999999997</v>
      </c>
      <c r="E154" s="422" t="s">
        <v>288</v>
      </c>
      <c r="F154" s="420">
        <v>0</v>
      </c>
      <c r="G154" s="421">
        <v>0</v>
      </c>
      <c r="H154" s="423">
        <v>1.3181499999999999</v>
      </c>
      <c r="I154" s="420">
        <v>3.1650100000000001</v>
      </c>
      <c r="J154" s="421">
        <v>3.1650100000000001</v>
      </c>
      <c r="K154" s="428" t="s">
        <v>274</v>
      </c>
    </row>
    <row r="155" spans="1:11" ht="14.4" customHeight="1" thickBot="1" x14ac:dyDescent="0.35">
      <c r="A155" s="440" t="s">
        <v>420</v>
      </c>
      <c r="B155" s="420">
        <v>0</v>
      </c>
      <c r="C155" s="420">
        <v>9.6464499999999997</v>
      </c>
      <c r="D155" s="421">
        <v>9.6464499999999997</v>
      </c>
      <c r="E155" s="422" t="s">
        <v>288</v>
      </c>
      <c r="F155" s="420">
        <v>0</v>
      </c>
      <c r="G155" s="421">
        <v>0</v>
      </c>
      <c r="H155" s="423">
        <v>1.3181499999999999</v>
      </c>
      <c r="I155" s="420">
        <v>3.1650100000000001</v>
      </c>
      <c r="J155" s="421">
        <v>3.1650100000000001</v>
      </c>
      <c r="K155" s="428" t="s">
        <v>274</v>
      </c>
    </row>
    <row r="156" spans="1:11" ht="14.4" customHeight="1" thickBot="1" x14ac:dyDescent="0.35">
      <c r="A156" s="436" t="s">
        <v>421</v>
      </c>
      <c r="B156" s="420">
        <v>0</v>
      </c>
      <c r="C156" s="420">
        <v>9.6464499999999997</v>
      </c>
      <c r="D156" s="421">
        <v>9.6464499999999997</v>
      </c>
      <c r="E156" s="422" t="s">
        <v>288</v>
      </c>
      <c r="F156" s="420">
        <v>0</v>
      </c>
      <c r="G156" s="421">
        <v>0</v>
      </c>
      <c r="H156" s="423">
        <v>1.3181499999999999</v>
      </c>
      <c r="I156" s="420">
        <v>3.1650100000000001</v>
      </c>
      <c r="J156" s="421">
        <v>3.1650100000000001</v>
      </c>
      <c r="K156" s="428" t="s">
        <v>274</v>
      </c>
    </row>
    <row r="157" spans="1:11" ht="14.4" customHeight="1" thickBot="1" x14ac:dyDescent="0.35">
      <c r="A157" s="437" t="s">
        <v>422</v>
      </c>
      <c r="B157" s="415">
        <v>0</v>
      </c>
      <c r="C157" s="415">
        <v>9.6464499999999997</v>
      </c>
      <c r="D157" s="416">
        <v>9.6464499999999997</v>
      </c>
      <c r="E157" s="425" t="s">
        <v>288</v>
      </c>
      <c r="F157" s="415">
        <v>0</v>
      </c>
      <c r="G157" s="416">
        <v>0</v>
      </c>
      <c r="H157" s="418">
        <v>1.3181499999999999</v>
      </c>
      <c r="I157" s="415">
        <v>3.1650100000000001</v>
      </c>
      <c r="J157" s="416">
        <v>3.1650100000000001</v>
      </c>
      <c r="K157" s="427" t="s">
        <v>274</v>
      </c>
    </row>
    <row r="158" spans="1:11" ht="14.4" customHeight="1" thickBot="1" x14ac:dyDescent="0.35">
      <c r="A158" s="442"/>
      <c r="B158" s="415">
        <v>-3812.8483126163901</v>
      </c>
      <c r="C158" s="415">
        <v>-3240.8558499999999</v>
      </c>
      <c r="D158" s="416">
        <v>571.99246261638302</v>
      </c>
      <c r="E158" s="417">
        <v>0.84998289579800002</v>
      </c>
      <c r="F158" s="415">
        <v>-2297.7342441318801</v>
      </c>
      <c r="G158" s="416">
        <v>-382.95570735531402</v>
      </c>
      <c r="H158" s="418">
        <v>-53.682670000000002</v>
      </c>
      <c r="I158" s="415">
        <v>-186.159140000001</v>
      </c>
      <c r="J158" s="416">
        <v>196.79656735531299</v>
      </c>
      <c r="K158" s="419">
        <v>8.1018568824999998E-2</v>
      </c>
    </row>
    <row r="159" spans="1:11" ht="14.4" customHeight="1" thickBot="1" x14ac:dyDescent="0.35">
      <c r="A159" s="443" t="s">
        <v>65</v>
      </c>
      <c r="B159" s="429">
        <v>-3812.8483126163901</v>
      </c>
      <c r="C159" s="429">
        <v>-3240.8558499999999</v>
      </c>
      <c r="D159" s="430">
        <v>571.99246261638302</v>
      </c>
      <c r="E159" s="431" t="s">
        <v>288</v>
      </c>
      <c r="F159" s="429">
        <v>-2297.7342441318801</v>
      </c>
      <c r="G159" s="430">
        <v>-382.95570735531402</v>
      </c>
      <c r="H159" s="429">
        <v>-53.682670000000002</v>
      </c>
      <c r="I159" s="429">
        <v>-186.159140000001</v>
      </c>
      <c r="J159" s="430">
        <v>196.79656735531299</v>
      </c>
      <c r="K159" s="432">
        <v>8.1018568824999998E-2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136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273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237</v>
      </c>
      <c r="C4" s="352" t="s">
        <v>72</v>
      </c>
      <c r="D4" s="353"/>
      <c r="E4" s="300"/>
      <c r="F4" s="295" t="s">
        <v>72</v>
      </c>
      <c r="G4" s="296" t="s">
        <v>73</v>
      </c>
      <c r="H4" s="296" t="s">
        <v>67</v>
      </c>
      <c r="I4" s="297" t="s">
        <v>74</v>
      </c>
    </row>
    <row r="5" spans="1:10" ht="14.4" customHeight="1" x14ac:dyDescent="0.3">
      <c r="A5" s="444" t="s">
        <v>423</v>
      </c>
      <c r="B5" s="445" t="s">
        <v>424</v>
      </c>
      <c r="C5" s="446" t="s">
        <v>425</v>
      </c>
      <c r="D5" s="446" t="s">
        <v>425</v>
      </c>
      <c r="E5" s="446"/>
      <c r="F5" s="446" t="s">
        <v>425</v>
      </c>
      <c r="G5" s="446" t="s">
        <v>425</v>
      </c>
      <c r="H5" s="446" t="s">
        <v>425</v>
      </c>
      <c r="I5" s="447" t="s">
        <v>425</v>
      </c>
      <c r="J5" s="448" t="s">
        <v>68</v>
      </c>
    </row>
    <row r="6" spans="1:10" ht="14.4" customHeight="1" x14ac:dyDescent="0.3">
      <c r="A6" s="444" t="s">
        <v>423</v>
      </c>
      <c r="B6" s="445" t="s">
        <v>282</v>
      </c>
      <c r="C6" s="446">
        <v>0.41830000000000001</v>
      </c>
      <c r="D6" s="446">
        <v>0.22811000000000001</v>
      </c>
      <c r="E6" s="446"/>
      <c r="F6" s="446">
        <v>0</v>
      </c>
      <c r="G6" s="446">
        <v>0.39045623634950005</v>
      </c>
      <c r="H6" s="446">
        <v>-0.39045623634950005</v>
      </c>
      <c r="I6" s="447">
        <v>0</v>
      </c>
      <c r="J6" s="448" t="s">
        <v>1</v>
      </c>
    </row>
    <row r="7" spans="1:10" ht="14.4" customHeight="1" x14ac:dyDescent="0.3">
      <c r="A7" s="444" t="s">
        <v>423</v>
      </c>
      <c r="B7" s="445" t="s">
        <v>426</v>
      </c>
      <c r="C7" s="446">
        <v>0</v>
      </c>
      <c r="D7" s="446">
        <v>0</v>
      </c>
      <c r="E7" s="446"/>
      <c r="F7" s="446" t="s">
        <v>425</v>
      </c>
      <c r="G7" s="446" t="s">
        <v>425</v>
      </c>
      <c r="H7" s="446" t="s">
        <v>425</v>
      </c>
      <c r="I7" s="447" t="s">
        <v>425</v>
      </c>
      <c r="J7" s="448" t="s">
        <v>1</v>
      </c>
    </row>
    <row r="8" spans="1:10" ht="14.4" customHeight="1" x14ac:dyDescent="0.3">
      <c r="A8" s="444" t="s">
        <v>423</v>
      </c>
      <c r="B8" s="445" t="s">
        <v>427</v>
      </c>
      <c r="C8" s="446">
        <v>0.41830000000000001</v>
      </c>
      <c r="D8" s="446">
        <v>0.22811000000000001</v>
      </c>
      <c r="E8" s="446"/>
      <c r="F8" s="446">
        <v>0</v>
      </c>
      <c r="G8" s="446">
        <v>0.39045623634950005</v>
      </c>
      <c r="H8" s="446">
        <v>-0.39045623634950005</v>
      </c>
      <c r="I8" s="447">
        <v>0</v>
      </c>
      <c r="J8" s="448" t="s">
        <v>428</v>
      </c>
    </row>
    <row r="10" spans="1:10" ht="14.4" customHeight="1" x14ac:dyDescent="0.3">
      <c r="A10" s="444" t="s">
        <v>423</v>
      </c>
      <c r="B10" s="445" t="s">
        <v>424</v>
      </c>
      <c r="C10" s="446" t="s">
        <v>425</v>
      </c>
      <c r="D10" s="446" t="s">
        <v>425</v>
      </c>
      <c r="E10" s="446"/>
      <c r="F10" s="446" t="s">
        <v>425</v>
      </c>
      <c r="G10" s="446" t="s">
        <v>425</v>
      </c>
      <c r="H10" s="446" t="s">
        <v>425</v>
      </c>
      <c r="I10" s="447" t="s">
        <v>425</v>
      </c>
      <c r="J10" s="448" t="s">
        <v>68</v>
      </c>
    </row>
    <row r="11" spans="1:10" ht="14.4" customHeight="1" x14ac:dyDescent="0.3">
      <c r="A11" s="444" t="s">
        <v>429</v>
      </c>
      <c r="B11" s="445" t="s">
        <v>430</v>
      </c>
      <c r="C11" s="446" t="s">
        <v>425</v>
      </c>
      <c r="D11" s="446" t="s">
        <v>425</v>
      </c>
      <c r="E11" s="446"/>
      <c r="F11" s="446" t="s">
        <v>425</v>
      </c>
      <c r="G11" s="446" t="s">
        <v>425</v>
      </c>
      <c r="H11" s="446" t="s">
        <v>425</v>
      </c>
      <c r="I11" s="447" t="s">
        <v>425</v>
      </c>
      <c r="J11" s="448" t="s">
        <v>0</v>
      </c>
    </row>
    <row r="12" spans="1:10" ht="14.4" customHeight="1" x14ac:dyDescent="0.3">
      <c r="A12" s="444" t="s">
        <v>429</v>
      </c>
      <c r="B12" s="445" t="s">
        <v>282</v>
      </c>
      <c r="C12" s="446">
        <v>0.41830000000000001</v>
      </c>
      <c r="D12" s="446">
        <v>0.22811000000000001</v>
      </c>
      <c r="E12" s="446"/>
      <c r="F12" s="446">
        <v>0</v>
      </c>
      <c r="G12" s="446">
        <v>0.39045623634950005</v>
      </c>
      <c r="H12" s="446">
        <v>-0.39045623634950005</v>
      </c>
      <c r="I12" s="447">
        <v>0</v>
      </c>
      <c r="J12" s="448" t="s">
        <v>1</v>
      </c>
    </row>
    <row r="13" spans="1:10" ht="14.4" customHeight="1" x14ac:dyDescent="0.3">
      <c r="A13" s="444" t="s">
        <v>429</v>
      </c>
      <c r="B13" s="445" t="s">
        <v>426</v>
      </c>
      <c r="C13" s="446">
        <v>0</v>
      </c>
      <c r="D13" s="446">
        <v>0</v>
      </c>
      <c r="E13" s="446"/>
      <c r="F13" s="446" t="s">
        <v>425</v>
      </c>
      <c r="G13" s="446" t="s">
        <v>425</v>
      </c>
      <c r="H13" s="446" t="s">
        <v>425</v>
      </c>
      <c r="I13" s="447" t="s">
        <v>425</v>
      </c>
      <c r="J13" s="448" t="s">
        <v>1</v>
      </c>
    </row>
    <row r="14" spans="1:10" ht="14.4" customHeight="1" x14ac:dyDescent="0.3">
      <c r="A14" s="444" t="s">
        <v>429</v>
      </c>
      <c r="B14" s="445" t="s">
        <v>431</v>
      </c>
      <c r="C14" s="446">
        <v>0.41830000000000001</v>
      </c>
      <c r="D14" s="446">
        <v>0.22811000000000001</v>
      </c>
      <c r="E14" s="446"/>
      <c r="F14" s="446">
        <v>0</v>
      </c>
      <c r="G14" s="446">
        <v>0.39045623634950005</v>
      </c>
      <c r="H14" s="446">
        <v>-0.39045623634950005</v>
      </c>
      <c r="I14" s="447">
        <v>0</v>
      </c>
      <c r="J14" s="448" t="s">
        <v>432</v>
      </c>
    </row>
    <row r="15" spans="1:10" ht="14.4" customHeight="1" x14ac:dyDescent="0.3">
      <c r="A15" s="444" t="s">
        <v>425</v>
      </c>
      <c r="B15" s="445" t="s">
        <v>425</v>
      </c>
      <c r="C15" s="446" t="s">
        <v>425</v>
      </c>
      <c r="D15" s="446" t="s">
        <v>425</v>
      </c>
      <c r="E15" s="446"/>
      <c r="F15" s="446" t="s">
        <v>425</v>
      </c>
      <c r="G15" s="446" t="s">
        <v>425</v>
      </c>
      <c r="H15" s="446" t="s">
        <v>425</v>
      </c>
      <c r="I15" s="447" t="s">
        <v>425</v>
      </c>
      <c r="J15" s="448" t="s">
        <v>433</v>
      </c>
    </row>
    <row r="16" spans="1:10" ht="14.4" customHeight="1" x14ac:dyDescent="0.3">
      <c r="A16" s="444" t="s">
        <v>423</v>
      </c>
      <c r="B16" s="445" t="s">
        <v>427</v>
      </c>
      <c r="C16" s="446">
        <v>0.41830000000000001</v>
      </c>
      <c r="D16" s="446">
        <v>0.22811000000000001</v>
      </c>
      <c r="E16" s="446"/>
      <c r="F16" s="446">
        <v>0</v>
      </c>
      <c r="G16" s="446">
        <v>0.39045623634950005</v>
      </c>
      <c r="H16" s="446">
        <v>-0.39045623634950005</v>
      </c>
      <c r="I16" s="447">
        <v>0</v>
      </c>
      <c r="J16" s="448" t="s">
        <v>428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1" t="s">
        <v>238</v>
      </c>
      <c r="B1" s="361"/>
      <c r="C1" s="361"/>
      <c r="D1" s="361"/>
      <c r="E1" s="361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273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2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4" t="s">
        <v>240</v>
      </c>
      <c r="C4" s="375"/>
      <c r="D4" s="375"/>
      <c r="E4" s="376"/>
      <c r="F4" s="371" t="s">
        <v>245</v>
      </c>
      <c r="G4" s="372"/>
      <c r="H4" s="372"/>
      <c r="I4" s="373"/>
      <c r="J4" s="374" t="s">
        <v>246</v>
      </c>
      <c r="K4" s="375"/>
      <c r="L4" s="375"/>
      <c r="M4" s="376"/>
      <c r="N4" s="371" t="s">
        <v>247</v>
      </c>
      <c r="O4" s="372"/>
      <c r="P4" s="372"/>
      <c r="Q4" s="373"/>
    </row>
    <row r="5" spans="1:17" ht="14.4" customHeight="1" thickBot="1" x14ac:dyDescent="0.35">
      <c r="A5" s="449" t="s">
        <v>239</v>
      </c>
      <c r="B5" s="450" t="s">
        <v>241</v>
      </c>
      <c r="C5" s="450" t="s">
        <v>242</v>
      </c>
      <c r="D5" s="450" t="s">
        <v>243</v>
      </c>
      <c r="E5" s="451" t="s">
        <v>244</v>
      </c>
      <c r="F5" s="452" t="s">
        <v>241</v>
      </c>
      <c r="G5" s="453" t="s">
        <v>242</v>
      </c>
      <c r="H5" s="453" t="s">
        <v>243</v>
      </c>
      <c r="I5" s="454" t="s">
        <v>244</v>
      </c>
      <c r="J5" s="450" t="s">
        <v>241</v>
      </c>
      <c r="K5" s="450" t="s">
        <v>242</v>
      </c>
      <c r="L5" s="450" t="s">
        <v>243</v>
      </c>
      <c r="M5" s="451" t="s">
        <v>244</v>
      </c>
      <c r="N5" s="452" t="s">
        <v>241</v>
      </c>
      <c r="O5" s="453" t="s">
        <v>242</v>
      </c>
      <c r="P5" s="453" t="s">
        <v>243</v>
      </c>
      <c r="Q5" s="454" t="s">
        <v>244</v>
      </c>
    </row>
    <row r="6" spans="1:17" ht="14.4" customHeight="1" x14ac:dyDescent="0.3">
      <c r="A6" s="461" t="s">
        <v>434</v>
      </c>
      <c r="B6" s="465"/>
      <c r="C6" s="455"/>
      <c r="D6" s="455"/>
      <c r="E6" s="467"/>
      <c r="F6" s="463"/>
      <c r="G6" s="456"/>
      <c r="H6" s="456"/>
      <c r="I6" s="469"/>
      <c r="J6" s="465"/>
      <c r="K6" s="455"/>
      <c r="L6" s="455"/>
      <c r="M6" s="467"/>
      <c r="N6" s="463"/>
      <c r="O6" s="456"/>
      <c r="P6" s="456"/>
      <c r="Q6" s="457"/>
    </row>
    <row r="7" spans="1:17" ht="14.4" customHeight="1" thickBot="1" x14ac:dyDescent="0.35">
      <c r="A7" s="462" t="s">
        <v>435</v>
      </c>
      <c r="B7" s="466">
        <v>2</v>
      </c>
      <c r="C7" s="458"/>
      <c r="D7" s="458"/>
      <c r="E7" s="468"/>
      <c r="F7" s="464">
        <v>1</v>
      </c>
      <c r="G7" s="459">
        <v>0</v>
      </c>
      <c r="H7" s="459">
        <v>0</v>
      </c>
      <c r="I7" s="470">
        <v>0</v>
      </c>
      <c r="J7" s="466">
        <v>1</v>
      </c>
      <c r="K7" s="458"/>
      <c r="L7" s="458"/>
      <c r="M7" s="468"/>
      <c r="N7" s="464">
        <v>1</v>
      </c>
      <c r="O7" s="459">
        <v>0</v>
      </c>
      <c r="P7" s="459">
        <v>0</v>
      </c>
      <c r="Q7" s="46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1" t="s">
        <v>137</v>
      </c>
      <c r="B1" s="361"/>
      <c r="C1" s="361"/>
      <c r="D1" s="361"/>
      <c r="E1" s="361"/>
      <c r="F1" s="361"/>
      <c r="G1" s="361"/>
      <c r="H1" s="361"/>
      <c r="I1" s="326"/>
      <c r="J1" s="326"/>
      <c r="K1" s="326"/>
      <c r="L1" s="326"/>
    </row>
    <row r="2" spans="1:14" ht="14.4" customHeight="1" thickBot="1" x14ac:dyDescent="0.35">
      <c r="A2" s="235" t="s">
        <v>273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78" t="s">
        <v>14</v>
      </c>
      <c r="D3" s="377"/>
      <c r="E3" s="377" t="s">
        <v>15</v>
      </c>
      <c r="F3" s="377"/>
      <c r="G3" s="377"/>
      <c r="H3" s="377"/>
      <c r="I3" s="377" t="s">
        <v>144</v>
      </c>
      <c r="J3" s="377"/>
      <c r="K3" s="377"/>
      <c r="L3" s="379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44">
        <v>27</v>
      </c>
      <c r="B5" s="445" t="s">
        <v>436</v>
      </c>
      <c r="C5" s="448">
        <v>44405.710000000006</v>
      </c>
      <c r="D5" s="448">
        <v>89</v>
      </c>
      <c r="E5" s="448">
        <v>18955.870000000003</v>
      </c>
      <c r="F5" s="471">
        <v>0.42687911081705482</v>
      </c>
      <c r="G5" s="448">
        <v>40</v>
      </c>
      <c r="H5" s="471">
        <v>0.449438202247191</v>
      </c>
      <c r="I5" s="448">
        <v>25449.840000000004</v>
      </c>
      <c r="J5" s="471">
        <v>0.57312088918294513</v>
      </c>
      <c r="K5" s="448">
        <v>49</v>
      </c>
      <c r="L5" s="471">
        <v>0.550561797752809</v>
      </c>
      <c r="M5" s="448" t="s">
        <v>68</v>
      </c>
      <c r="N5" s="151"/>
    </row>
    <row r="6" spans="1:14" ht="14.4" customHeight="1" x14ac:dyDescent="0.3">
      <c r="A6" s="444">
        <v>27</v>
      </c>
      <c r="B6" s="445" t="s">
        <v>437</v>
      </c>
      <c r="C6" s="448">
        <v>44405.710000000006</v>
      </c>
      <c r="D6" s="448">
        <v>89</v>
      </c>
      <c r="E6" s="448">
        <v>18955.870000000003</v>
      </c>
      <c r="F6" s="471">
        <v>0.42687911081705482</v>
      </c>
      <c r="G6" s="448">
        <v>40</v>
      </c>
      <c r="H6" s="471">
        <v>0.449438202247191</v>
      </c>
      <c r="I6" s="448">
        <v>25449.840000000004</v>
      </c>
      <c r="J6" s="471">
        <v>0.57312088918294513</v>
      </c>
      <c r="K6" s="448">
        <v>49</v>
      </c>
      <c r="L6" s="471">
        <v>0.550561797752809</v>
      </c>
      <c r="M6" s="448" t="s">
        <v>1</v>
      </c>
      <c r="N6" s="151"/>
    </row>
    <row r="7" spans="1:14" ht="14.4" customHeight="1" x14ac:dyDescent="0.3">
      <c r="A7" s="444" t="s">
        <v>423</v>
      </c>
      <c r="B7" s="445" t="s">
        <v>3</v>
      </c>
      <c r="C7" s="448">
        <v>44405.710000000006</v>
      </c>
      <c r="D7" s="448">
        <v>89</v>
      </c>
      <c r="E7" s="448">
        <v>18955.870000000003</v>
      </c>
      <c r="F7" s="471">
        <v>0.42687911081705482</v>
      </c>
      <c r="G7" s="448">
        <v>40</v>
      </c>
      <c r="H7" s="471">
        <v>0.449438202247191</v>
      </c>
      <c r="I7" s="448">
        <v>25449.840000000004</v>
      </c>
      <c r="J7" s="471">
        <v>0.57312088918294513</v>
      </c>
      <c r="K7" s="448">
        <v>49</v>
      </c>
      <c r="L7" s="471">
        <v>0.550561797752809</v>
      </c>
      <c r="M7" s="448" t="s">
        <v>428</v>
      </c>
      <c r="N7" s="151"/>
    </row>
    <row r="9" spans="1:14" ht="14.4" customHeight="1" x14ac:dyDescent="0.3">
      <c r="A9" s="444">
        <v>27</v>
      </c>
      <c r="B9" s="445" t="s">
        <v>436</v>
      </c>
      <c r="C9" s="448" t="s">
        <v>425</v>
      </c>
      <c r="D9" s="448" t="s">
        <v>425</v>
      </c>
      <c r="E9" s="448" t="s">
        <v>425</v>
      </c>
      <c r="F9" s="471" t="s">
        <v>425</v>
      </c>
      <c r="G9" s="448" t="s">
        <v>425</v>
      </c>
      <c r="H9" s="471" t="s">
        <v>425</v>
      </c>
      <c r="I9" s="448" t="s">
        <v>425</v>
      </c>
      <c r="J9" s="471" t="s">
        <v>425</v>
      </c>
      <c r="K9" s="448" t="s">
        <v>425</v>
      </c>
      <c r="L9" s="471" t="s">
        <v>425</v>
      </c>
      <c r="M9" s="448" t="s">
        <v>68</v>
      </c>
      <c r="N9" s="151"/>
    </row>
    <row r="10" spans="1:14" ht="14.4" customHeight="1" x14ac:dyDescent="0.3">
      <c r="A10" s="444">
        <v>89301273</v>
      </c>
      <c r="B10" s="445" t="s">
        <v>437</v>
      </c>
      <c r="C10" s="448">
        <v>31984.959999999999</v>
      </c>
      <c r="D10" s="448">
        <v>65</v>
      </c>
      <c r="E10" s="448">
        <v>17410.259999999998</v>
      </c>
      <c r="F10" s="471">
        <v>0.54432645843546468</v>
      </c>
      <c r="G10" s="448">
        <v>28</v>
      </c>
      <c r="H10" s="471">
        <v>0.43076923076923079</v>
      </c>
      <c r="I10" s="448">
        <v>14574.700000000003</v>
      </c>
      <c r="J10" s="471">
        <v>0.45567354156453543</v>
      </c>
      <c r="K10" s="448">
        <v>37</v>
      </c>
      <c r="L10" s="471">
        <v>0.56923076923076921</v>
      </c>
      <c r="M10" s="448" t="s">
        <v>1</v>
      </c>
      <c r="N10" s="151"/>
    </row>
    <row r="11" spans="1:14" ht="14.4" customHeight="1" x14ac:dyDescent="0.3">
      <c r="A11" s="444" t="s">
        <v>438</v>
      </c>
      <c r="B11" s="445" t="s">
        <v>439</v>
      </c>
      <c r="C11" s="448">
        <v>31984.959999999999</v>
      </c>
      <c r="D11" s="448">
        <v>65</v>
      </c>
      <c r="E11" s="448">
        <v>17410.259999999998</v>
      </c>
      <c r="F11" s="471">
        <v>0.54432645843546468</v>
      </c>
      <c r="G11" s="448">
        <v>28</v>
      </c>
      <c r="H11" s="471">
        <v>0.43076923076923079</v>
      </c>
      <c r="I11" s="448">
        <v>14574.700000000003</v>
      </c>
      <c r="J11" s="471">
        <v>0.45567354156453543</v>
      </c>
      <c r="K11" s="448">
        <v>37</v>
      </c>
      <c r="L11" s="471">
        <v>0.56923076923076921</v>
      </c>
      <c r="M11" s="448" t="s">
        <v>432</v>
      </c>
      <c r="N11" s="151"/>
    </row>
    <row r="12" spans="1:14" ht="14.4" customHeight="1" x14ac:dyDescent="0.3">
      <c r="A12" s="444" t="s">
        <v>425</v>
      </c>
      <c r="B12" s="445" t="s">
        <v>425</v>
      </c>
      <c r="C12" s="448" t="s">
        <v>425</v>
      </c>
      <c r="D12" s="448" t="s">
        <v>425</v>
      </c>
      <c r="E12" s="448" t="s">
        <v>425</v>
      </c>
      <c r="F12" s="471" t="s">
        <v>425</v>
      </c>
      <c r="G12" s="448" t="s">
        <v>425</v>
      </c>
      <c r="H12" s="471" t="s">
        <v>425</v>
      </c>
      <c r="I12" s="448" t="s">
        <v>425</v>
      </c>
      <c r="J12" s="471" t="s">
        <v>425</v>
      </c>
      <c r="K12" s="448" t="s">
        <v>425</v>
      </c>
      <c r="L12" s="471" t="s">
        <v>425</v>
      </c>
      <c r="M12" s="448" t="s">
        <v>433</v>
      </c>
      <c r="N12" s="151"/>
    </row>
    <row r="13" spans="1:14" ht="14.4" customHeight="1" x14ac:dyDescent="0.3">
      <c r="A13" s="444">
        <v>89301274</v>
      </c>
      <c r="B13" s="445" t="s">
        <v>437</v>
      </c>
      <c r="C13" s="448">
        <v>556.46</v>
      </c>
      <c r="D13" s="448">
        <v>6</v>
      </c>
      <c r="E13" s="448">
        <v>377.46000000000004</v>
      </c>
      <c r="F13" s="471">
        <v>0.67832368903425222</v>
      </c>
      <c r="G13" s="448">
        <v>4</v>
      </c>
      <c r="H13" s="471">
        <v>0.66666666666666663</v>
      </c>
      <c r="I13" s="448">
        <v>179</v>
      </c>
      <c r="J13" s="471">
        <v>0.32167631096574772</v>
      </c>
      <c r="K13" s="448">
        <v>2</v>
      </c>
      <c r="L13" s="471">
        <v>0.33333333333333331</v>
      </c>
      <c r="M13" s="448" t="s">
        <v>1</v>
      </c>
      <c r="N13" s="151"/>
    </row>
    <row r="14" spans="1:14" ht="14.4" customHeight="1" x14ac:dyDescent="0.3">
      <c r="A14" s="444" t="s">
        <v>440</v>
      </c>
      <c r="B14" s="445" t="s">
        <v>441</v>
      </c>
      <c r="C14" s="448">
        <v>556.46</v>
      </c>
      <c r="D14" s="448">
        <v>6</v>
      </c>
      <c r="E14" s="448">
        <v>377.46000000000004</v>
      </c>
      <c r="F14" s="471">
        <v>0.67832368903425222</v>
      </c>
      <c r="G14" s="448">
        <v>4</v>
      </c>
      <c r="H14" s="471">
        <v>0.66666666666666663</v>
      </c>
      <c r="I14" s="448">
        <v>179</v>
      </c>
      <c r="J14" s="471">
        <v>0.32167631096574772</v>
      </c>
      <c r="K14" s="448">
        <v>2</v>
      </c>
      <c r="L14" s="471">
        <v>0.33333333333333331</v>
      </c>
      <c r="M14" s="448" t="s">
        <v>432</v>
      </c>
      <c r="N14" s="151"/>
    </row>
    <row r="15" spans="1:14" ht="14.4" customHeight="1" x14ac:dyDescent="0.3">
      <c r="A15" s="444" t="s">
        <v>425</v>
      </c>
      <c r="B15" s="445" t="s">
        <v>425</v>
      </c>
      <c r="C15" s="448" t="s">
        <v>425</v>
      </c>
      <c r="D15" s="448" t="s">
        <v>425</v>
      </c>
      <c r="E15" s="448" t="s">
        <v>425</v>
      </c>
      <c r="F15" s="471" t="s">
        <v>425</v>
      </c>
      <c r="G15" s="448" t="s">
        <v>425</v>
      </c>
      <c r="H15" s="471" t="s">
        <v>425</v>
      </c>
      <c r="I15" s="448" t="s">
        <v>425</v>
      </c>
      <c r="J15" s="471" t="s">
        <v>425</v>
      </c>
      <c r="K15" s="448" t="s">
        <v>425</v>
      </c>
      <c r="L15" s="471" t="s">
        <v>425</v>
      </c>
      <c r="M15" s="448" t="s">
        <v>433</v>
      </c>
      <c r="N15" s="151"/>
    </row>
    <row r="16" spans="1:14" ht="14.4" customHeight="1" x14ac:dyDescent="0.3">
      <c r="A16" s="444">
        <v>89301275</v>
      </c>
      <c r="B16" s="445" t="s">
        <v>437</v>
      </c>
      <c r="C16" s="448">
        <v>11864.289999999997</v>
      </c>
      <c r="D16" s="448">
        <v>18</v>
      </c>
      <c r="E16" s="448">
        <v>1168.1500000000001</v>
      </c>
      <c r="F16" s="471">
        <v>9.8459326263939967E-2</v>
      </c>
      <c r="G16" s="448">
        <v>8</v>
      </c>
      <c r="H16" s="471">
        <v>0.44444444444444442</v>
      </c>
      <c r="I16" s="448">
        <v>10696.139999999998</v>
      </c>
      <c r="J16" s="471">
        <v>0.90154067373606006</v>
      </c>
      <c r="K16" s="448">
        <v>10</v>
      </c>
      <c r="L16" s="471">
        <v>0.55555555555555558</v>
      </c>
      <c r="M16" s="448" t="s">
        <v>1</v>
      </c>
      <c r="N16" s="151"/>
    </row>
    <row r="17" spans="1:14" ht="14.4" customHeight="1" x14ac:dyDescent="0.3">
      <c r="A17" s="444" t="s">
        <v>442</v>
      </c>
      <c r="B17" s="445" t="s">
        <v>443</v>
      </c>
      <c r="C17" s="448">
        <v>11864.289999999997</v>
      </c>
      <c r="D17" s="448">
        <v>18</v>
      </c>
      <c r="E17" s="448">
        <v>1168.1500000000001</v>
      </c>
      <c r="F17" s="471">
        <v>9.8459326263939967E-2</v>
      </c>
      <c r="G17" s="448">
        <v>8</v>
      </c>
      <c r="H17" s="471">
        <v>0.44444444444444442</v>
      </c>
      <c r="I17" s="448">
        <v>10696.139999999998</v>
      </c>
      <c r="J17" s="471">
        <v>0.90154067373606006</v>
      </c>
      <c r="K17" s="448">
        <v>10</v>
      </c>
      <c r="L17" s="471">
        <v>0.55555555555555558</v>
      </c>
      <c r="M17" s="448" t="s">
        <v>432</v>
      </c>
      <c r="N17" s="151"/>
    </row>
    <row r="18" spans="1:14" ht="14.4" customHeight="1" x14ac:dyDescent="0.3">
      <c r="A18" s="444" t="s">
        <v>425</v>
      </c>
      <c r="B18" s="445" t="s">
        <v>425</v>
      </c>
      <c r="C18" s="448" t="s">
        <v>425</v>
      </c>
      <c r="D18" s="448" t="s">
        <v>425</v>
      </c>
      <c r="E18" s="448" t="s">
        <v>425</v>
      </c>
      <c r="F18" s="471" t="s">
        <v>425</v>
      </c>
      <c r="G18" s="448" t="s">
        <v>425</v>
      </c>
      <c r="H18" s="471" t="s">
        <v>425</v>
      </c>
      <c r="I18" s="448" t="s">
        <v>425</v>
      </c>
      <c r="J18" s="471" t="s">
        <v>425</v>
      </c>
      <c r="K18" s="448" t="s">
        <v>425</v>
      </c>
      <c r="L18" s="471" t="s">
        <v>425</v>
      </c>
      <c r="M18" s="448" t="s">
        <v>433</v>
      </c>
      <c r="N18" s="151"/>
    </row>
    <row r="19" spans="1:14" ht="14.4" customHeight="1" x14ac:dyDescent="0.3">
      <c r="A19" s="444" t="s">
        <v>423</v>
      </c>
      <c r="B19" s="445" t="s">
        <v>444</v>
      </c>
      <c r="C19" s="448">
        <v>44405.709999999992</v>
      </c>
      <c r="D19" s="448">
        <v>89</v>
      </c>
      <c r="E19" s="448">
        <v>18955.87</v>
      </c>
      <c r="F19" s="471">
        <v>0.42687911081705487</v>
      </c>
      <c r="G19" s="448">
        <v>40</v>
      </c>
      <c r="H19" s="471">
        <v>0.449438202247191</v>
      </c>
      <c r="I19" s="448">
        <v>25449.84</v>
      </c>
      <c r="J19" s="471">
        <v>0.57312088918294524</v>
      </c>
      <c r="K19" s="448">
        <v>49</v>
      </c>
      <c r="L19" s="471">
        <v>0.550561797752809</v>
      </c>
      <c r="M19" s="448" t="s">
        <v>428</v>
      </c>
      <c r="N19" s="151"/>
    </row>
  </sheetData>
  <autoFilter ref="A4:M4"/>
  <mergeCells count="4">
    <mergeCell ref="E3:H3"/>
    <mergeCell ref="C3:D3"/>
    <mergeCell ref="I3:L3"/>
    <mergeCell ref="A1:L1"/>
  </mergeCells>
  <conditionalFormatting sqref="F4 F8 F20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9">
    <cfRule type="expression" dxfId="28" priority="4">
      <formula>AND(LEFT(M9,6)&lt;&gt;"mezera",M9&lt;&gt;"")</formula>
    </cfRule>
  </conditionalFormatting>
  <conditionalFormatting sqref="A9:A19">
    <cfRule type="expression" dxfId="27" priority="2">
      <formula>AND(M9&lt;&gt;"",M9&lt;&gt;"mezeraKL")</formula>
    </cfRule>
  </conditionalFormatting>
  <conditionalFormatting sqref="F9:F19">
    <cfRule type="cellIs" dxfId="26" priority="1" operator="lessThan">
      <formula>0.6</formula>
    </cfRule>
  </conditionalFormatting>
  <conditionalFormatting sqref="B9:L19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9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2015-03-21T00:16:21Z</dcterms:modified>
</cp:coreProperties>
</file>