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Detail'!$A$5:$Q$5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K26" i="419" l="1"/>
  <c r="K25" i="419"/>
  <c r="F26" i="419"/>
  <c r="K28" i="419" l="1"/>
  <c r="K27" i="419"/>
  <c r="F25" i="419"/>
  <c r="C25" i="419"/>
  <c r="K20" i="419"/>
  <c r="K19" i="419"/>
  <c r="K17" i="419"/>
  <c r="K16" i="419"/>
  <c r="K14" i="419"/>
  <c r="K13" i="419"/>
  <c r="K12" i="419"/>
  <c r="K11" i="419"/>
  <c r="AW3" i="418"/>
  <c r="AV3" i="418"/>
  <c r="AU3" i="418"/>
  <c r="AT3" i="418"/>
  <c r="AS3" i="418"/>
  <c r="AR3" i="418"/>
  <c r="AQ3" i="418"/>
  <c r="AP3" i="418"/>
  <c r="K18" i="419" l="1"/>
  <c r="B25" i="419"/>
  <c r="F27" i="419" l="1"/>
  <c r="B26" i="419"/>
  <c r="B27" i="419" s="1"/>
  <c r="F28" i="419"/>
  <c r="A11" i="414"/>
  <c r="A10" i="414"/>
  <c r="A8" i="414"/>
  <c r="A7" i="414"/>
  <c r="F3" i="344" l="1"/>
  <c r="D3" i="344"/>
  <c r="B3" i="344"/>
  <c r="J21" i="419" l="1"/>
  <c r="J22" i="419" s="1"/>
  <c r="I21" i="419"/>
  <c r="I22" i="419" s="1"/>
  <c r="H21" i="419"/>
  <c r="G21" i="419"/>
  <c r="F21" i="419"/>
  <c r="J20" i="419"/>
  <c r="I20" i="419"/>
  <c r="H20" i="419"/>
  <c r="G20" i="419"/>
  <c r="F20" i="419"/>
  <c r="J19" i="419"/>
  <c r="I19" i="419"/>
  <c r="H19" i="419"/>
  <c r="G19" i="419"/>
  <c r="F19" i="419"/>
  <c r="J17" i="419"/>
  <c r="I17" i="419"/>
  <c r="H17" i="419"/>
  <c r="G17" i="419"/>
  <c r="F17" i="419"/>
  <c r="J16" i="419"/>
  <c r="I16" i="419"/>
  <c r="H16" i="419"/>
  <c r="G16" i="419"/>
  <c r="F16" i="419"/>
  <c r="J14" i="419"/>
  <c r="I14" i="419"/>
  <c r="H14" i="419"/>
  <c r="G14" i="419"/>
  <c r="F14" i="419"/>
  <c r="J13" i="419"/>
  <c r="I13" i="419"/>
  <c r="H13" i="419"/>
  <c r="G13" i="419"/>
  <c r="F13" i="419"/>
  <c r="J12" i="419"/>
  <c r="I12" i="419"/>
  <c r="H12" i="419"/>
  <c r="G12" i="419"/>
  <c r="F12" i="419"/>
  <c r="J11" i="419"/>
  <c r="I11" i="419"/>
  <c r="H11" i="419"/>
  <c r="G11" i="419"/>
  <c r="F11" i="419"/>
  <c r="F18" i="419" l="1"/>
  <c r="F23" i="419"/>
  <c r="H18" i="419"/>
  <c r="I23" i="419"/>
  <c r="J23" i="419"/>
  <c r="I18" i="419"/>
  <c r="J18" i="419"/>
  <c r="G23" i="419"/>
  <c r="H23" i="419"/>
  <c r="G18" i="419"/>
  <c r="F22" i="419"/>
  <c r="G22" i="419"/>
  <c r="H22" i="419"/>
  <c r="M3" i="418"/>
  <c r="E21" i="419" l="1"/>
  <c r="E22" i="419" s="1"/>
  <c r="D21" i="419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D23" i="419"/>
  <c r="C18" i="419"/>
  <c r="E18" i="419"/>
  <c r="C23" i="419"/>
  <c r="E23" i="419"/>
  <c r="D22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I6" i="419"/>
  <c r="H6" i="419"/>
  <c r="G6" i="419"/>
  <c r="F6" i="419"/>
  <c r="J6" i="419"/>
  <c r="D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9" i="414" s="1"/>
  <c r="C11" i="339"/>
  <c r="H11" i="339" l="1"/>
  <c r="G11" i="339"/>
  <c r="A20" i="414"/>
  <c r="A19" i="414"/>
  <c r="A14" i="414"/>
  <c r="A15" i="414"/>
  <c r="A4" i="414"/>
  <c r="A6" i="339" l="1"/>
  <c r="A5" i="339"/>
  <c r="D4" i="414"/>
  <c r="C15" i="414"/>
  <c r="D18" i="414"/>
  <c r="D15" i="414"/>
  <c r="C18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1" i="414"/>
  <c r="D21" i="414"/>
  <c r="H3" i="390" l="1"/>
  <c r="Q3" i="347"/>
  <c r="S3" i="347"/>
  <c r="U3" i="347"/>
  <c r="F13" i="339"/>
  <c r="E13" i="339"/>
  <c r="E15" i="339" s="1"/>
  <c r="H12" i="339"/>
  <c r="G12" i="339"/>
  <c r="K3" i="390"/>
  <c r="A4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7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<sst xmlns="http://schemas.openxmlformats.org/spreadsheetml/2006/main" count="4742" uniqueCount="1374">
  <si>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</si>
  <si>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</si>
  <si>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</si>
  <si>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</si>
  <si>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</si>
  <si>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</si>
  <si>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</si>
  <si>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</si>
  <si>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</si>
  <si>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</si>
  <si>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</si>
  <si>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</si>
  <si>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</si>
  <si>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</si>
  <si>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</si>
  <si>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</si>
  <si>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</si>
  <si>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</si>
  <si>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</si>
  <si>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</si>
  <si>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</si>
  <si>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</si>
  <si>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</si>
  <si>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</si>
  <si>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</si>
  <si>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</si>
  <si>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</si>
  <si>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</si>
  <si>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</si>
  <si>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</si>
  <si>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</si>
  <si>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</si>
  <si>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</si>
  <si>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</si>
  <si>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</si>
  <si>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</si>
  <si>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</si>
  <si>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</si>
  <si>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</si>
  <si>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</si>
  <si>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</si>
  <si>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</si>
  <si>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</si>
  <si>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</si>
  <si>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</si>
  <si>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</si>
  <si>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</si>
  <si>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</si>
  <si>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</si>
  <si>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</si>
  <si>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</si>
  <si>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</si>
  <si>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</si>
  <si>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</si>
  <si>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</si>
  <si>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</si>
  <si>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</si>
  <si>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</si>
  <si>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</si>
  <si>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</si>
  <si>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</si>
  <si>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</si>
  <si>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</si>
  <si>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</si>
  <si>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</si>
  <si>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</si>
  <si>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</si>
  <si>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</si>
  <si>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</si>
  <si>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</si>
  <si>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</si>
  <si>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</si>
  <si>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</si>
  <si>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</si>
  <si>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</si>
  <si>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</si>
  <si>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</si>
  <si>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</si>
  <si>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</si>
  <si>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</si>
  <si>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</si>
  <si>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</si>
  <si>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</si>
  <si>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</si>
  <si>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</si>
  <si>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</si>
  <si>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</si>
  <si>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</si>
  <si>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</si>
  <si>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</si>
  <si>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</si>
  <si>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</si>
  <si>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</si>
  <si>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</si>
  <si>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</si>
  <si>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</si>
  <si>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</si>
  <si>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</si>
  <si>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</si>
  <si>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</si>
  <si>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</si>
  <si>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</si>
  <si>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</si>
  <si>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</si>
  <si>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</si>
  <si>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</si>
  <si>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</si>
  <si>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</si>
  <si>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</si>
  <si>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</si>
  <si>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</si>
  <si>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</si>
  <si>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</si>
  <si>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</si>
  <si>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</si>
  <si>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</si>
  <si>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</si>
  <si>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</si>
  <si>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</si>
  <si>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</si>
  <si>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</si>
  <si>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</si>
  <si>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</si>
  <si>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</si>
  <si>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</si>
  <si>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</si>
  <si>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</si>
  <si>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</si>
  <si>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</si>
  <si>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</si>
  <si>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</si>
  <si>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</si>
  <si>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</si>
  <si>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</si>
  <si>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</si>
  <si>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</si>
  <si>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</si>
  <si>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</si>
  <si>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</si>
  <si>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</si>
  <si>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</si>
  <si>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</si>
  <si>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</si>
  <si>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</si>
  <si>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</si>
  <si>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</si>
  <si>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</si>
  <si>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</si>
  <si>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</si>
  <si>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</si>
  <si>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</si>
  <si>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</si>
  <si>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</si>
  <si>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</si>
  <si>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</si>
  <si>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</si>
  <si>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</si>
  <si>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</si>
  <si>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</si>
  <si>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</si>
  <si>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</si>
  <si>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</si>
  <si>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</si>
  <si>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</si>
  <si>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</si>
  <si>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</si>
  <si>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</si>
  <si>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</si>
  <si>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</si>
  <si>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</si>
  <si>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</si>
  <si>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</si>
  <si>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</si>
  <si>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</si>
  <si>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</si>
  <si>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</si>
  <si>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</si>
  <si>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</si>
  <si>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</si>
  <si>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</si>
  <si>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</si>
  <si>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</si>
  <si>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</si>
  <si>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</si>
  <si>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</si>
  <si>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</si>
  <si>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</si>
  <si>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</si>
  <si>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</si>
  <si>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</si>
  <si>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</si>
  <si>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</si>
  <si>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</si>
  <si>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</si>
  <si>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</si>
  <si>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</si>
  <si>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</si>
  <si>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</si>
  <si>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</si>
  <si>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</si>
  <si>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</si>
  <si>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</si>
  <si>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</si>
  <si>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fyzioterapeuti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</si>
  <si>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</si>
  <si>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</si>
  <si>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</si>
  <si>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</si>
  <si>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</si>
  <si>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</si>
  <si>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</si>
  <si>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</si>
  <si>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</si>
  <si>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</si>
  <si>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</si>
  <si>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</si>
  <si>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</si>
  <si>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</si>
  <si>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</si>
  <si>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</si>
  <si>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</si>
  <si>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</si>
  <si>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</si>
  <si>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</si>
  <si>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</si>
  <si>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</si>
  <si>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</si>
  <si>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</si>
  <si>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</si>
  <si>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</si>
  <si>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</si>
  <si>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</si>
  <si>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</si>
  <si>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</si>
  <si>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</si>
  <si>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</si>
  <si>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</si>
  <si>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</si>
  <si>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</si>
  <si>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</si>
  <si>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</si>
  <si>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</si>
  <si>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</si>
  <si>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</si>
  <si>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</si>
  <si>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</si>
  <si>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</si>
  <si>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</si>
  <si>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</si>
  <si>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</si>
  <si>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Klinika tělovýchovného lékařství a kardiovaskulární rehabilitace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</si>
  <si>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</si>
  <si>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</si>
  <si>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</si>
  <si>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</si>
  <si>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</si>
  <si>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</si>
  <si>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</si>
  <si>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</si>
  <si>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</si>
  <si>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 (LEK)</t>
  </si>
  <si>
    <t>50113190     léky - medicinální plyny (sklad SVm.)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</si>
  <si>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</si>
  <si>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</si>
  <si>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</si>
  <si>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</si>
  <si>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</si>
  <si>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</si>
  <si>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50115079     ZPr - internzivní péče (Z542)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</si>
  <si>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</si>
  <si>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</si>
  <si>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</si>
  <si>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</si>
  <si>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</si>
  <si>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</si>
  <si>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</si>
  <si>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</si>
  <si>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</si>
  <si>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</si>
  <si>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</si>
  <si>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50118001     ND - ostatní (všeob.sklad) (sk.V38)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</si>
  <si>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</si>
  <si>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</si>
  <si>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</si>
  <si>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</si>
  <si>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</si>
  <si>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</si>
  <si>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</si>
  <si>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</si>
  <si>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</si>
  <si>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</si>
  <si>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</si>
  <si>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</si>
  <si>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</si>
  <si>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</si>
  <si>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</si>
  <si>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</si>
  <si>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</si>
  <si>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</si>
  <si>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</si>
  <si>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</si>
  <si>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</si>
  <si>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</si>
  <si>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</si>
  <si>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</si>
  <si>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</si>
  <si>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</si>
  <si>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</si>
  <si>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</si>
  <si>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</si>
  <si>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</si>
  <si>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</si>
  <si>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</si>
  <si>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</si>
  <si>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</si>
  <si>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</si>
  <si>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</si>
  <si>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</si>
  <si>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</si>
  <si>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</si>
  <si>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</si>
  <si>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</si>
  <si>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</si>
  <si>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</si>
  <si>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</si>
  <si>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</si>
  <si>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</si>
  <si>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</si>
  <si>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</si>
  <si>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</si>
  <si>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</si>
  <si>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</si>
  <si>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</si>
  <si>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</si>
  <si>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</si>
  <si>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</si>
  <si>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</si>
  <si>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</si>
  <si>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</si>
  <si>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</si>
  <si>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</si>
  <si>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</si>
  <si>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</si>
  <si>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</si>
  <si>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</si>
  <si>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</si>
  <si>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</si>
  <si>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</si>
  <si>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</si>
  <si>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</si>
  <si>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</si>
  <si>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</si>
  <si>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</si>
  <si>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</si>
  <si>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</si>
  <si>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</si>
  <si>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</si>
  <si>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</si>
  <si>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</si>
  <si>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</si>
  <si>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</si>
  <si>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</si>
  <si>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</si>
  <si>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</si>
  <si>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</si>
  <si>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</si>
  <si>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</si>
  <si>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</si>
  <si>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</si>
  <si>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</si>
  <si>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</si>
  <si>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</si>
  <si>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</si>
  <si>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</si>
  <si>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</si>
  <si>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</si>
  <si>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</si>
  <si>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</si>
  <si>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</si>
  <si>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</si>
  <si>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</si>
  <si>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</si>
  <si>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</si>
  <si>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</si>
  <si>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</si>
  <si>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</si>
  <si>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</si>
  <si>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</si>
  <si>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</si>
  <si>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</si>
  <si>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</si>
  <si>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</si>
  <si>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</si>
  <si>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</si>
  <si>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</si>
  <si>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</si>
  <si>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</si>
  <si>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</si>
  <si>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</si>
  <si>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</si>
  <si>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</si>
  <si>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</si>
  <si>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</si>
  <si>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</si>
  <si>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</si>
  <si>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</si>
  <si>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</si>
  <si>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</si>
  <si>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</si>
  <si>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</si>
  <si>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</si>
  <si>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</si>
  <si>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</si>
  <si>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27</t>
  </si>
  <si>
    <t>Klinika tělovýchovného lékařství a kardiovaskulární rehabilitace</t>
  </si>
  <si>
    <t/>
  </si>
  <si>
    <t>Klinika tělovýchovného lékařství a kardiovaskulární rehabilitace Celkem</t>
  </si>
  <si>
    <t>SumaKL</t>
  </si>
  <si>
    <t>2721</t>
  </si>
  <si>
    <t>TVL ambulance</t>
  </si>
  <si>
    <t>TVL ambulance Celkem</t>
  </si>
  <si>
    <t>SumaNS</t>
  </si>
  <si>
    <t>mezeraNS</t>
  </si>
  <si>
    <t>50113001</t>
  </si>
  <si>
    <t>O</t>
  </si>
  <si>
    <t>51383</t>
  </si>
  <si>
    <t>CHLORID SODNÝ 0,9% BRAUN</t>
  </si>
  <si>
    <t>INF SOL 10X500MLPELAH</t>
  </si>
  <si>
    <t>395997</t>
  </si>
  <si>
    <t>0</t>
  </si>
  <si>
    <t>DZ SOFTASEPT N BEZBARVÝ 250 ml</t>
  </si>
  <si>
    <t>850602</t>
  </si>
  <si>
    <t>Sonogel na ultrazvuk 500ml</t>
  </si>
  <si>
    <t>196610</t>
  </si>
  <si>
    <t>96610</t>
  </si>
  <si>
    <t>APAURIN</t>
  </si>
  <si>
    <t>INJ 10X2ML/10MG</t>
  </si>
  <si>
    <t>921176</t>
  </si>
  <si>
    <t>KL Paraffinum perliq. 800g  HVLP</t>
  </si>
  <si>
    <t>930404</t>
  </si>
  <si>
    <t>KL PARAFFINUM SOLID. 5 kg HVLP</t>
  </si>
  <si>
    <t>397238</t>
  </si>
  <si>
    <t>KL ETHANOLUM BENZ.DENAT. 500ml /400g/</t>
  </si>
  <si>
    <t>UN 1170</t>
  </si>
  <si>
    <t>990549</t>
  </si>
  <si>
    <t>Indiferentní gel TOPVET pro univerz.použití 600ml</t>
  </si>
  <si>
    <t>P</t>
  </si>
  <si>
    <t>131934</t>
  </si>
  <si>
    <t>31934</t>
  </si>
  <si>
    <t>VENTOLIN INHALER N</t>
  </si>
  <si>
    <t>INHSUSPSS200X100RG</t>
  </si>
  <si>
    <t>Klinika TVL a kardiovaskulární rehabilitace</t>
  </si>
  <si>
    <t>TVL, TVL ambulance</t>
  </si>
  <si>
    <t>Lékárna - léčiva</t>
  </si>
  <si>
    <t>27 - Klinika tělovýchovného lékařství a kardiovaskulární rehabilitace</t>
  </si>
  <si>
    <t>2721 - TVL ambulance</t>
  </si>
  <si>
    <t>HVLP</t>
  </si>
  <si>
    <t>PZT</t>
  </si>
  <si>
    <t>89301273</t>
  </si>
  <si>
    <t>Ambulance - tělovýchovné lékařství Celkem</t>
  </si>
  <si>
    <t>89301274</t>
  </si>
  <si>
    <t>Ambulance-tělovýchovné lékařství Celkem</t>
  </si>
  <si>
    <t>89301275</t>
  </si>
  <si>
    <t>Ambulance kardiologická Celkem</t>
  </si>
  <si>
    <t>Klinika TVL a kardiovaskulární rehabilitace Celkem</t>
  </si>
  <si>
    <t xml:space="preserve"> </t>
  </si>
  <si>
    <t>* Legenda</t>
  </si>
  <si>
    <t>DIAPZT = Pomůcky pro diabetiky, jejichž název začíná slovem "Pumpa"</t>
  </si>
  <si>
    <t>Fargašová Hana</t>
  </si>
  <si>
    <t>Kaletová Markéta</t>
  </si>
  <si>
    <t>Malinčíková Jana</t>
  </si>
  <si>
    <t>Sovová Eliška</t>
  </si>
  <si>
    <t>Tozzi Igor</t>
  </si>
  <si>
    <t>Štégnerová Lenka</t>
  </si>
  <si>
    <t>Sulitka Jaroslav</t>
  </si>
  <si>
    <t>Pokorná Tereza</t>
  </si>
  <si>
    <t>Alopurinol</t>
  </si>
  <si>
    <t>107868</t>
  </si>
  <si>
    <t>APO-ALLOPURINOL</t>
  </si>
  <si>
    <t>POR TBL NOB 50X100MG</t>
  </si>
  <si>
    <t>Bisoprolol</t>
  </si>
  <si>
    <t>176913</t>
  </si>
  <si>
    <t>RIVOCOR 5</t>
  </si>
  <si>
    <t>POR TBL FLM 90X5MG</t>
  </si>
  <si>
    <t>Diosmin, kombinace</t>
  </si>
  <si>
    <t>14075</t>
  </si>
  <si>
    <t>DETRALEX</t>
  </si>
  <si>
    <t>POR TBL FLM 60X500MG</t>
  </si>
  <si>
    <t>Drospirenon a ethinylestradiol</t>
  </si>
  <si>
    <t>66196</t>
  </si>
  <si>
    <t>YADINE</t>
  </si>
  <si>
    <t>POR TBL FLM 3X21</t>
  </si>
  <si>
    <t>Hydrokortison-butyrát</t>
  </si>
  <si>
    <t>62047</t>
  </si>
  <si>
    <t>LOCOID LIPOCREAM 0,1%</t>
  </si>
  <si>
    <t>DRM CRM 1X30GM</t>
  </si>
  <si>
    <t>Metformin</t>
  </si>
  <si>
    <t>152144</t>
  </si>
  <si>
    <t>GLUCOPHAGE XR 750 MG TABLETY S PRODLOUŽENÝM UVOLŇOVÁNÍM</t>
  </si>
  <si>
    <t>POR TBL PRO 60X750MG I</t>
  </si>
  <si>
    <t>152145</t>
  </si>
  <si>
    <t>POR TBL PRO 60X750MG II</t>
  </si>
  <si>
    <t>Metoklopramid</t>
  </si>
  <si>
    <t>93104</t>
  </si>
  <si>
    <t>DEGAN 10 MG TABLETY</t>
  </si>
  <si>
    <t>POR TBL NOB 40X10MG</t>
  </si>
  <si>
    <t>Nimesulid</t>
  </si>
  <si>
    <t>12893</t>
  </si>
  <si>
    <t>AULIN</t>
  </si>
  <si>
    <t>POR TBL NOB 60X100MG</t>
  </si>
  <si>
    <t>12895</t>
  </si>
  <si>
    <t>POR GRA SUS 30X100MG I</t>
  </si>
  <si>
    <t>Norethisteron</t>
  </si>
  <si>
    <t>216963</t>
  </si>
  <si>
    <t>NORETHISTERON ZENTIVA</t>
  </si>
  <si>
    <t>POR TBL NOB 45X5MG</t>
  </si>
  <si>
    <t>Pantoprazol</t>
  </si>
  <si>
    <t>180578</t>
  </si>
  <si>
    <t>CONTROLOC 20 MG</t>
  </si>
  <si>
    <t>POR TBL ENT 90X20MG II</t>
  </si>
  <si>
    <t>Zolpidem</t>
  </si>
  <si>
    <t>94775</t>
  </si>
  <si>
    <t>ZOLPINOX</t>
  </si>
  <si>
    <t>POR TBL FLM 30X10MG</t>
  </si>
  <si>
    <t>Gabapentin</t>
  </si>
  <si>
    <t>84398</t>
  </si>
  <si>
    <t>NEURONTIN 100 MG</t>
  </si>
  <si>
    <t>POR CPS DUR 100X100MG</t>
  </si>
  <si>
    <t>Amoxicilin a enzymový inhibitor</t>
  </si>
  <si>
    <t>132711</t>
  </si>
  <si>
    <t>AUGMENTIN 1 G</t>
  </si>
  <si>
    <t>POR TBL FLM 14</t>
  </si>
  <si>
    <t>Fytomenadion</t>
  </si>
  <si>
    <t>720</t>
  </si>
  <si>
    <t>KANAVIT</t>
  </si>
  <si>
    <t>POR GTT EML 1X5ML</t>
  </si>
  <si>
    <t>12892</t>
  </si>
  <si>
    <t>POR TBL NOB 30X100MG</t>
  </si>
  <si>
    <t>Amlodipin</t>
  </si>
  <si>
    <t>125051</t>
  </si>
  <si>
    <t>APO-AMLO 10</t>
  </si>
  <si>
    <t>POR TBL NOB 90X10MG</t>
  </si>
  <si>
    <t>Betamethason</t>
  </si>
  <si>
    <t>19757</t>
  </si>
  <si>
    <t>BELODERM</t>
  </si>
  <si>
    <t>DRM UNG 1X30GM 0.05%</t>
  </si>
  <si>
    <t>Hořčík (různé sole v kombinaci)</t>
  </si>
  <si>
    <t>215978</t>
  </si>
  <si>
    <t>MAGNOSOLV</t>
  </si>
  <si>
    <t>POR GRA SOL SCC 30X365MG</t>
  </si>
  <si>
    <t>Karvedilol</t>
  </si>
  <si>
    <t>98922</t>
  </si>
  <si>
    <t>ATRAM 6,25</t>
  </si>
  <si>
    <t>POR TBL NOB 30X6.25MG</t>
  </si>
  <si>
    <t>Kyselina acetylsalicylová</t>
  </si>
  <si>
    <t>188849</t>
  </si>
  <si>
    <t>STACYL 100 MG ENTEROSOLVENTNÍ TABLETY</t>
  </si>
  <si>
    <t>POR TBL ENT 90X100MG I</t>
  </si>
  <si>
    <t>Moxonidin</t>
  </si>
  <si>
    <t>16926</t>
  </si>
  <si>
    <t>MOXOSTAD 0,3 MG</t>
  </si>
  <si>
    <t>POR TBL FLM 100X0.3MG</t>
  </si>
  <si>
    <t>Trandolapril</t>
  </si>
  <si>
    <t>203179</t>
  </si>
  <si>
    <t>GOPTEN 4 MG</t>
  </si>
  <si>
    <t>POR CPS DUR 98X4MG</t>
  </si>
  <si>
    <t>Klarithromycin</t>
  </si>
  <si>
    <t>53853</t>
  </si>
  <si>
    <t>KLACID 500</t>
  </si>
  <si>
    <t>POR TBL FLM 14X500MG</t>
  </si>
  <si>
    <t>16286</t>
  </si>
  <si>
    <t>STILNOX</t>
  </si>
  <si>
    <t>POR TBL FLM 20X10MG</t>
  </si>
  <si>
    <t>Magnesium-orotát</t>
  </si>
  <si>
    <t>32889</t>
  </si>
  <si>
    <t>MAGNEROT</t>
  </si>
  <si>
    <t>POR TBL NOB 100X500MG I</t>
  </si>
  <si>
    <t>Acebutolol</t>
  </si>
  <si>
    <t>80058</t>
  </si>
  <si>
    <t>SECTRAL 400 MG</t>
  </si>
  <si>
    <t>POR TBL FLM 30X400MG</t>
  </si>
  <si>
    <t>107869</t>
  </si>
  <si>
    <t>POR TBL NOB 100X100MG</t>
  </si>
  <si>
    <t>119773</t>
  </si>
  <si>
    <t>MILURIT 100</t>
  </si>
  <si>
    <t>216284</t>
  </si>
  <si>
    <t>POR TBL NOB 90X100MG</t>
  </si>
  <si>
    <t>Alprazolam</t>
  </si>
  <si>
    <t>91788</t>
  </si>
  <si>
    <t>NEUROL 0,25</t>
  </si>
  <si>
    <t>POR TBL NOB 30X0.25MG</t>
  </si>
  <si>
    <t>2945</t>
  </si>
  <si>
    <t>AGEN 5</t>
  </si>
  <si>
    <t>POR TBL NOB 30X5MG</t>
  </si>
  <si>
    <t>Amoxicilin</t>
  </si>
  <si>
    <t>19751</t>
  </si>
  <si>
    <t>DUOMOX 1000</t>
  </si>
  <si>
    <t>POR TBL SUS 14X1000MG</t>
  </si>
  <si>
    <t>Atorvastatin</t>
  </si>
  <si>
    <t>19595</t>
  </si>
  <si>
    <t>TORVACARD 40</t>
  </si>
  <si>
    <t>POR TBL FLM 90X40MG</t>
  </si>
  <si>
    <t>49009</t>
  </si>
  <si>
    <t>ATORIS 20</t>
  </si>
  <si>
    <t>POR TBL FLM 90X20MG</t>
  </si>
  <si>
    <t>93015</t>
  </si>
  <si>
    <t>SORTIS 10 MG</t>
  </si>
  <si>
    <t>POR TBL FLM 100X10MG</t>
  </si>
  <si>
    <t>93021</t>
  </si>
  <si>
    <t>SORTIS 40 MG</t>
  </si>
  <si>
    <t>POR TBL FLM 100X40MG</t>
  </si>
  <si>
    <t>Atorvastatin a amlodipin</t>
  </si>
  <si>
    <t>101172</t>
  </si>
  <si>
    <t>CADUET 5 MG/10 MG</t>
  </si>
  <si>
    <t>POR TBL FLM 90</t>
  </si>
  <si>
    <t>Azithromycin</t>
  </si>
  <si>
    <t>45010</t>
  </si>
  <si>
    <t>AZITROMYCIN SANDOZ 500 MG</t>
  </si>
  <si>
    <t>POR TBL FLM 3X500MG</t>
  </si>
  <si>
    <t>Betahistin</t>
  </si>
  <si>
    <t>102674</t>
  </si>
  <si>
    <t>BETAHISTIN ACTAVIS 8 MG</t>
  </si>
  <si>
    <t>POR TBL NOB 100X8MG</t>
  </si>
  <si>
    <t>Betaxolol</t>
  </si>
  <si>
    <t>49910</t>
  </si>
  <si>
    <t>LOKREN 20 MG</t>
  </si>
  <si>
    <t>POR TBL FLM 98X20MG</t>
  </si>
  <si>
    <t>3801</t>
  </si>
  <si>
    <t>CONCOR COR 2,5 MG</t>
  </si>
  <si>
    <t>POR TBL FLM 28X2.5MG</t>
  </si>
  <si>
    <t>47740</t>
  </si>
  <si>
    <t>POR TBL FLM 30X5MG</t>
  </si>
  <si>
    <t>94163</t>
  </si>
  <si>
    <t>CONCOR 10</t>
  </si>
  <si>
    <t>58858</t>
  </si>
  <si>
    <t>BISOCARD 10</t>
  </si>
  <si>
    <t>Cilazapril a diuretika</t>
  </si>
  <si>
    <t>14934</t>
  </si>
  <si>
    <t>INHIBACE PLUS</t>
  </si>
  <si>
    <t>POR TBL FLM 98</t>
  </si>
  <si>
    <t>Cinchokain</t>
  </si>
  <si>
    <t>214595</t>
  </si>
  <si>
    <t>FAKTU</t>
  </si>
  <si>
    <t>RCT SUP 20</t>
  </si>
  <si>
    <t>Dabigatran-etexilát</t>
  </si>
  <si>
    <t>29328</t>
  </si>
  <si>
    <t>PRADAXA 110 MG</t>
  </si>
  <si>
    <t>POR CPS DUR 60X1X110MG</t>
  </si>
  <si>
    <t>Diltiazem</t>
  </si>
  <si>
    <t>58752</t>
  </si>
  <si>
    <t>DIACORDIN 240 SR</t>
  </si>
  <si>
    <t>POR CPS PRO 30X240MG</t>
  </si>
  <si>
    <t>201992</t>
  </si>
  <si>
    <t>POR TBL FLM 120X500MG</t>
  </si>
  <si>
    <t>Doxazosin</t>
  </si>
  <si>
    <t>45214</t>
  </si>
  <si>
    <t>ZOXON 2</t>
  </si>
  <si>
    <t>POR TBL NOB 30X2MG</t>
  </si>
  <si>
    <t>Escitalopram</t>
  </si>
  <si>
    <t>197411</t>
  </si>
  <si>
    <t>ESCITALOPRAM +PHARMA 10 MG</t>
  </si>
  <si>
    <t>POR TBL FLM 98X10MG</t>
  </si>
  <si>
    <t>Ezetimib</t>
  </si>
  <si>
    <t>8677</t>
  </si>
  <si>
    <t>EZETROL 10 MG TABLETY</t>
  </si>
  <si>
    <t>POR TBL NOB 98X10MG A</t>
  </si>
  <si>
    <t>47997</t>
  </si>
  <si>
    <t>POR TBL NOB 98X10MG B</t>
  </si>
  <si>
    <t>Fluoxetin</t>
  </si>
  <si>
    <t>21890</t>
  </si>
  <si>
    <t>PROZAC</t>
  </si>
  <si>
    <t>POR CPS DUR 28X20MG</t>
  </si>
  <si>
    <t>Furosemid</t>
  </si>
  <si>
    <t>98219</t>
  </si>
  <si>
    <t>FURON 40 MG</t>
  </si>
  <si>
    <t>POR TBL NOB 50X40MG</t>
  </si>
  <si>
    <t>Glycerol-trinitrát</t>
  </si>
  <si>
    <t>85071</t>
  </si>
  <si>
    <t>NITROMINT</t>
  </si>
  <si>
    <t>ORM SPR SLG 10GM I</t>
  </si>
  <si>
    <t>66555</t>
  </si>
  <si>
    <t>Hydrochlorothiazid</t>
  </si>
  <si>
    <t>168</t>
  </si>
  <si>
    <t>HYDROCHLOROTHIAZID LÉČIVA</t>
  </si>
  <si>
    <t>POR TBL NOB 20X25MG</t>
  </si>
  <si>
    <t>Hydrochlorothiazid a kalium šetřící diuretika</t>
  </si>
  <si>
    <t>76380</t>
  </si>
  <si>
    <t>RHEFLUIN</t>
  </si>
  <si>
    <t>POR TBL NOB 30</t>
  </si>
  <si>
    <t>Ibuprofen</t>
  </si>
  <si>
    <t>32020</t>
  </si>
  <si>
    <t>IBUPROFEN AL 400</t>
  </si>
  <si>
    <t>POR TBL FLM 100X400MG</t>
  </si>
  <si>
    <t>Indapamid</t>
  </si>
  <si>
    <t>120328</t>
  </si>
  <si>
    <t>INDAPAMID STADA 1,5 MG</t>
  </si>
  <si>
    <t>POR TBL PRO 90X1.5MG</t>
  </si>
  <si>
    <t>120329</t>
  </si>
  <si>
    <t>POR TBL PRO 100X1.5MG</t>
  </si>
  <si>
    <t>191880</t>
  </si>
  <si>
    <t>INDAPAMID PMCS 2,5 MG</t>
  </si>
  <si>
    <t>POR TBL NOB 100X2.5MG</t>
  </si>
  <si>
    <t>158284</t>
  </si>
  <si>
    <t>INDAP 1,25 MG</t>
  </si>
  <si>
    <t>POR TBL NOB 50X1.25MG</t>
  </si>
  <si>
    <t>Jinanový list (Ginkgo biloba)</t>
  </si>
  <si>
    <t>13193</t>
  </si>
  <si>
    <t>GINGIO 120</t>
  </si>
  <si>
    <t>POR TBL FLM 120X120MG</t>
  </si>
  <si>
    <t>Kandesartan</t>
  </si>
  <si>
    <t>171543</t>
  </si>
  <si>
    <t>CARZAP 8 MG</t>
  </si>
  <si>
    <t>POR TBL NOB 90X8MG</t>
  </si>
  <si>
    <t>Kandesartan a diuretika</t>
  </si>
  <si>
    <t>140326</t>
  </si>
  <si>
    <t>XALEEC COMBI 8 MG/12,5 MG</t>
  </si>
  <si>
    <t>POR TBL NOB 28</t>
  </si>
  <si>
    <t>171575</t>
  </si>
  <si>
    <t>CARZAP HCT 16 MG/12,5 MG TABLETY</t>
  </si>
  <si>
    <t>POR TBL NOB 90</t>
  </si>
  <si>
    <t>Karbamazepin</t>
  </si>
  <si>
    <t>75293</t>
  </si>
  <si>
    <t>TIMONIL 150 RETARD</t>
  </si>
  <si>
    <t>POR TBL PRO 100X150MG</t>
  </si>
  <si>
    <t>Klopidogrel</t>
  </si>
  <si>
    <t>141036</t>
  </si>
  <si>
    <t>TROMBEX 75 MG POTAHOVANÉ TABLETY</t>
  </si>
  <si>
    <t>POR TBL FLM 90X75MG</t>
  </si>
  <si>
    <t>163426</t>
  </si>
  <si>
    <t>ASPIRIN PROTECT 100</t>
  </si>
  <si>
    <t>POR TBL ENT 100X100MG</t>
  </si>
  <si>
    <t>71960</t>
  </si>
  <si>
    <t>ANOPYRIN 100 MG</t>
  </si>
  <si>
    <t>POR TBL NOB 5X10X100MG</t>
  </si>
  <si>
    <t>Kyselina listová</t>
  </si>
  <si>
    <t>76064</t>
  </si>
  <si>
    <t>ACIDUM FOLICUM LÉČIVA</t>
  </si>
  <si>
    <t>POR TBL OBD 30X10MG</t>
  </si>
  <si>
    <t>Lacidipin</t>
  </si>
  <si>
    <t>47670</t>
  </si>
  <si>
    <t>LACIPIL 4 MG</t>
  </si>
  <si>
    <t>POR TBL FLM 28X4MG</t>
  </si>
  <si>
    <t>Levothyroxin, sodná sůl</t>
  </si>
  <si>
    <t>184245</t>
  </si>
  <si>
    <t>LETROX 75</t>
  </si>
  <si>
    <t>POR TBL NOB 100X75MCG II</t>
  </si>
  <si>
    <t>187427</t>
  </si>
  <si>
    <t>LETROX 100</t>
  </si>
  <si>
    <t>POR TBL NOB 100X100RG II</t>
  </si>
  <si>
    <t>47141</t>
  </si>
  <si>
    <t>LETROX 50</t>
  </si>
  <si>
    <t>POR TBL NOB 100X50RG I</t>
  </si>
  <si>
    <t>97186</t>
  </si>
  <si>
    <t>EUTHYROX 100 MIKROGRAMŮ</t>
  </si>
  <si>
    <t>POR TBL NOB 100X100RG</t>
  </si>
  <si>
    <t>187425</t>
  </si>
  <si>
    <t>POR TBL NOB 100X50RG II</t>
  </si>
  <si>
    <t>Losartan</t>
  </si>
  <si>
    <t>107176</t>
  </si>
  <si>
    <t>LORISTA 25</t>
  </si>
  <si>
    <t>POR TBL FLM 98X25MG</t>
  </si>
  <si>
    <t>114067</t>
  </si>
  <si>
    <t>LOZAP 50 ZENTIVA</t>
  </si>
  <si>
    <t>POR TBL FLM 90X50MG II</t>
  </si>
  <si>
    <t>Losartan a diuretika</t>
  </si>
  <si>
    <t>15316</t>
  </si>
  <si>
    <t>LOZAP H</t>
  </si>
  <si>
    <t>POR TBL FLM 30</t>
  </si>
  <si>
    <t>15317</t>
  </si>
  <si>
    <t>Makrogol</t>
  </si>
  <si>
    <t>58827</t>
  </si>
  <si>
    <t>FORTRANS</t>
  </si>
  <si>
    <t>POR PLV SOL 4X64GM</t>
  </si>
  <si>
    <t>Mefenoxalon</t>
  </si>
  <si>
    <t>85656</t>
  </si>
  <si>
    <t>DORSIFLEX 200 MG</t>
  </si>
  <si>
    <t>POR TBL NOB 30X200MG</t>
  </si>
  <si>
    <t>12354</t>
  </si>
  <si>
    <t>SIOFOR 500</t>
  </si>
  <si>
    <t>56503</t>
  </si>
  <si>
    <t>56504</t>
  </si>
  <si>
    <t>SIOFOR 850</t>
  </si>
  <si>
    <t>POR TBL FLM 60X850MG</t>
  </si>
  <si>
    <t>Methylprednisolon</t>
  </si>
  <si>
    <t>40368</t>
  </si>
  <si>
    <t>MEDROL 4 MG</t>
  </si>
  <si>
    <t>POR TBL NOB 30X4MG</t>
  </si>
  <si>
    <t>Metoprolol</t>
  </si>
  <si>
    <t>46980</t>
  </si>
  <si>
    <t>BETALOC SR 200 MG</t>
  </si>
  <si>
    <t>POR TBL PRO 100X200MG</t>
  </si>
  <si>
    <t>46981</t>
  </si>
  <si>
    <t>POR TBL PRO 30X200MG</t>
  </si>
  <si>
    <t>49934</t>
  </si>
  <si>
    <t>BETALOC ZOK 25 MG</t>
  </si>
  <si>
    <t>POR TBL PRO 30X25MG</t>
  </si>
  <si>
    <t>163135</t>
  </si>
  <si>
    <t>VASOCARDIN 100</t>
  </si>
  <si>
    <t>Nadroparin</t>
  </si>
  <si>
    <t>59806</t>
  </si>
  <si>
    <t>FRAXIPARINE FORTE</t>
  </si>
  <si>
    <t>SDR INJ SOL ISP 10X0.6MLX19000</t>
  </si>
  <si>
    <t>59810</t>
  </si>
  <si>
    <t>SDR INJ SOL ISP 10X1MLX19000IU</t>
  </si>
  <si>
    <t>Naftidrofuryl</t>
  </si>
  <si>
    <t>66015</t>
  </si>
  <si>
    <t>ENELBIN 100 RETARD</t>
  </si>
  <si>
    <t>POR TBL PRO 100X100MG</t>
  </si>
  <si>
    <t>Nebivolol</t>
  </si>
  <si>
    <t>53761</t>
  </si>
  <si>
    <t>NEBILET</t>
  </si>
  <si>
    <t>POR TBL NOB 28X5MG</t>
  </si>
  <si>
    <t>Nitrendipin</t>
  </si>
  <si>
    <t>128710</t>
  </si>
  <si>
    <t>LUSOPRESS</t>
  </si>
  <si>
    <t>POR TBL NOB 98X20MG</t>
  </si>
  <si>
    <t>13316</t>
  </si>
  <si>
    <t>POR TBL NOB 28X20MG</t>
  </si>
  <si>
    <t>30965</t>
  </si>
  <si>
    <t>NITRENDIPIN-RATIOPHARM 20 MG</t>
  </si>
  <si>
    <t>POR TBL NOB 100X20MG</t>
  </si>
  <si>
    <t>Omeprazol</t>
  </si>
  <si>
    <t>115318</t>
  </si>
  <si>
    <t>HELICID 20 ZENTIVA</t>
  </si>
  <si>
    <t>POR CPS ETD 90X20MG</t>
  </si>
  <si>
    <t>122114</t>
  </si>
  <si>
    <t>APO-OME 20</t>
  </si>
  <si>
    <t>POR CPS ETD 100X20MG</t>
  </si>
  <si>
    <t>25365</t>
  </si>
  <si>
    <t>POR CPS ETD 28X20MG</t>
  </si>
  <si>
    <t>Perindopril</t>
  </si>
  <si>
    <t>101205</t>
  </si>
  <si>
    <t>PRESTARIUM NEO</t>
  </si>
  <si>
    <t>101211</t>
  </si>
  <si>
    <t>101233</t>
  </si>
  <si>
    <t>PRESTARIUM NEO FORTE</t>
  </si>
  <si>
    <t>POR TBL FLM 90X10MG</t>
  </si>
  <si>
    <t>120796</t>
  </si>
  <si>
    <t>APO-PERINDO 4 MG</t>
  </si>
  <si>
    <t>POR TBL NOB 100X4MG</t>
  </si>
  <si>
    <t>Perindopril a amlodipin</t>
  </si>
  <si>
    <t>124091</t>
  </si>
  <si>
    <t>PRESTANCE 5 MG/5 MG</t>
  </si>
  <si>
    <t>Perindopril a diuretika</t>
  </si>
  <si>
    <t>122685</t>
  </si>
  <si>
    <t>PRESTARIUM NEO COMBI 5 MG/1,25 MG</t>
  </si>
  <si>
    <t>122690</t>
  </si>
  <si>
    <t>126031</t>
  </si>
  <si>
    <t>PRENEWEL 4 MG/1,25 MG</t>
  </si>
  <si>
    <t>162012</t>
  </si>
  <si>
    <t>PRESTARIUM NEO COMBI 10 MG/2,5 MG</t>
  </si>
  <si>
    <t>Propafenon</t>
  </si>
  <si>
    <t>99309</t>
  </si>
  <si>
    <t>RYTMONORM 150 MG</t>
  </si>
  <si>
    <t>POR TBL FLM 100X150MG</t>
  </si>
  <si>
    <t>Ramipril</t>
  </si>
  <si>
    <t>56974</t>
  </si>
  <si>
    <t>TRITACE 1,25 MG</t>
  </si>
  <si>
    <t>56982</t>
  </si>
  <si>
    <t>TRITACE 5 MG</t>
  </si>
  <si>
    <t>POR TBL NOB 50X5MG</t>
  </si>
  <si>
    <t>Ramipril a diuretika</t>
  </si>
  <si>
    <t>115590</t>
  </si>
  <si>
    <t>MEDORAM PLUS H 5/25 MG</t>
  </si>
  <si>
    <t>Rilmenidin</t>
  </si>
  <si>
    <t>166423</t>
  </si>
  <si>
    <t>RILMENIDIN TEVA 1 MG TABLETY</t>
  </si>
  <si>
    <t>POR TBL NOB 90X1MG</t>
  </si>
  <si>
    <t>Rivaroxaban</t>
  </si>
  <si>
    <t>168904</t>
  </si>
  <si>
    <t>XARELTO 20 MG</t>
  </si>
  <si>
    <t>168906</t>
  </si>
  <si>
    <t>POR TBL FLM 100X1X20MG</t>
  </si>
  <si>
    <t>194195</t>
  </si>
  <si>
    <t>POR TBL FLM 100X(10X10X1)X20MG</t>
  </si>
  <si>
    <t>Rosuvastatin</t>
  </si>
  <si>
    <t>148074</t>
  </si>
  <si>
    <t>ROSUCARD 20 MG POTAHOVANÉ TABLETY</t>
  </si>
  <si>
    <t>148078</t>
  </si>
  <si>
    <t>ROSUCARD 40 MG POTAHOVANÉ TABLETY</t>
  </si>
  <si>
    <t>Simvastatin</t>
  </si>
  <si>
    <t>125082</t>
  </si>
  <si>
    <t>APO-SIMVA 20</t>
  </si>
  <si>
    <t>POR TBL FLM 30X20MG</t>
  </si>
  <si>
    <t>Spironolakton</t>
  </si>
  <si>
    <t>30434</t>
  </si>
  <si>
    <t>VEROSPIRON</t>
  </si>
  <si>
    <t>POR TBL NOB 100X25MG</t>
  </si>
  <si>
    <t>3550</t>
  </si>
  <si>
    <t>Tamsulosin</t>
  </si>
  <si>
    <t>151248</t>
  </si>
  <si>
    <t>TAMSULOSIN HCL MYLAN 0,4 MG</t>
  </si>
  <si>
    <t>POR CPS RDR 100X0,4MG</t>
  </si>
  <si>
    <t>Telmisartan</t>
  </si>
  <si>
    <t>152958</t>
  </si>
  <si>
    <t>TEZEO 80 MG</t>
  </si>
  <si>
    <t>POR TBL NOB 30X80MG</t>
  </si>
  <si>
    <t>Tramadol, kombinace</t>
  </si>
  <si>
    <t>17925</t>
  </si>
  <si>
    <t>ZALDIAR</t>
  </si>
  <si>
    <t>POR TBL FLM 20</t>
  </si>
  <si>
    <t>45875</t>
  </si>
  <si>
    <t>GOPTEN 2 MG</t>
  </si>
  <si>
    <t>POR CPS DUR 98X2MG</t>
  </si>
  <si>
    <t>Trazodon</t>
  </si>
  <si>
    <t>46444</t>
  </si>
  <si>
    <t>TRITTICO AC 150</t>
  </si>
  <si>
    <t>POR TBL RET 60X150MG</t>
  </si>
  <si>
    <t>54093</t>
  </si>
  <si>
    <t>POR TBL RET 20X150MG</t>
  </si>
  <si>
    <t>Urapidil</t>
  </si>
  <si>
    <t>215477</t>
  </si>
  <si>
    <t>EBRANTIL 30 RETARD</t>
  </si>
  <si>
    <t>POR CPS PRO 100X30MG</t>
  </si>
  <si>
    <t>Valsartan</t>
  </si>
  <si>
    <t>125597</t>
  </si>
  <si>
    <t>VALSACOR 160 MG</t>
  </si>
  <si>
    <t>POR TBL FLM 98X160MG</t>
  </si>
  <si>
    <t>Valsartan a diuretika</t>
  </si>
  <si>
    <t>163329</t>
  </si>
  <si>
    <t>VALZAP COMBI 160 MG/25 MG POTAHOVANÉ TABLETY</t>
  </si>
  <si>
    <t>POR TBL FLM 28X160MG/25MG</t>
  </si>
  <si>
    <t>Verapamil</t>
  </si>
  <si>
    <t>9201</t>
  </si>
  <si>
    <t>ISOPTIN 40 MG</t>
  </si>
  <si>
    <t>POR TBL FLM 50X40MG</t>
  </si>
  <si>
    <t>Warfarin</t>
  </si>
  <si>
    <t>94114</t>
  </si>
  <si>
    <t>WARFARIN ORION 5 MG</t>
  </si>
  <si>
    <t>POR TBL NOB 100X5MG</t>
  </si>
  <si>
    <t>146897</t>
  </si>
  <si>
    <t>ZOLPIDEM MYLAN 10 MG</t>
  </si>
  <si>
    <t>214604</t>
  </si>
  <si>
    <t>HYPNOGEN</t>
  </si>
  <si>
    <t>Perindopril, amlodipin a indapamid</t>
  </si>
  <si>
    <t>190961</t>
  </si>
  <si>
    <t>TRIPLIXAM 5 MG/1,25 MG/5 MG</t>
  </si>
  <si>
    <t>POR TBL FLM 100X5MG/1.25MG/5MG</t>
  </si>
  <si>
    <t>190960</t>
  </si>
  <si>
    <t>POR TBL FLM 90(3X30)X5MG/1.25M</t>
  </si>
  <si>
    <t>Kompresní punčochy a návleky</t>
  </si>
  <si>
    <t>45387</t>
  </si>
  <si>
    <t>PUNČOCHY KOMPRESNÍ LÝTKOVÉ II.K.T.</t>
  </si>
  <si>
    <t>MAXIS COMFORT A-D</t>
  </si>
  <si>
    <t>45483</t>
  </si>
  <si>
    <t>MAXIS MICRO A-D</t>
  </si>
  <si>
    <t>45402</t>
  </si>
  <si>
    <t>ZAKÁZKOVĚ ZHOTOVOVANÝ ZP KOMPRESNÍ KRUHOVÉ PLETENÍ</t>
  </si>
  <si>
    <t>SPECIÁLNÍ SLOŽITÁ VÝROBA-DŮVOD ATYPICKÉ MÍRY HK,DK.,NÁVLEK KOMPLET S ÚCHYTEM</t>
  </si>
  <si>
    <t>Jiná kapiláry stabilizující látky</t>
  </si>
  <si>
    <t>107806</t>
  </si>
  <si>
    <t>AESCIN-TEVA</t>
  </si>
  <si>
    <t>POR TBL ENT 30X20MG</t>
  </si>
  <si>
    <t>93016</t>
  </si>
  <si>
    <t>SORTIS 20 MG</t>
  </si>
  <si>
    <t>185435</t>
  </si>
  <si>
    <t>Kortikosteroidy</t>
  </si>
  <si>
    <t>84700</t>
  </si>
  <si>
    <t>OTOBACID N</t>
  </si>
  <si>
    <t>AUR GTT SOL 1X5ML</t>
  </si>
  <si>
    <t>151142</t>
  </si>
  <si>
    <t>188850</t>
  </si>
  <si>
    <t>POR TBL ENT 100X100MG I</t>
  </si>
  <si>
    <t>Nitrofurantoin</t>
  </si>
  <si>
    <t>154748</t>
  </si>
  <si>
    <t>NITROFURANTOIN - RATIOPHARM 100 MG</t>
  </si>
  <si>
    <t>POR CPS PRO 50X100MG</t>
  </si>
  <si>
    <t>49115</t>
  </si>
  <si>
    <t>POR TBL ENT 100X20MG</t>
  </si>
  <si>
    <t>500125</t>
  </si>
  <si>
    <t>MICARDIS 40 MG</t>
  </si>
  <si>
    <t>POR TBL NOB 30X1X40MG</t>
  </si>
  <si>
    <t>Telmisartan a amlodipin</t>
  </si>
  <si>
    <t>167853</t>
  </si>
  <si>
    <t>TWYNSTA 80 MG/5 MG</t>
  </si>
  <si>
    <t>POR TBL NOB 30X1</t>
  </si>
  <si>
    <t>Tikagrelor</t>
  </si>
  <si>
    <t>167936</t>
  </si>
  <si>
    <t>BRILIQUE 90 MG</t>
  </si>
  <si>
    <t>POR TBL FLM 60X90MG</t>
  </si>
  <si>
    <t>Azathioprin</t>
  </si>
  <si>
    <t>199647</t>
  </si>
  <si>
    <t>IMURAN 50 MG</t>
  </si>
  <si>
    <t>POR TBL FLM 100X50MG</t>
  </si>
  <si>
    <t>Ciprofloxacin</t>
  </si>
  <si>
    <t>15653</t>
  </si>
  <si>
    <t>CIPLOX 250</t>
  </si>
  <si>
    <t>POR TBL FLM 10X250MG</t>
  </si>
  <si>
    <t>Fenofibrát</t>
  </si>
  <si>
    <t>11014</t>
  </si>
  <si>
    <t>LIPANTHYL 267 M</t>
  </si>
  <si>
    <t>POR CPS DUR 90X267MG</t>
  </si>
  <si>
    <t>Glimepirid</t>
  </si>
  <si>
    <t>163085</t>
  </si>
  <si>
    <t>AMARYL 3 MG</t>
  </si>
  <si>
    <t>POR TBL NOB 30X3MG</t>
  </si>
  <si>
    <t>Isosorbid-mononitrát</t>
  </si>
  <si>
    <t>199297</t>
  </si>
  <si>
    <t>OLICARD 60 MG RETARD</t>
  </si>
  <si>
    <t>POR CPS PRO 100X60MG</t>
  </si>
  <si>
    <t>200214</t>
  </si>
  <si>
    <t>POR TBL NOB 56X100MG</t>
  </si>
  <si>
    <t>203564</t>
  </si>
  <si>
    <t>Kyselina ursodeoxycholová</t>
  </si>
  <si>
    <t>13808</t>
  </si>
  <si>
    <t>URSOSAN</t>
  </si>
  <si>
    <t>POR CPS DUR 100X250MG</t>
  </si>
  <si>
    <t>23796</t>
  </si>
  <si>
    <t>GLUCOPHAGE 1000 MG</t>
  </si>
  <si>
    <t>POR TBL FLM 30X1000MG</t>
  </si>
  <si>
    <t>1017</t>
  </si>
  <si>
    <t>MOXOSTAD 0,4 MG</t>
  </si>
  <si>
    <t>POR TBL FLM 100X0.4MG</t>
  </si>
  <si>
    <t>128809</t>
  </si>
  <si>
    <t>POR TBL ENT 56X20MG I</t>
  </si>
  <si>
    <t>124133</t>
  </si>
  <si>
    <t>PRESTANCE 10 MG/10 MG</t>
  </si>
  <si>
    <t>148072</t>
  </si>
  <si>
    <t>Apixaban</t>
  </si>
  <si>
    <t>193741</t>
  </si>
  <si>
    <t>ELIQUIS 2,5 MG</t>
  </si>
  <si>
    <t>POR TBL FLM 168X2.5MG</t>
  </si>
  <si>
    <t>Pitofenon a analgetika</t>
  </si>
  <si>
    <t>176954</t>
  </si>
  <si>
    <t>ALGIFEN NEO</t>
  </si>
  <si>
    <t>POR GTT SOL 1X50ML</t>
  </si>
  <si>
    <t>Různé jiné kombinace železa</t>
  </si>
  <si>
    <t>94584</t>
  </si>
  <si>
    <t>AKTIFERRIN</t>
  </si>
  <si>
    <t>POR CPS MOL 50</t>
  </si>
  <si>
    <t>Jiná antiinfektiva</t>
  </si>
  <si>
    <t>200863</t>
  </si>
  <si>
    <t>OPHTHALMO-SEPTONEX</t>
  </si>
  <si>
    <t>OPH GTT SOL 1X10ML PLAST</t>
  </si>
  <si>
    <t>Nifuroxazid</t>
  </si>
  <si>
    <t>155871</t>
  </si>
  <si>
    <t>ERCEFURYL 200 MG CPS.</t>
  </si>
  <si>
    <t>POR CPS DUR 14X200MG</t>
  </si>
  <si>
    <t>Cefuroxim</t>
  </si>
  <si>
    <t>47728</t>
  </si>
  <si>
    <t>ZINNAT 500 MG</t>
  </si>
  <si>
    <t>Oxymetazolin</t>
  </si>
  <si>
    <t>166281</t>
  </si>
  <si>
    <t>AFRIN 0,5 MG/ML NOSNÍ SPREJ</t>
  </si>
  <si>
    <t>NAS SPR SOL 1X15ML/7.5MG</t>
  </si>
  <si>
    <t>45499</t>
  </si>
  <si>
    <t>BETALOC ZOK 100 MG</t>
  </si>
  <si>
    <t>POR TBL PRO 30X100MG</t>
  </si>
  <si>
    <t>58038</t>
  </si>
  <si>
    <t>BETALOC ZOK 50 MG</t>
  </si>
  <si>
    <t>POR TBL PRO 100X50MG</t>
  </si>
  <si>
    <t>Telmisartan a diuretika</t>
  </si>
  <si>
    <t>29679</t>
  </si>
  <si>
    <t>MICARDISPLUS 80 MG/12,5 MG</t>
  </si>
  <si>
    <t>POR TBL NOB 90X1</t>
  </si>
  <si>
    <t>Trimetazidin</t>
  </si>
  <si>
    <t>32917</t>
  </si>
  <si>
    <t>PREDUCTAL MR</t>
  </si>
  <si>
    <t>POR TBL RET 60X35MG</t>
  </si>
  <si>
    <t>Amiodaron</t>
  </si>
  <si>
    <t>13768</t>
  </si>
  <si>
    <t>CORDARONE</t>
  </si>
  <si>
    <t>POR TBL NOB 60X200MG</t>
  </si>
  <si>
    <t>125053</t>
  </si>
  <si>
    <t>POR TBL NOB 100X10MG</t>
  </si>
  <si>
    <t>125050</t>
  </si>
  <si>
    <t>93013</t>
  </si>
  <si>
    <t>93018</t>
  </si>
  <si>
    <t>POR TBL FLM 100X20MG</t>
  </si>
  <si>
    <t>93019</t>
  </si>
  <si>
    <t>POR TBL FLM 30X40MG</t>
  </si>
  <si>
    <t>Citalopram</t>
  </si>
  <si>
    <t>17425</t>
  </si>
  <si>
    <t>CITALEC 10 ZENTIVA</t>
  </si>
  <si>
    <t>168373</t>
  </si>
  <si>
    <t>PRADAXA 150 MG</t>
  </si>
  <si>
    <t>POR CPS DUR 60X1X150MG</t>
  </si>
  <si>
    <t>185471</t>
  </si>
  <si>
    <t>45215</t>
  </si>
  <si>
    <t>ZOXON 4</t>
  </si>
  <si>
    <t>Draslík</t>
  </si>
  <si>
    <t>88356</t>
  </si>
  <si>
    <t>CARDILAN</t>
  </si>
  <si>
    <t>POR TBL NOB 100X175MG/175MG</t>
  </si>
  <si>
    <t>47995</t>
  </si>
  <si>
    <t>POR TBL NOB 30X10MG B</t>
  </si>
  <si>
    <t>96696</t>
  </si>
  <si>
    <t>INDAP</t>
  </si>
  <si>
    <t>POR CPS DUR 30X2.5MG</t>
  </si>
  <si>
    <t>102608</t>
  </si>
  <si>
    <t>CARVESAN 25</t>
  </si>
  <si>
    <t>POR TBL NOB 30X25MG</t>
  </si>
  <si>
    <t>155781</t>
  </si>
  <si>
    <t>GODASAL 100</t>
  </si>
  <si>
    <t>POR TBL NOB 50</t>
  </si>
  <si>
    <t>18630</t>
  </si>
  <si>
    <t>SIOFOR 1000</t>
  </si>
  <si>
    <t>POR TBL FLM 60X1000MG</t>
  </si>
  <si>
    <t>125516</t>
  </si>
  <si>
    <t>APO-METOPROLOL 50</t>
  </si>
  <si>
    <t>POR TBL NOB 100X50MG</t>
  </si>
  <si>
    <t>132638</t>
  </si>
  <si>
    <t>VASOCARDIN 50</t>
  </si>
  <si>
    <t>POR TBL NOB 50X50MG</t>
  </si>
  <si>
    <t>59807</t>
  </si>
  <si>
    <t>SDR INJ SOL ISP 2X0.8MLX19000I</t>
  </si>
  <si>
    <t>49123</t>
  </si>
  <si>
    <t>CONTROLOC 40 MG</t>
  </si>
  <si>
    <t>POR TBL ENT 28X40MG I</t>
  </si>
  <si>
    <t>101227</t>
  </si>
  <si>
    <t>124087</t>
  </si>
  <si>
    <t>124101</t>
  </si>
  <si>
    <t>PRESTANCE 5 MG/10 MG</t>
  </si>
  <si>
    <t>124115</t>
  </si>
  <si>
    <t>PRESTANCE 10 MG/5 MG</t>
  </si>
  <si>
    <t>162008</t>
  </si>
  <si>
    <t>53535</t>
  </si>
  <si>
    <t>PROPAFENON AL 150</t>
  </si>
  <si>
    <t>POR TBL FLM 50X150MG</t>
  </si>
  <si>
    <t>84360</t>
  </si>
  <si>
    <t>TENAXUM</t>
  </si>
  <si>
    <t>POR TBL NOB 30X1MG</t>
  </si>
  <si>
    <t>Sodná sůl metamizolu</t>
  </si>
  <si>
    <t>55823</t>
  </si>
  <si>
    <t>NOVALGIN TABLETY</t>
  </si>
  <si>
    <t>POR TBL FLM 20X500MG</t>
  </si>
  <si>
    <t>Sotalol</t>
  </si>
  <si>
    <t>49013</t>
  </si>
  <si>
    <t>SOTAHEXAL 80</t>
  </si>
  <si>
    <t>POR TBL NOB 50X80MG</t>
  </si>
  <si>
    <t>167855</t>
  </si>
  <si>
    <t>167839</t>
  </si>
  <si>
    <t>TWYNSTA 40 MG/5 MG</t>
  </si>
  <si>
    <t>26571</t>
  </si>
  <si>
    <t>MICARDISPLUS 40 MG/12,5 MG</t>
  </si>
  <si>
    <t>43877</t>
  </si>
  <si>
    <t>VEROGALID ER 240 MG</t>
  </si>
  <si>
    <t>POR TBL PRO 30X240MG</t>
  </si>
  <si>
    <t>Vinpocetin</t>
  </si>
  <si>
    <t>10252</t>
  </si>
  <si>
    <t>CAVINTON FORTE</t>
  </si>
  <si>
    <t>POR TBL NOB 30X10MG</t>
  </si>
  <si>
    <t>190976</t>
  </si>
  <si>
    <t>TRIPLIXAM 10 MG/2,5 MG/10 MG</t>
  </si>
  <si>
    <t>POR TBL FLM 100X10MG/2.5MG/10M</t>
  </si>
  <si>
    <t>190958</t>
  </si>
  <si>
    <t>POR TBL FLM 30X5MG/1.25MG/5MG</t>
  </si>
  <si>
    <t>Ambulance - tělovýchovné lékařství</t>
  </si>
  <si>
    <t>Ambulance-tělovýchovné lékařství</t>
  </si>
  <si>
    <t>Ambulance kardiologická</t>
  </si>
  <si>
    <t>Preskripce a záchyt receptů a poukazů - orientační přehled</t>
  </si>
  <si>
    <t>Přehled plnění pozitivního listu (PL) - 
   preskripce léčivých přípravků dle objemu Kč mimo PL</t>
  </si>
  <si>
    <t>C10AA05 - Atorvastatin</t>
  </si>
  <si>
    <t>C07AB07 - Bisoprolol</t>
  </si>
  <si>
    <t>C01BC03 - Propafenon</t>
  </si>
  <si>
    <t>B01AC04 - Klopidogrel</t>
  </si>
  <si>
    <t>C08CA08 - Nitrendipin</t>
  </si>
  <si>
    <t>H03AA01 - Levothyroxin, sodná sůl</t>
  </si>
  <si>
    <t>A10BA02 - Metformin</t>
  </si>
  <si>
    <t>C07AG02 - Karvedilol</t>
  </si>
  <si>
    <t>N05BA12 - Alprazolam</t>
  </si>
  <si>
    <t>C01BD01 - Amiodaron</t>
  </si>
  <si>
    <t>M01AX17 - Nimesulid</t>
  </si>
  <si>
    <t>G04CA02 - Tamsulosin</t>
  </si>
  <si>
    <t>C07AB05 - Betaxolol</t>
  </si>
  <si>
    <t>C09DA01 - Losartan a diuretika</t>
  </si>
  <si>
    <t>B01AB06 - Nadroparin</t>
  </si>
  <si>
    <t>C10AB05 - Fenofibrát</t>
  </si>
  <si>
    <t>A10BB12 - Glimepirid</t>
  </si>
  <si>
    <t>C02AC05 - Moxonidin</t>
  </si>
  <si>
    <t>B01AA03 - Warfarin</t>
  </si>
  <si>
    <t>C09CA07 - Telmisartan</t>
  </si>
  <si>
    <t>C08DA01 - Verapamil</t>
  </si>
  <si>
    <t>C10AA01 - Simvastatin</t>
  </si>
  <si>
    <t>C09AA04 - Perindopril</t>
  </si>
  <si>
    <t>C10AA07 - Rosuvastatin</t>
  </si>
  <si>
    <t>N03AX12 - Gabapentin</t>
  </si>
  <si>
    <t>C10BX03 - Atorvastatin a amlodipin</t>
  </si>
  <si>
    <t>N06AB04 - Citalopram</t>
  </si>
  <si>
    <t>H02AB04 - Methylprednisolon</t>
  </si>
  <si>
    <t>N06BX18 - Vinpocetin</t>
  </si>
  <si>
    <t>J01FA10 - Azithromycin</t>
  </si>
  <si>
    <t>B01AF02 - Apixaban</t>
  </si>
  <si>
    <t>C02CA04 - Doxazosin</t>
  </si>
  <si>
    <t>C09CA01 - Losartan</t>
  </si>
  <si>
    <t>C09AA05 - Ramipril</t>
  </si>
  <si>
    <t>N06AB10 - Escitalopram</t>
  </si>
  <si>
    <t>C09BA04 - Perindopril a diuretika</t>
  </si>
  <si>
    <t>N07CA01 - Betahistin</t>
  </si>
  <si>
    <t>C09BA05 - Ramipril a diuretika</t>
  </si>
  <si>
    <t>A02BC02 - Pantoprazol</t>
  </si>
  <si>
    <t>C09BB04 - Perindopril a amlodipin</t>
  </si>
  <si>
    <t>A02BC02</t>
  </si>
  <si>
    <t>A10BA02</t>
  </si>
  <si>
    <t>C07AB07</t>
  </si>
  <si>
    <t>M01AX17</t>
  </si>
  <si>
    <t>B01AA03</t>
  </si>
  <si>
    <t>B01AB06</t>
  </si>
  <si>
    <t>B01AC04</t>
  </si>
  <si>
    <t>C01BC03</t>
  </si>
  <si>
    <t>C02CA04</t>
  </si>
  <si>
    <t>C07AB05</t>
  </si>
  <si>
    <t>C08CA08</t>
  </si>
  <si>
    <t>C09AA04</t>
  </si>
  <si>
    <t>C09AA05</t>
  </si>
  <si>
    <t>C09BA04</t>
  </si>
  <si>
    <t>C09BA05</t>
  </si>
  <si>
    <t>C09BB04</t>
  </si>
  <si>
    <t>C09CA01</t>
  </si>
  <si>
    <t>C09CA07</t>
  </si>
  <si>
    <t>C09DA01</t>
  </si>
  <si>
    <t>C10AA01</t>
  </si>
  <si>
    <t>C10AA05</t>
  </si>
  <si>
    <t>C10AA07</t>
  </si>
  <si>
    <t>C10BX03</t>
  </si>
  <si>
    <t>G04CA02</t>
  </si>
  <si>
    <t>H02AB04</t>
  </si>
  <si>
    <t>H03AA01</t>
  </si>
  <si>
    <t>J01FA10</t>
  </si>
  <si>
    <t>N03AX12</t>
  </si>
  <si>
    <t>N05BA12</t>
  </si>
  <si>
    <t>N06AB10</t>
  </si>
  <si>
    <t>N07CA01</t>
  </si>
  <si>
    <t>C01BD01</t>
  </si>
  <si>
    <t>C07AG02</t>
  </si>
  <si>
    <t>C08DA01</t>
  </si>
  <si>
    <t>N06AB04</t>
  </si>
  <si>
    <t>N06BX18</t>
  </si>
  <si>
    <t>A10BB12</t>
  </si>
  <si>
    <t>C02AC05</t>
  </si>
  <si>
    <t>C10AB05</t>
  </si>
  <si>
    <t>B01AF02</t>
  </si>
  <si>
    <t>Přehled plnění PL - Preskripce léčivých přípravků - orientační přehled</t>
  </si>
  <si>
    <t>50115007     implant.dentální-samoplátci (Z526)</t>
  </si>
  <si>
    <t>50115090     ZPr - zubolékařský materiál (Z509)</t>
  </si>
  <si>
    <t>2722</t>
  </si>
  <si>
    <t>(prázdné)</t>
  </si>
  <si>
    <t>(prázdné) Celkem</t>
  </si>
  <si>
    <t>ZA446</t>
  </si>
  <si>
    <t>Vata buničitá přířezy 20 x 30 cm 1230200129</t>
  </si>
  <si>
    <t>ZB758</t>
  </si>
  <si>
    <t>Zkumavka 9 ml K3 edta NR 455036</t>
  </si>
  <si>
    <t>ZB775</t>
  </si>
  <si>
    <t>Zkumavka koagulace 4 ml modrá 454329</t>
  </si>
  <si>
    <t>ZC648</t>
  </si>
  <si>
    <t>Elektroda EKG pěnová pr. 55 mm pro dospělé H-108002</t>
  </si>
  <si>
    <t>50115050</t>
  </si>
  <si>
    <t>502 SZM obvazový (112 02 040)</t>
  </si>
  <si>
    <t>50115060</t>
  </si>
  <si>
    <t>503 SZM ostatní zdravotnický (112 02 100)</t>
  </si>
  <si>
    <t>Spotřeba zdravotnického materiálu - orientační přehled</t>
  </si>
  <si>
    <t>ON Data</t>
  </si>
  <si>
    <t>101 - Pracoviště interního lékařství</t>
  </si>
  <si>
    <t>107 - Pracoviště kardiologie</t>
  </si>
  <si>
    <t>204 - Pracoviště tělovýchovného lékařství</t>
  </si>
  <si>
    <t>301 - Pracoviště pediatrie</t>
  </si>
  <si>
    <t>902 - Samostatné pracoviště fyzioterapeutů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</si>
  <si>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</si>
  <si>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</si>
  <si>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</si>
  <si>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Houda Jiří</t>
  </si>
  <si>
    <t>Kocvrlich Marek</t>
  </si>
  <si>
    <t>Pastucha Dalibor</t>
  </si>
  <si>
    <t>Ripplová Dana</t>
  </si>
  <si>
    <t>Saitzová Kateřina</t>
  </si>
  <si>
    <t>Zdravotní výkony vykázané na pracovišti v rámci ambulantní péče dle lékařů *</t>
  </si>
  <si>
    <t>101</t>
  </si>
  <si>
    <t>V</t>
  </si>
  <si>
    <t>09511</t>
  </si>
  <si>
    <t>MINIMÁLNÍ KONTAKT LÉKAŘE S PACIENTEM</t>
  </si>
  <si>
    <t>11110</t>
  </si>
  <si>
    <t>TEST IZOMETRICKÉ ZÁTĚŽE (HAND-GRIP)</t>
  </si>
  <si>
    <t>11220</t>
  </si>
  <si>
    <t>NEPŘÍMÁ KALORIMETRIE</t>
  </si>
  <si>
    <t>17215</t>
  </si>
  <si>
    <t>ZÁKLADNÍ ERGOMETRICKÉ VYŠETŘENÍ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</si>
  <si>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</si>
  <si>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</si>
  <si>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</si>
  <si>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</si>
  <si>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</si>
  <si>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</si>
  <si>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</si>
  <si>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</si>
  <si>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11021</t>
  </si>
  <si>
    <t>KOMPLEXNÍ VYŠETŘENÍ INTERNISTOU</t>
  </si>
  <si>
    <t>11023</t>
  </si>
  <si>
    <t>KONTROLNÍ VYŠETŘENÍ INTERNISTOU</t>
  </si>
  <si>
    <t>09513</t>
  </si>
  <si>
    <t>TELEFONICKÁ KONZULTACE OŠETŘUJÍCÍHO LÉKAŘE PACIENT</t>
  </si>
  <si>
    <t>09523</t>
  </si>
  <si>
    <t>EDUKAČNÍ POHOVOR LÉKAŘE S NEMOCNÝM ČI RODINOU</t>
  </si>
  <si>
    <t>09125</t>
  </si>
  <si>
    <t>PULZNÍ OXYMETRIE</t>
  </si>
  <si>
    <t>09525</t>
  </si>
  <si>
    <t>ROZHOVOR LÉKAŘE S RODINOU</t>
  </si>
  <si>
    <t>09115</t>
  </si>
  <si>
    <t>ODBĚR BIOLOGICKÉHO MATERIÁLU JINÉHO NEŽ KREV NA KV</t>
  </si>
  <si>
    <t>107</t>
  </si>
  <si>
    <t>17021</t>
  </si>
  <si>
    <t>KOMPLEXNÍ VYŠETŘENÍ KARDIOLOGEM</t>
  </si>
  <si>
    <t>17111</t>
  </si>
  <si>
    <t>EKG VYŠETŘENÍ SPECIALISTOU</t>
  </si>
  <si>
    <t>17240</t>
  </si>
  <si>
    <t>HOLTEROVSKÉ VYŠETŘENÍ</t>
  </si>
  <si>
    <t>17261</t>
  </si>
  <si>
    <t>SPECIALIZOVANÉ ECHOKARDIOGRAFICKÉ VYŠETŘENÍ</t>
  </si>
  <si>
    <t>17129</t>
  </si>
  <si>
    <t>NEINVASIVNÍ AMBULANTNÍ MONITOROVÁNÍ KREVNÍHO TLAKU</t>
  </si>
  <si>
    <t>17113</t>
  </si>
  <si>
    <t>SPECIALIZOVANÉ ERGOMETRICKÉ VYŠETŘENÍ</t>
  </si>
  <si>
    <t>17022</t>
  </si>
  <si>
    <t>CÍLENÉ VYŠETŘENÍ KARDIOLOGEM</t>
  </si>
  <si>
    <t>17023</t>
  </si>
  <si>
    <t>KONTROLNÍ VYŠETŘENÍ KARDIOLOGEM</t>
  </si>
  <si>
    <t>204</t>
  </si>
  <si>
    <t>09220</t>
  </si>
  <si>
    <t>KANYLACE PERIFERNÍ ŽÍLY VČETNĚ INFÚZE</t>
  </si>
  <si>
    <t>24040</t>
  </si>
  <si>
    <t>TELEMETRICKÉ SLEDOVÁNÍ ZÁKLADNÍCH KARDIORESPIRAČNÍ</t>
  </si>
  <si>
    <t>09215</t>
  </si>
  <si>
    <t>INJEKCE I. M., S. C., I. D.</t>
  </si>
  <si>
    <t>24023</t>
  </si>
  <si>
    <t>KONTROLNÍ VYŠETŘENÍ TĚLOVÝCHOVNÝM LÉKAŘEM ZE ZDRAV</t>
  </si>
  <si>
    <t>09219</t>
  </si>
  <si>
    <t xml:space="preserve">INTRAVENÓZNÍ INJEKCE U DOSPĚLÉHO ČI DÍTĚTE NAD 10 </t>
  </si>
  <si>
    <t>24022</t>
  </si>
  <si>
    <t>CÍLENÉ VYŠETŘENÍ TĚLOVÝCHOVNÝM LÉKAŘEM ZE ZDRAVOTN</t>
  </si>
  <si>
    <t>24021</t>
  </si>
  <si>
    <t>KOMPLEXNÍ VYŠETŘENÍ TĚLOVÝCHOVNÝM LÉKAŘEM ZE ZDRAV</t>
  </si>
  <si>
    <t>301</t>
  </si>
  <si>
    <t>31023</t>
  </si>
  <si>
    <t>KONTROLNÍ VYŠETŘENÍ DĚTSKÝM LÉKAŘEM</t>
  </si>
  <si>
    <t>09555</t>
  </si>
  <si>
    <t>OŠETŘENÍ DÍTĚTE DO 6 LET</t>
  </si>
  <si>
    <t>31022</t>
  </si>
  <si>
    <t>CÍLENÉ VYŠETŘENÍ DĚTSKÝM LÉKAŘEM</t>
  </si>
  <si>
    <t>31021</t>
  </si>
  <si>
    <t>KOMPLEXNÍ VYŠETŘENÍ DĚTSKÝM LÉKAŘEM</t>
  </si>
  <si>
    <t>902</t>
  </si>
  <si>
    <t>21215</t>
  </si>
  <si>
    <t>LÉČEBNÁ TĚLESNÁ VÝCHOVA - INSTRUKTÁŽ A ZÁCVIK PACI</t>
  </si>
  <si>
    <t>21219</t>
  </si>
  <si>
    <t xml:space="preserve">LÉČEBNÁ TĚLESNÁ VÝCHOVA INDIVIDUÁLNÍ POD DOHLEDEM </t>
  </si>
  <si>
    <t>21225</t>
  </si>
  <si>
    <t xml:space="preserve">LÉČEBNÁ TĚLESNÁ VÝCHOVA INDIVIDUÁLNÍ - KONDIČNÍ A </t>
  </si>
  <si>
    <t>21717</t>
  </si>
  <si>
    <t>INDIVIDUÁLNÍ LTV - NÁCVIK LOKOMOCE A MOBILITY</t>
  </si>
  <si>
    <t>21001</t>
  </si>
  <si>
    <t>KOMPLEXNÍ KINEZIOLOGICKÉ VYŠETŘENÍ</t>
  </si>
  <si>
    <t>21413</t>
  </si>
  <si>
    <t>TECHNIKY MĚKKÝCH TKÁNÍ</t>
  </si>
  <si>
    <t>21003</t>
  </si>
  <si>
    <t>KONTROLNÍ KINEZIOLOGICKÉ VYŠETŘENÍ</t>
  </si>
  <si>
    <t>21113</t>
  </si>
  <si>
    <t>FYZIKÁLNÍ TERAPIE II</t>
  </si>
  <si>
    <t>21713</t>
  </si>
  <si>
    <t>MASÁŽ REFLEXNÍ A VAZIVOVÁ</t>
  </si>
  <si>
    <t>21117</t>
  </si>
  <si>
    <t>FYZIKÁLNÍ TERAPIE IV</t>
  </si>
  <si>
    <t>21002</t>
  </si>
  <si>
    <t>KINEZIOLOGICKÉ VYŠETŘENÍ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</si>
  <si>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</si>
  <si>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</si>
  <si>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</si>
  <si>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</si>
  <si>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10 - Dětská klinika</t>
  </si>
  <si>
    <t>16 - Klinika plicních nemocí a tuberkulózy</t>
  </si>
  <si>
    <t>01</t>
  </si>
  <si>
    <t>02</t>
  </si>
  <si>
    <t>03</t>
  </si>
  <si>
    <t>10</t>
  </si>
  <si>
    <t>16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</si>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</sst>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1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4" fillId="8" borderId="75" xfId="0" applyNumberFormat="1" applyFont="1" applyFill="1" applyBorder="1"/>
    <xf numFmtId="3" fontId="54" fillId="8" borderId="74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6" fillId="2" borderId="81" xfId="0" applyNumberFormat="1" applyFont="1" applyFill="1" applyBorder="1" applyAlignment="1">
      <alignment horizontal="center" vertical="center" wrapText="1"/>
    </xf>
    <xf numFmtId="0" fontId="56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6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1" fillId="0" borderId="102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0" fontId="33" fillId="0" borderId="109" xfId="0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0" xfId="79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80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33" fillId="0" borderId="137" xfId="0" applyFont="1" applyFill="1" applyBorder="1"/>
    <xf numFmtId="0" fontId="33" fillId="0" borderId="138" xfId="0" applyFont="1" applyFill="1" applyBorder="1"/>
    <xf numFmtId="0" fontId="33" fillId="0" borderId="138" xfId="0" applyFont="1" applyFill="1" applyBorder="1" applyAlignment="1">
      <alignment horizontal="right"/>
    </xf>
    <xf numFmtId="0" fontId="33" fillId="0" borderId="138" xfId="0" applyFont="1" applyFill="1" applyBorder="1" applyAlignment="1">
      <alignment horizontal="left"/>
    </xf>
    <xf numFmtId="164" fontId="33" fillId="0" borderId="138" xfId="0" applyNumberFormat="1" applyFont="1" applyFill="1" applyBorder="1"/>
    <xf numFmtId="165" fontId="33" fillId="0" borderId="138" xfId="0" applyNumberFormat="1" applyFont="1" applyFill="1" applyBorder="1"/>
    <xf numFmtId="9" fontId="33" fillId="0" borderId="138" xfId="0" applyNumberFormat="1" applyFont="1" applyFill="1" applyBorder="1"/>
    <xf numFmtId="9" fontId="33" fillId="0" borderId="139" xfId="0" applyNumberFormat="1" applyFont="1" applyFill="1" applyBorder="1"/>
    <xf numFmtId="0" fontId="40" fillId="2" borderId="52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25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3" fontId="33" fillId="0" borderId="139" xfId="0" applyNumberFormat="1" applyFont="1" applyFill="1" applyBorder="1"/>
    <xf numFmtId="3" fontId="33" fillId="0" borderId="141" xfId="0" applyNumberFormat="1" applyFont="1" applyFill="1" applyBorder="1"/>
    <xf numFmtId="9" fontId="33" fillId="0" borderId="141" xfId="0" applyNumberFormat="1" applyFont="1" applyFill="1" applyBorder="1"/>
    <xf numFmtId="3" fontId="33" fillId="0" borderId="142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4" xfId="0" applyFont="1" applyFill="1" applyBorder="1"/>
    <xf numFmtId="0" fontId="40" fillId="0" borderId="140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54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164" fontId="33" fillId="0" borderId="138" xfId="0" applyNumberFormat="1" applyFont="1" applyFill="1" applyBorder="1" applyAlignment="1">
      <alignment horizontal="right"/>
    </xf>
    <xf numFmtId="173" fontId="40" fillId="4" borderId="146" xfId="0" applyNumberFormat="1" applyFont="1" applyFill="1" applyBorder="1" applyAlignment="1">
      <alignment horizontal="center"/>
    </xf>
    <xf numFmtId="0" fontId="0" fillId="0" borderId="147" xfId="0" applyBorder="1" applyAlignment="1"/>
    <xf numFmtId="173" fontId="40" fillId="4" borderId="147" xfId="0" applyNumberFormat="1" applyFont="1" applyFill="1" applyBorder="1" applyAlignment="1">
      <alignment horizontal="center"/>
    </xf>
    <xf numFmtId="0" fontId="0" fillId="0" borderId="147" xfId="0" applyBorder="1" applyAlignment="1">
      <alignment horizontal="center"/>
    </xf>
    <xf numFmtId="173" fontId="33" fillId="0" borderId="148" xfId="0" applyNumberFormat="1" applyFont="1" applyBorder="1" applyAlignment="1">
      <alignment horizontal="right"/>
    </xf>
    <xf numFmtId="0" fontId="0" fillId="0" borderId="149" xfId="0" applyBorder="1" applyAlignment="1">
      <alignment horizontal="right"/>
    </xf>
    <xf numFmtId="173" fontId="33" fillId="0" borderId="149" xfId="0" applyNumberFormat="1" applyFont="1" applyBorder="1" applyAlignment="1">
      <alignment horizontal="right"/>
    </xf>
    <xf numFmtId="173" fontId="33" fillId="0" borderId="149" xfId="0" applyNumberFormat="1" applyFont="1" applyBorder="1" applyAlignment="1">
      <alignment horizontal="right" wrapText="1"/>
    </xf>
    <xf numFmtId="0" fontId="0" fillId="0" borderId="149" xfId="0" applyBorder="1" applyAlignment="1">
      <alignment horizontal="right" wrapText="1"/>
    </xf>
    <xf numFmtId="175" fontId="33" fillId="0" borderId="148" xfId="0" applyNumberFormat="1" applyFont="1" applyBorder="1" applyAlignment="1">
      <alignment horizontal="right"/>
    </xf>
    <xf numFmtId="175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0" fillId="0" borderId="151" xfId="0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45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4" xfId="0" applyNumberFormat="1" applyFont="1" applyBorder="1"/>
    <xf numFmtId="174" fontId="33" fillId="0" borderId="153" xfId="0" applyNumberFormat="1" applyFont="1" applyBorder="1"/>
    <xf numFmtId="173" fontId="40" fillId="4" borderId="57" xfId="0" applyNumberFormat="1" applyFont="1" applyFill="1" applyBorder="1" applyAlignment="1"/>
    <xf numFmtId="173" fontId="33" fillId="0" borderId="144" xfId="0" applyNumberFormat="1" applyFont="1" applyBorder="1"/>
    <xf numFmtId="173" fontId="33" fillId="0" borderId="145" xfId="0" applyNumberFormat="1" applyFont="1" applyBorder="1"/>
    <xf numFmtId="173" fontId="40" fillId="2" borderId="57" xfId="0" applyNumberFormat="1" applyFont="1" applyFill="1" applyBorder="1" applyAlignment="1"/>
    <xf numFmtId="173" fontId="33" fillId="0" borderId="153" xfId="0" applyNumberFormat="1" applyFont="1" applyBorder="1"/>
    <xf numFmtId="173" fontId="33" fillId="0" borderId="57" xfId="0" applyNumberFormat="1" applyFont="1" applyBorder="1"/>
    <xf numFmtId="173" fontId="40" fillId="4" borderId="154" xfId="0" applyNumberFormat="1" applyFont="1" applyFill="1" applyBorder="1" applyAlignment="1">
      <alignment horizontal="center"/>
    </xf>
    <xf numFmtId="173" fontId="33" fillId="0" borderId="155" xfId="0" applyNumberFormat="1" applyFont="1" applyBorder="1" applyAlignment="1">
      <alignment horizontal="right"/>
    </xf>
    <xf numFmtId="175" fontId="33" fillId="0" borderId="155" xfId="0" applyNumberFormat="1" applyFont="1" applyBorder="1" applyAlignment="1">
      <alignment horizontal="right"/>
    </xf>
    <xf numFmtId="173" fontId="33" fillId="0" borderId="156" xfId="0" applyNumberFormat="1" applyFont="1" applyBorder="1" applyAlignment="1">
      <alignment horizontal="right"/>
    </xf>
    <xf numFmtId="0" fontId="0" fillId="0" borderId="152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7" xfId="0" applyNumberFormat="1" applyFont="1" applyBorder="1" applyAlignment="1">
      <alignment horizontal="right"/>
    </xf>
    <xf numFmtId="175" fontId="33" fillId="0" borderId="157" xfId="0" applyNumberFormat="1" applyFont="1" applyBorder="1" applyAlignment="1">
      <alignment horizontal="right"/>
    </xf>
    <xf numFmtId="173" fontId="33" fillId="0" borderId="143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5" xfId="0" applyNumberFormat="1" applyFont="1" applyFill="1" applyBorder="1"/>
    <xf numFmtId="169" fontId="33" fillId="0" borderId="138" xfId="0" applyNumberFormat="1" applyFont="1" applyFill="1" applyBorder="1"/>
    <xf numFmtId="0" fontId="40" fillId="0" borderId="137" xfId="0" applyFont="1" applyFill="1" applyBorder="1"/>
    <xf numFmtId="169" fontId="33" fillId="0" borderId="27" xfId="0" applyNumberFormat="1" applyFont="1" applyFill="1" applyBorder="1"/>
    <xf numFmtId="0" fontId="33" fillId="0" borderId="27" xfId="0" applyFont="1" applyFill="1" applyBorder="1"/>
    <xf numFmtId="0" fontId="40" fillId="0" borderId="19" xfId="0" applyFont="1" applyFill="1" applyBorder="1"/>
    <xf numFmtId="169" fontId="33" fillId="0" borderId="25" xfId="0" applyNumberFormat="1" applyFont="1" applyFill="1" applyBorder="1"/>
    <xf numFmtId="169" fontId="33" fillId="0" borderId="136" xfId="0" applyNumberFormat="1" applyFont="1" applyFill="1" applyBorder="1"/>
    <xf numFmtId="169" fontId="33" fillId="0" borderId="139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0.62438740691481021</c:v>
                </c:pt>
                <c:pt idx="1">
                  <c:v>0.7357429339741075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55268352"/>
        <c:axId val="-185526780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0.37968103461269187</c:v>
                </c:pt>
                <c:pt idx="1">
                  <c:v>0.37968103461269187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87466064"/>
        <c:axId val="-1087464976"/>
      </c:scatterChart>
      <c:catAx>
        <c:axId val="-1855268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85526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552678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855268352"/>
        <c:crosses val="autoZero"/>
        <c:crossBetween val="between"/>
      </c:valAx>
      <c:valAx>
        <c:axId val="-108746606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087464976"/>
        <c:crosses val="max"/>
        <c:crossBetween val="midCat"/>
      </c:valAx>
      <c:valAx>
        <c:axId val="-10874649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08746606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4" t="s">
        <v>250</v>
      </c>
      <c r="B2" s="46"/>
    </row>
    <row r="3" spans="1:3" ht="14.4" customHeight="1" thickBot="1" x14ac:dyDescent="0.35">
      <c r="A3" s="321" t="s">
        <v>140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252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7" t="str">
        <f t="shared" ref="A12:A21" si="2">HYPERLINK("#'"&amp;C12&amp;"'!A1",C12)</f>
        <v>LŽ Detail</v>
      </c>
      <c r="B12" s="90" t="s">
        <v>160</v>
      </c>
      <c r="C12" s="47" t="s">
        <v>115</v>
      </c>
    </row>
    <row r="13" spans="1:3" ht="14.4" customHeight="1" x14ac:dyDescent="0.3">
      <c r="A13" s="147" t="str">
        <f t="shared" si="2"/>
        <v>LŽ Statim</v>
      </c>
      <c r="B13" s="308" t="s">
        <v>205</v>
      </c>
      <c r="C13" s="47" t="s">
        <v>215</v>
      </c>
    </row>
    <row r="14" spans="1:3" ht="14.4" customHeight="1" x14ac:dyDescent="0.3">
      <c r="A14" s="147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7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7" t="str">
        <f t="shared" si="2"/>
        <v>LRp Detail</v>
      </c>
      <c r="B16" s="90" t="s">
        <v>1150</v>
      </c>
      <c r="C16" s="47" t="s">
        <v>117</v>
      </c>
    </row>
    <row r="17" spans="1:3" ht="28.8" customHeight="1" x14ac:dyDescent="0.3">
      <c r="A17" s="147" t="str">
        <f t="shared" si="2"/>
        <v>LRp PL</v>
      </c>
      <c r="B17" s="559" t="s">
        <v>1151</v>
      </c>
      <c r="C17" s="47" t="s">
        <v>143</v>
      </c>
    </row>
    <row r="18" spans="1:3" ht="14.4" customHeight="1" x14ac:dyDescent="0.3">
      <c r="A18" s="147" t="str">
        <f>HYPERLINK("#'"&amp;C18&amp;"'!A1",C18)</f>
        <v>LRp PL Detail</v>
      </c>
      <c r="B18" s="90" t="s">
        <v>1232</v>
      </c>
      <c r="C18" s="47" t="s">
        <v>144</v>
      </c>
    </row>
    <row r="19" spans="1:3" ht="14.4" customHeight="1" x14ac:dyDescent="0.3">
      <c r="A19" s="149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7" t="str">
        <f t="shared" si="2"/>
        <v>MŽ Detail</v>
      </c>
      <c r="B20" s="90" t="s">
        <v>1250</v>
      </c>
      <c r="C20" s="47" t="s">
        <v>119</v>
      </c>
    </row>
    <row r="21" spans="1:3" ht="14.4" customHeight="1" thickBot="1" x14ac:dyDescent="0.35">
      <c r="A21" s="149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4" t="s">
        <v>110</v>
      </c>
      <c r="B23" s="322"/>
    </row>
    <row r="24" spans="1:3" ht="14.4" customHeight="1" x14ac:dyDescent="0.3">
      <c r="A24" s="150" t="str">
        <f t="shared" ref="A24:A28" si="4">HYPERLINK("#'"&amp;C24&amp;"'!A1",C24)</f>
        <v>ZV Vykáz.-A</v>
      </c>
      <c r="B24" s="89" t="s">
        <v>1257</v>
      </c>
      <c r="C24" s="47" t="s">
        <v>123</v>
      </c>
    </row>
    <row r="25" spans="1:3" ht="14.4" customHeight="1" x14ac:dyDescent="0.3">
      <c r="A25" s="147" t="str">
        <f t="shared" ref="A25" si="5">HYPERLINK("#'"&amp;C25&amp;"'!A1",C25)</f>
        <v>ZV Vykáz.-A Lékaři</v>
      </c>
      <c r="B25" s="90" t="s">
        <v>1265</v>
      </c>
      <c r="C25" s="47" t="s">
        <v>218</v>
      </c>
    </row>
    <row r="26" spans="1:3" ht="14.4" customHeight="1" x14ac:dyDescent="0.3">
      <c r="A26" s="147" t="str">
        <f t="shared" si="4"/>
        <v>ZV Vykáz.-A Detail</v>
      </c>
      <c r="B26" s="90" t="s">
        <v>1362</v>
      </c>
      <c r="C26" s="47" t="s">
        <v>124</v>
      </c>
    </row>
    <row r="27" spans="1:3" ht="14.4" customHeight="1" x14ac:dyDescent="0.3">
      <c r="A27" s="147" t="str">
        <f t="shared" si="4"/>
        <v>ZV Vykáz.-H</v>
      </c>
      <c r="B27" s="90" t="s">
        <v>127</v>
      </c>
      <c r="C27" s="47" t="s">
        <v>125</v>
      </c>
    </row>
    <row r="28" spans="1:3" ht="14.4" customHeight="1" x14ac:dyDescent="0.3">
      <c r="A28" s="147" t="str">
        <f t="shared" si="4"/>
        <v>ZV Vykáz.-H Detail</v>
      </c>
      <c r="B28" s="90" t="s">
        <v>1373</v>
      </c>
      <c r="C28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4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138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4" t="s">
        <v>250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145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7">
        <v>27</v>
      </c>
      <c r="B5" s="448" t="s">
        <v>451</v>
      </c>
      <c r="C5" s="451">
        <v>107161.88999999997</v>
      </c>
      <c r="D5" s="451">
        <v>214</v>
      </c>
      <c r="E5" s="451">
        <v>50647.859999999986</v>
      </c>
      <c r="F5" s="493">
        <v>0.47262940211300863</v>
      </c>
      <c r="G5" s="451">
        <v>91</v>
      </c>
      <c r="H5" s="493">
        <v>0.42523364485981308</v>
      </c>
      <c r="I5" s="451">
        <v>56514.029999999984</v>
      </c>
      <c r="J5" s="493">
        <v>0.52737059788699137</v>
      </c>
      <c r="K5" s="451">
        <v>123</v>
      </c>
      <c r="L5" s="493">
        <v>0.57476635514018692</v>
      </c>
      <c r="M5" s="451" t="s">
        <v>69</v>
      </c>
      <c r="N5" s="151"/>
    </row>
    <row r="6" spans="1:14" ht="14.4" customHeight="1" x14ac:dyDescent="0.3">
      <c r="A6" s="447">
        <v>27</v>
      </c>
      <c r="B6" s="448" t="s">
        <v>456</v>
      </c>
      <c r="C6" s="451">
        <v>104341.88999999997</v>
      </c>
      <c r="D6" s="451">
        <v>211</v>
      </c>
      <c r="E6" s="451">
        <v>47827.859999999986</v>
      </c>
      <c r="F6" s="493">
        <v>0.45837640088750548</v>
      </c>
      <c r="G6" s="451">
        <v>88</v>
      </c>
      <c r="H6" s="493">
        <v>0.41706161137440756</v>
      </c>
      <c r="I6" s="451">
        <v>56514.029999999984</v>
      </c>
      <c r="J6" s="493">
        <v>0.54162359911249447</v>
      </c>
      <c r="K6" s="451">
        <v>123</v>
      </c>
      <c r="L6" s="493">
        <v>0.58293838862559244</v>
      </c>
      <c r="M6" s="451" t="s">
        <v>1</v>
      </c>
      <c r="N6" s="151"/>
    </row>
    <row r="7" spans="1:14" ht="14.4" customHeight="1" x14ac:dyDescent="0.3">
      <c r="A7" s="447">
        <v>27</v>
      </c>
      <c r="B7" s="448" t="s">
        <v>457</v>
      </c>
      <c r="C7" s="451">
        <v>2820</v>
      </c>
      <c r="D7" s="451">
        <v>3</v>
      </c>
      <c r="E7" s="451">
        <v>2820</v>
      </c>
      <c r="F7" s="493">
        <v>1</v>
      </c>
      <c r="G7" s="451">
        <v>3</v>
      </c>
      <c r="H7" s="493">
        <v>1</v>
      </c>
      <c r="I7" s="451" t="s">
        <v>415</v>
      </c>
      <c r="J7" s="493">
        <v>0</v>
      </c>
      <c r="K7" s="451" t="s">
        <v>415</v>
      </c>
      <c r="L7" s="493">
        <v>0</v>
      </c>
      <c r="M7" s="451" t="s">
        <v>1</v>
      </c>
      <c r="N7" s="151"/>
    </row>
    <row r="8" spans="1:14" ht="14.4" customHeight="1" x14ac:dyDescent="0.3">
      <c r="A8" s="447" t="s">
        <v>413</v>
      </c>
      <c r="B8" s="448" t="s">
        <v>3</v>
      </c>
      <c r="C8" s="451">
        <v>107161.88999999997</v>
      </c>
      <c r="D8" s="451">
        <v>214</v>
      </c>
      <c r="E8" s="451">
        <v>50647.859999999986</v>
      </c>
      <c r="F8" s="493">
        <v>0.47262940211300863</v>
      </c>
      <c r="G8" s="451">
        <v>91</v>
      </c>
      <c r="H8" s="493">
        <v>0.42523364485981308</v>
      </c>
      <c r="I8" s="451">
        <v>56514.029999999984</v>
      </c>
      <c r="J8" s="493">
        <v>0.52737059788699137</v>
      </c>
      <c r="K8" s="451">
        <v>123</v>
      </c>
      <c r="L8" s="493">
        <v>0.57476635514018692</v>
      </c>
      <c r="M8" s="451" t="s">
        <v>417</v>
      </c>
      <c r="N8" s="151"/>
    </row>
    <row r="10" spans="1:14" ht="14.4" customHeight="1" x14ac:dyDescent="0.3">
      <c r="A10" s="447">
        <v>27</v>
      </c>
      <c r="B10" s="448" t="s">
        <v>451</v>
      </c>
      <c r="C10" s="451" t="s">
        <v>415</v>
      </c>
      <c r="D10" s="451" t="s">
        <v>415</v>
      </c>
      <c r="E10" s="451" t="s">
        <v>415</v>
      </c>
      <c r="F10" s="493" t="s">
        <v>415</v>
      </c>
      <c r="G10" s="451" t="s">
        <v>415</v>
      </c>
      <c r="H10" s="493" t="s">
        <v>415</v>
      </c>
      <c r="I10" s="451" t="s">
        <v>415</v>
      </c>
      <c r="J10" s="493" t="s">
        <v>415</v>
      </c>
      <c r="K10" s="451" t="s">
        <v>415</v>
      </c>
      <c r="L10" s="493" t="s">
        <v>415</v>
      </c>
      <c r="M10" s="451" t="s">
        <v>69</v>
      </c>
      <c r="N10" s="151"/>
    </row>
    <row r="11" spans="1:14" ht="14.4" customHeight="1" x14ac:dyDescent="0.3">
      <c r="A11" s="447" t="s">
        <v>458</v>
      </c>
      <c r="B11" s="448" t="s">
        <v>456</v>
      </c>
      <c r="C11" s="451">
        <v>2922.95</v>
      </c>
      <c r="D11" s="451">
        <v>19</v>
      </c>
      <c r="E11" s="451">
        <v>1241.97</v>
      </c>
      <c r="F11" s="493">
        <v>0.42490292341641156</v>
      </c>
      <c r="G11" s="451">
        <v>7</v>
      </c>
      <c r="H11" s="493">
        <v>0.36842105263157893</v>
      </c>
      <c r="I11" s="451">
        <v>1680.9799999999998</v>
      </c>
      <c r="J11" s="493">
        <v>0.57509707658358844</v>
      </c>
      <c r="K11" s="451">
        <v>12</v>
      </c>
      <c r="L11" s="493">
        <v>0.63157894736842102</v>
      </c>
      <c r="M11" s="451" t="s">
        <v>1</v>
      </c>
      <c r="N11" s="151"/>
    </row>
    <row r="12" spans="1:14" ht="14.4" customHeight="1" x14ac:dyDescent="0.3">
      <c r="A12" s="447" t="s">
        <v>458</v>
      </c>
      <c r="B12" s="448" t="s">
        <v>459</v>
      </c>
      <c r="C12" s="451">
        <v>2922.95</v>
      </c>
      <c r="D12" s="451">
        <v>19</v>
      </c>
      <c r="E12" s="451">
        <v>1241.97</v>
      </c>
      <c r="F12" s="493">
        <v>0.42490292341641156</v>
      </c>
      <c r="G12" s="451">
        <v>7</v>
      </c>
      <c r="H12" s="493">
        <v>0.36842105263157893</v>
      </c>
      <c r="I12" s="451">
        <v>1680.9799999999998</v>
      </c>
      <c r="J12" s="493">
        <v>0.57509707658358844</v>
      </c>
      <c r="K12" s="451">
        <v>12</v>
      </c>
      <c r="L12" s="493">
        <v>0.63157894736842102</v>
      </c>
      <c r="M12" s="451" t="s">
        <v>421</v>
      </c>
      <c r="N12" s="151"/>
    </row>
    <row r="13" spans="1:14" ht="14.4" customHeight="1" x14ac:dyDescent="0.3">
      <c r="A13" s="447" t="s">
        <v>415</v>
      </c>
      <c r="B13" s="448" t="s">
        <v>415</v>
      </c>
      <c r="C13" s="451" t="s">
        <v>415</v>
      </c>
      <c r="D13" s="451" t="s">
        <v>415</v>
      </c>
      <c r="E13" s="451" t="s">
        <v>415</v>
      </c>
      <c r="F13" s="493" t="s">
        <v>415</v>
      </c>
      <c r="G13" s="451" t="s">
        <v>415</v>
      </c>
      <c r="H13" s="493" t="s">
        <v>415</v>
      </c>
      <c r="I13" s="451" t="s">
        <v>415</v>
      </c>
      <c r="J13" s="493" t="s">
        <v>415</v>
      </c>
      <c r="K13" s="451" t="s">
        <v>415</v>
      </c>
      <c r="L13" s="493" t="s">
        <v>415</v>
      </c>
      <c r="M13" s="451" t="s">
        <v>422</v>
      </c>
      <c r="N13" s="151"/>
    </row>
    <row r="14" spans="1:14" ht="14.4" customHeight="1" x14ac:dyDescent="0.3">
      <c r="A14" s="447" t="s">
        <v>460</v>
      </c>
      <c r="B14" s="448" t="s">
        <v>456</v>
      </c>
      <c r="C14" s="451">
        <v>69561.51999999999</v>
      </c>
      <c r="D14" s="451">
        <v>140</v>
      </c>
      <c r="E14" s="451">
        <v>31735.599999999991</v>
      </c>
      <c r="F14" s="493">
        <v>0.45622349827893349</v>
      </c>
      <c r="G14" s="451">
        <v>56</v>
      </c>
      <c r="H14" s="493">
        <v>0.4</v>
      </c>
      <c r="I14" s="451">
        <v>37825.919999999991</v>
      </c>
      <c r="J14" s="493">
        <v>0.5437765017210664</v>
      </c>
      <c r="K14" s="451">
        <v>84</v>
      </c>
      <c r="L14" s="493">
        <v>0.6</v>
      </c>
      <c r="M14" s="451" t="s">
        <v>1</v>
      </c>
      <c r="N14" s="151"/>
    </row>
    <row r="15" spans="1:14" ht="14.4" customHeight="1" x14ac:dyDescent="0.3">
      <c r="A15" s="447" t="s">
        <v>460</v>
      </c>
      <c r="B15" s="448" t="s">
        <v>457</v>
      </c>
      <c r="C15" s="451">
        <v>2820</v>
      </c>
      <c r="D15" s="451">
        <v>3</v>
      </c>
      <c r="E15" s="451">
        <v>2820</v>
      </c>
      <c r="F15" s="493">
        <v>1</v>
      </c>
      <c r="G15" s="451">
        <v>3</v>
      </c>
      <c r="H15" s="493">
        <v>1</v>
      </c>
      <c r="I15" s="451" t="s">
        <v>415</v>
      </c>
      <c r="J15" s="493">
        <v>0</v>
      </c>
      <c r="K15" s="451" t="s">
        <v>415</v>
      </c>
      <c r="L15" s="493">
        <v>0</v>
      </c>
      <c r="M15" s="451" t="s">
        <v>1</v>
      </c>
      <c r="N15" s="151"/>
    </row>
    <row r="16" spans="1:14" ht="14.4" customHeight="1" x14ac:dyDescent="0.3">
      <c r="A16" s="447" t="s">
        <v>460</v>
      </c>
      <c r="B16" s="448" t="s">
        <v>461</v>
      </c>
      <c r="C16" s="451">
        <v>72381.51999999999</v>
      </c>
      <c r="D16" s="451">
        <v>143</v>
      </c>
      <c r="E16" s="451">
        <v>34555.599999999991</v>
      </c>
      <c r="F16" s="493">
        <v>0.47740915084402752</v>
      </c>
      <c r="G16" s="451">
        <v>59</v>
      </c>
      <c r="H16" s="493">
        <v>0.41258741258741261</v>
      </c>
      <c r="I16" s="451">
        <v>37825.919999999991</v>
      </c>
      <c r="J16" s="493">
        <v>0.52259084915597231</v>
      </c>
      <c r="K16" s="451">
        <v>84</v>
      </c>
      <c r="L16" s="493">
        <v>0.58741258741258739</v>
      </c>
      <c r="M16" s="451" t="s">
        <v>421</v>
      </c>
      <c r="N16" s="151"/>
    </row>
    <row r="17" spans="1:14" ht="14.4" customHeight="1" x14ac:dyDescent="0.3">
      <c r="A17" s="447" t="s">
        <v>415</v>
      </c>
      <c r="B17" s="448" t="s">
        <v>415</v>
      </c>
      <c r="C17" s="451" t="s">
        <v>415</v>
      </c>
      <c r="D17" s="451" t="s">
        <v>415</v>
      </c>
      <c r="E17" s="451" t="s">
        <v>415</v>
      </c>
      <c r="F17" s="493" t="s">
        <v>415</v>
      </c>
      <c r="G17" s="451" t="s">
        <v>415</v>
      </c>
      <c r="H17" s="493" t="s">
        <v>415</v>
      </c>
      <c r="I17" s="451" t="s">
        <v>415</v>
      </c>
      <c r="J17" s="493" t="s">
        <v>415</v>
      </c>
      <c r="K17" s="451" t="s">
        <v>415</v>
      </c>
      <c r="L17" s="493" t="s">
        <v>415</v>
      </c>
      <c r="M17" s="451" t="s">
        <v>422</v>
      </c>
      <c r="N17" s="151"/>
    </row>
    <row r="18" spans="1:14" ht="14.4" customHeight="1" x14ac:dyDescent="0.3">
      <c r="A18" s="447" t="s">
        <v>462</v>
      </c>
      <c r="B18" s="448" t="s">
        <v>456</v>
      </c>
      <c r="C18" s="451">
        <v>31857.419999999991</v>
      </c>
      <c r="D18" s="451">
        <v>52</v>
      </c>
      <c r="E18" s="451">
        <v>14850.289999999999</v>
      </c>
      <c r="F18" s="493">
        <v>0.46614854561354946</v>
      </c>
      <c r="G18" s="451">
        <v>25</v>
      </c>
      <c r="H18" s="493">
        <v>0.48076923076923078</v>
      </c>
      <c r="I18" s="451">
        <v>17007.129999999994</v>
      </c>
      <c r="J18" s="493">
        <v>0.53385145438645054</v>
      </c>
      <c r="K18" s="451">
        <v>27</v>
      </c>
      <c r="L18" s="493">
        <v>0.51923076923076927</v>
      </c>
      <c r="M18" s="451" t="s">
        <v>1</v>
      </c>
      <c r="N18" s="151"/>
    </row>
    <row r="19" spans="1:14" ht="14.4" customHeight="1" x14ac:dyDescent="0.3">
      <c r="A19" s="447" t="s">
        <v>462</v>
      </c>
      <c r="B19" s="448" t="s">
        <v>463</v>
      </c>
      <c r="C19" s="451">
        <v>31857.419999999991</v>
      </c>
      <c r="D19" s="451">
        <v>52</v>
      </c>
      <c r="E19" s="451">
        <v>14850.289999999999</v>
      </c>
      <c r="F19" s="493">
        <v>0.46614854561354946</v>
      </c>
      <c r="G19" s="451">
        <v>25</v>
      </c>
      <c r="H19" s="493">
        <v>0.48076923076923078</v>
      </c>
      <c r="I19" s="451">
        <v>17007.129999999994</v>
      </c>
      <c r="J19" s="493">
        <v>0.53385145438645054</v>
      </c>
      <c r="K19" s="451">
        <v>27</v>
      </c>
      <c r="L19" s="493">
        <v>0.51923076923076927</v>
      </c>
      <c r="M19" s="451" t="s">
        <v>421</v>
      </c>
      <c r="N19" s="151"/>
    </row>
    <row r="20" spans="1:14" ht="14.4" customHeight="1" x14ac:dyDescent="0.3">
      <c r="A20" s="447" t="s">
        <v>415</v>
      </c>
      <c r="B20" s="448" t="s">
        <v>415</v>
      </c>
      <c r="C20" s="451" t="s">
        <v>415</v>
      </c>
      <c r="D20" s="451" t="s">
        <v>415</v>
      </c>
      <c r="E20" s="451" t="s">
        <v>415</v>
      </c>
      <c r="F20" s="493" t="s">
        <v>415</v>
      </c>
      <c r="G20" s="451" t="s">
        <v>415</v>
      </c>
      <c r="H20" s="493" t="s">
        <v>415</v>
      </c>
      <c r="I20" s="451" t="s">
        <v>415</v>
      </c>
      <c r="J20" s="493" t="s">
        <v>415</v>
      </c>
      <c r="K20" s="451" t="s">
        <v>415</v>
      </c>
      <c r="L20" s="493" t="s">
        <v>415</v>
      </c>
      <c r="M20" s="451" t="s">
        <v>422</v>
      </c>
      <c r="N20" s="151"/>
    </row>
    <row r="21" spans="1:14" ht="14.4" customHeight="1" x14ac:dyDescent="0.3">
      <c r="A21" s="447" t="s">
        <v>413</v>
      </c>
      <c r="B21" s="448" t="s">
        <v>464</v>
      </c>
      <c r="C21" s="451">
        <v>107161.88999999998</v>
      </c>
      <c r="D21" s="451">
        <v>214</v>
      </c>
      <c r="E21" s="451">
        <v>50647.859999999993</v>
      </c>
      <c r="F21" s="493">
        <v>0.47262940211300863</v>
      </c>
      <c r="G21" s="451">
        <v>91</v>
      </c>
      <c r="H21" s="493">
        <v>0.42523364485981308</v>
      </c>
      <c r="I21" s="451">
        <v>56514.029999999984</v>
      </c>
      <c r="J21" s="493">
        <v>0.52737059788699125</v>
      </c>
      <c r="K21" s="451">
        <v>123</v>
      </c>
      <c r="L21" s="493">
        <v>0.57476635514018692</v>
      </c>
      <c r="M21" s="451" t="s">
        <v>417</v>
      </c>
      <c r="N21" s="151"/>
    </row>
    <row r="22" spans="1:14" ht="14.4" customHeight="1" x14ac:dyDescent="0.3">
      <c r="A22" s="494" t="s">
        <v>465</v>
      </c>
    </row>
    <row r="23" spans="1:14" ht="14.4" customHeight="1" x14ac:dyDescent="0.3">
      <c r="A23" s="495" t="s">
        <v>466</v>
      </c>
    </row>
    <row r="24" spans="1:14" ht="14.4" customHeight="1" x14ac:dyDescent="0.3">
      <c r="A24" s="494" t="s">
        <v>467</v>
      </c>
    </row>
  </sheetData>
  <autoFilter ref="A4:M4"/>
  <mergeCells count="4">
    <mergeCell ref="E3:H3"/>
    <mergeCell ref="C3:D3"/>
    <mergeCell ref="I3:L3"/>
    <mergeCell ref="A1:L1"/>
  </mergeCells>
  <conditionalFormatting sqref="F4 F9 F22:F1048576">
    <cfRule type="cellIs" dxfId="39" priority="15" stopIfTrue="1" operator="lessThan">
      <formula>0.6</formula>
    </cfRule>
  </conditionalFormatting>
  <conditionalFormatting sqref="B5:B8">
    <cfRule type="expression" dxfId="38" priority="10">
      <formula>AND(LEFT(M5,6)&lt;&gt;"mezera",M5&lt;&gt;"")</formula>
    </cfRule>
  </conditionalFormatting>
  <conditionalFormatting sqref="A5:A8">
    <cfRule type="expression" dxfId="37" priority="8">
      <formula>AND(M5&lt;&gt;"",M5&lt;&gt;"mezeraKL")</formula>
    </cfRule>
  </conditionalFormatting>
  <conditionalFormatting sqref="F5:F8">
    <cfRule type="cellIs" dxfId="36" priority="7" operator="lessThan">
      <formula>0.6</formula>
    </cfRule>
  </conditionalFormatting>
  <conditionalFormatting sqref="B5:L8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8">
    <cfRule type="expression" dxfId="33" priority="12">
      <formula>$M5&lt;&gt;""</formula>
    </cfRule>
  </conditionalFormatting>
  <conditionalFormatting sqref="B10:B21">
    <cfRule type="expression" dxfId="32" priority="4">
      <formula>AND(LEFT(M10,6)&lt;&gt;"mezera",M10&lt;&gt;"")</formula>
    </cfRule>
  </conditionalFormatting>
  <conditionalFormatting sqref="A10:A21">
    <cfRule type="expression" dxfId="31" priority="2">
      <formula>AND(M10&lt;&gt;"",M10&lt;&gt;"mezeraKL")</formula>
    </cfRule>
  </conditionalFormatting>
  <conditionalFormatting sqref="F10:F21">
    <cfRule type="cellIs" dxfId="30" priority="1" operator="lessThan">
      <formula>0.6</formula>
    </cfRule>
  </conditionalFormatting>
  <conditionalFormatting sqref="B10:L21">
    <cfRule type="expression" dxfId="29" priority="3">
      <formula>OR($M10="KL",$M10="SumaKL")</formula>
    </cfRule>
    <cfRule type="expression" dxfId="28" priority="5">
      <formula>$M10="SumaNS"</formula>
    </cfRule>
  </conditionalFormatting>
  <conditionalFormatting sqref="A10:L21">
    <cfRule type="expression" dxfId="27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146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4" t="s">
        <v>250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145</v>
      </c>
      <c r="K3" s="379"/>
      <c r="L3" s="379"/>
      <c r="M3" s="381"/>
    </row>
    <row r="4" spans="1:13" ht="14.4" customHeight="1" thickBot="1" x14ac:dyDescent="0.35">
      <c r="A4" s="475" t="s">
        <v>135</v>
      </c>
      <c r="B4" s="476" t="s">
        <v>19</v>
      </c>
      <c r="C4" s="499"/>
      <c r="D4" s="476" t="s">
        <v>20</v>
      </c>
      <c r="E4" s="499"/>
      <c r="F4" s="476" t="s">
        <v>19</v>
      </c>
      <c r="G4" s="479" t="s">
        <v>2</v>
      </c>
      <c r="H4" s="476" t="s">
        <v>20</v>
      </c>
      <c r="I4" s="479" t="s">
        <v>2</v>
      </c>
      <c r="J4" s="476" t="s">
        <v>19</v>
      </c>
      <c r="K4" s="479" t="s">
        <v>2</v>
      </c>
      <c r="L4" s="476" t="s">
        <v>20</v>
      </c>
      <c r="M4" s="480" t="s">
        <v>2</v>
      </c>
    </row>
    <row r="5" spans="1:13" ht="14.4" customHeight="1" x14ac:dyDescent="0.3">
      <c r="A5" s="496" t="s">
        <v>468</v>
      </c>
      <c r="B5" s="489">
        <v>882.02</v>
      </c>
      <c r="C5" s="458">
        <v>1</v>
      </c>
      <c r="D5" s="501">
        <v>12</v>
      </c>
      <c r="E5" s="506" t="s">
        <v>468</v>
      </c>
      <c r="F5" s="489">
        <v>289.86</v>
      </c>
      <c r="G5" s="481">
        <v>0.32863200380943747</v>
      </c>
      <c r="H5" s="461">
        <v>4</v>
      </c>
      <c r="I5" s="482">
        <v>0.33333333333333331</v>
      </c>
      <c r="J5" s="509">
        <v>592.16</v>
      </c>
      <c r="K5" s="481">
        <v>0.67136799619056253</v>
      </c>
      <c r="L5" s="461">
        <v>8</v>
      </c>
      <c r="M5" s="482">
        <v>0.66666666666666663</v>
      </c>
    </row>
    <row r="6" spans="1:13" ht="14.4" customHeight="1" x14ac:dyDescent="0.3">
      <c r="A6" s="497" t="s">
        <v>469</v>
      </c>
      <c r="B6" s="500">
        <v>62005.320000000007</v>
      </c>
      <c r="C6" s="464">
        <v>1</v>
      </c>
      <c r="D6" s="502">
        <v>115</v>
      </c>
      <c r="E6" s="507" t="s">
        <v>469</v>
      </c>
      <c r="F6" s="500">
        <v>28060.170000000002</v>
      </c>
      <c r="G6" s="504">
        <v>0.45254455585423958</v>
      </c>
      <c r="H6" s="467">
        <v>39</v>
      </c>
      <c r="I6" s="505">
        <v>0.33913043478260868</v>
      </c>
      <c r="J6" s="510">
        <v>33945.15</v>
      </c>
      <c r="K6" s="504">
        <v>0.54745544414576031</v>
      </c>
      <c r="L6" s="467">
        <v>76</v>
      </c>
      <c r="M6" s="505">
        <v>0.66086956521739126</v>
      </c>
    </row>
    <row r="7" spans="1:13" ht="14.4" customHeight="1" x14ac:dyDescent="0.3">
      <c r="A7" s="497" t="s">
        <v>470</v>
      </c>
      <c r="B7" s="500">
        <v>249.62</v>
      </c>
      <c r="C7" s="464">
        <v>1</v>
      </c>
      <c r="D7" s="502">
        <v>4</v>
      </c>
      <c r="E7" s="507" t="s">
        <v>470</v>
      </c>
      <c r="F7" s="500">
        <v>249.62</v>
      </c>
      <c r="G7" s="504">
        <v>1</v>
      </c>
      <c r="H7" s="467">
        <v>4</v>
      </c>
      <c r="I7" s="505">
        <v>1</v>
      </c>
      <c r="J7" s="510"/>
      <c r="K7" s="504">
        <v>0</v>
      </c>
      <c r="L7" s="467"/>
      <c r="M7" s="505">
        <v>0</v>
      </c>
    </row>
    <row r="8" spans="1:13" ht="14.4" customHeight="1" x14ac:dyDescent="0.3">
      <c r="A8" s="497" t="s">
        <v>471</v>
      </c>
      <c r="B8" s="500">
        <v>31701.96</v>
      </c>
      <c r="C8" s="464">
        <v>1</v>
      </c>
      <c r="D8" s="502">
        <v>57</v>
      </c>
      <c r="E8" s="507" t="s">
        <v>471</v>
      </c>
      <c r="F8" s="500">
        <v>15306.76</v>
      </c>
      <c r="G8" s="504">
        <v>0.48283323807108458</v>
      </c>
      <c r="H8" s="467">
        <v>31</v>
      </c>
      <c r="I8" s="505">
        <v>0.54385964912280704</v>
      </c>
      <c r="J8" s="510">
        <v>16395.199999999997</v>
      </c>
      <c r="K8" s="504">
        <v>0.51716676192891531</v>
      </c>
      <c r="L8" s="467">
        <v>26</v>
      </c>
      <c r="M8" s="505">
        <v>0.45614035087719296</v>
      </c>
    </row>
    <row r="9" spans="1:13" ht="14.4" customHeight="1" x14ac:dyDescent="0.3">
      <c r="A9" s="497" t="s">
        <v>472</v>
      </c>
      <c r="B9" s="500">
        <v>11656</v>
      </c>
      <c r="C9" s="464">
        <v>1</v>
      </c>
      <c r="D9" s="502">
        <v>17</v>
      </c>
      <c r="E9" s="507" t="s">
        <v>472</v>
      </c>
      <c r="F9" s="500">
        <v>6299.8200000000006</v>
      </c>
      <c r="G9" s="504">
        <v>0.5404787234042554</v>
      </c>
      <c r="H9" s="467">
        <v>8</v>
      </c>
      <c r="I9" s="505">
        <v>0.47058823529411764</v>
      </c>
      <c r="J9" s="510">
        <v>5356.1799999999994</v>
      </c>
      <c r="K9" s="504">
        <v>0.45952127659574465</v>
      </c>
      <c r="L9" s="467">
        <v>9</v>
      </c>
      <c r="M9" s="505">
        <v>0.52941176470588236</v>
      </c>
    </row>
    <row r="10" spans="1:13" ht="14.4" customHeight="1" x14ac:dyDescent="0.3">
      <c r="A10" s="497" t="s">
        <v>473</v>
      </c>
      <c r="B10" s="500">
        <v>244.13</v>
      </c>
      <c r="C10" s="464">
        <v>1</v>
      </c>
      <c r="D10" s="502">
        <v>3</v>
      </c>
      <c r="E10" s="507" t="s">
        <v>473</v>
      </c>
      <c r="F10" s="500">
        <v>244.13</v>
      </c>
      <c r="G10" s="504">
        <v>1</v>
      </c>
      <c r="H10" s="467">
        <v>3</v>
      </c>
      <c r="I10" s="505">
        <v>1</v>
      </c>
      <c r="J10" s="510"/>
      <c r="K10" s="504">
        <v>0</v>
      </c>
      <c r="L10" s="467"/>
      <c r="M10" s="505">
        <v>0</v>
      </c>
    </row>
    <row r="11" spans="1:13" ht="14.4" customHeight="1" x14ac:dyDescent="0.3">
      <c r="A11" s="497" t="s">
        <v>474</v>
      </c>
      <c r="B11" s="500">
        <v>225.34</v>
      </c>
      <c r="C11" s="464">
        <v>1</v>
      </c>
      <c r="D11" s="502">
        <v>3</v>
      </c>
      <c r="E11" s="507" t="s">
        <v>474</v>
      </c>
      <c r="F11" s="500">
        <v>0</v>
      </c>
      <c r="G11" s="504">
        <v>0</v>
      </c>
      <c r="H11" s="467">
        <v>1</v>
      </c>
      <c r="I11" s="505">
        <v>0.33333333333333331</v>
      </c>
      <c r="J11" s="510">
        <v>225.34</v>
      </c>
      <c r="K11" s="504">
        <v>1</v>
      </c>
      <c r="L11" s="467">
        <v>2</v>
      </c>
      <c r="M11" s="505">
        <v>0.66666666666666663</v>
      </c>
    </row>
    <row r="12" spans="1:13" ht="14.4" customHeight="1" thickBot="1" x14ac:dyDescent="0.35">
      <c r="A12" s="498" t="s">
        <v>475</v>
      </c>
      <c r="B12" s="490">
        <v>197.5</v>
      </c>
      <c r="C12" s="470">
        <v>1</v>
      </c>
      <c r="D12" s="503">
        <v>3</v>
      </c>
      <c r="E12" s="508" t="s">
        <v>475</v>
      </c>
      <c r="F12" s="490">
        <v>197.5</v>
      </c>
      <c r="G12" s="483">
        <v>1</v>
      </c>
      <c r="H12" s="473">
        <v>1</v>
      </c>
      <c r="I12" s="484">
        <v>0.33333333333333331</v>
      </c>
      <c r="J12" s="511">
        <v>0</v>
      </c>
      <c r="K12" s="483">
        <v>0</v>
      </c>
      <c r="L12" s="473">
        <v>2</v>
      </c>
      <c r="M12" s="484">
        <v>0.66666666666666663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5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4" t="s">
        <v>1150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4" t="s">
        <v>250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107161.89000000003</v>
      </c>
      <c r="N3" s="66">
        <f>SUBTOTAL(9,N7:N1048576)</f>
        <v>520</v>
      </c>
      <c r="O3" s="66">
        <f>SUBTOTAL(9,O7:O1048576)</f>
        <v>214</v>
      </c>
      <c r="P3" s="66">
        <f>SUBTOTAL(9,P7:P1048576)</f>
        <v>50647.859999999993</v>
      </c>
      <c r="Q3" s="67">
        <f>IF(M3=0,0,P3/M3)</f>
        <v>0.47262940211300847</v>
      </c>
      <c r="R3" s="66">
        <f>SUBTOTAL(9,R7:R1048576)</f>
        <v>230</v>
      </c>
      <c r="S3" s="67">
        <f>IF(N3=0,0,R3/N3)</f>
        <v>0.44230769230769229</v>
      </c>
      <c r="T3" s="66">
        <f>SUBTOTAL(9,T7:T1048576)</f>
        <v>91</v>
      </c>
      <c r="U3" s="68">
        <f>IF(O3=0,0,T3/O3)</f>
        <v>0.42523364485981308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8" customFormat="1" ht="14.4" customHeight="1" thickBot="1" x14ac:dyDescent="0.35">
      <c r="A6" s="512" t="s">
        <v>23</v>
      </c>
      <c r="B6" s="513" t="s">
        <v>5</v>
      </c>
      <c r="C6" s="512" t="s">
        <v>24</v>
      </c>
      <c r="D6" s="513" t="s">
        <v>6</v>
      </c>
      <c r="E6" s="513" t="s">
        <v>148</v>
      </c>
      <c r="F6" s="513" t="s">
        <v>25</v>
      </c>
      <c r="G6" s="513" t="s">
        <v>26</v>
      </c>
      <c r="H6" s="513" t="s">
        <v>8</v>
      </c>
      <c r="I6" s="513" t="s">
        <v>10</v>
      </c>
      <c r="J6" s="513" t="s">
        <v>11</v>
      </c>
      <c r="K6" s="513" t="s">
        <v>12</v>
      </c>
      <c r="L6" s="513" t="s">
        <v>27</v>
      </c>
      <c r="M6" s="514" t="s">
        <v>14</v>
      </c>
      <c r="N6" s="515" t="s">
        <v>28</v>
      </c>
      <c r="O6" s="515" t="s">
        <v>28</v>
      </c>
      <c r="P6" s="515" t="s">
        <v>14</v>
      </c>
      <c r="Q6" s="515" t="s">
        <v>2</v>
      </c>
      <c r="R6" s="515" t="s">
        <v>28</v>
      </c>
      <c r="S6" s="515" t="s">
        <v>2</v>
      </c>
      <c r="T6" s="515" t="s">
        <v>28</v>
      </c>
      <c r="U6" s="516" t="s">
        <v>2</v>
      </c>
    </row>
    <row r="7" spans="1:21" ht="14.4" customHeight="1" x14ac:dyDescent="0.3">
      <c r="A7" s="517">
        <v>27</v>
      </c>
      <c r="B7" s="518" t="s">
        <v>451</v>
      </c>
      <c r="C7" s="518" t="s">
        <v>458</v>
      </c>
      <c r="D7" s="519" t="s">
        <v>1147</v>
      </c>
      <c r="E7" s="520" t="s">
        <v>468</v>
      </c>
      <c r="F7" s="518" t="s">
        <v>456</v>
      </c>
      <c r="G7" s="518" t="s">
        <v>476</v>
      </c>
      <c r="H7" s="518" t="s">
        <v>415</v>
      </c>
      <c r="I7" s="518" t="s">
        <v>477</v>
      </c>
      <c r="J7" s="518" t="s">
        <v>478</v>
      </c>
      <c r="K7" s="518" t="s">
        <v>479</v>
      </c>
      <c r="L7" s="521">
        <v>0</v>
      </c>
      <c r="M7" s="521">
        <v>0</v>
      </c>
      <c r="N7" s="518">
        <v>1</v>
      </c>
      <c r="O7" s="522">
        <v>0.5</v>
      </c>
      <c r="P7" s="521"/>
      <c r="Q7" s="523"/>
      <c r="R7" s="518"/>
      <c r="S7" s="523">
        <v>0</v>
      </c>
      <c r="T7" s="522"/>
      <c r="U7" s="122">
        <v>0</v>
      </c>
    </row>
    <row r="8" spans="1:21" ht="14.4" customHeight="1" x14ac:dyDescent="0.3">
      <c r="A8" s="524">
        <v>27</v>
      </c>
      <c r="B8" s="525" t="s">
        <v>451</v>
      </c>
      <c r="C8" s="525" t="s">
        <v>458</v>
      </c>
      <c r="D8" s="526" t="s">
        <v>1147</v>
      </c>
      <c r="E8" s="527" t="s">
        <v>468</v>
      </c>
      <c r="F8" s="525" t="s">
        <v>456</v>
      </c>
      <c r="G8" s="525" t="s">
        <v>480</v>
      </c>
      <c r="H8" s="525" t="s">
        <v>446</v>
      </c>
      <c r="I8" s="525" t="s">
        <v>481</v>
      </c>
      <c r="J8" s="525" t="s">
        <v>482</v>
      </c>
      <c r="K8" s="525" t="s">
        <v>483</v>
      </c>
      <c r="L8" s="528">
        <v>105.32</v>
      </c>
      <c r="M8" s="528">
        <v>105.32</v>
      </c>
      <c r="N8" s="525">
        <v>1</v>
      </c>
      <c r="O8" s="529">
        <v>0.5</v>
      </c>
      <c r="P8" s="528"/>
      <c r="Q8" s="530">
        <v>0</v>
      </c>
      <c r="R8" s="525"/>
      <c r="S8" s="530">
        <v>0</v>
      </c>
      <c r="T8" s="529"/>
      <c r="U8" s="531">
        <v>0</v>
      </c>
    </row>
    <row r="9" spans="1:21" ht="14.4" customHeight="1" x14ac:dyDescent="0.3">
      <c r="A9" s="524">
        <v>27</v>
      </c>
      <c r="B9" s="525" t="s">
        <v>451</v>
      </c>
      <c r="C9" s="525" t="s">
        <v>458</v>
      </c>
      <c r="D9" s="526" t="s">
        <v>1147</v>
      </c>
      <c r="E9" s="527" t="s">
        <v>468</v>
      </c>
      <c r="F9" s="525" t="s">
        <v>456</v>
      </c>
      <c r="G9" s="525" t="s">
        <v>484</v>
      </c>
      <c r="H9" s="525" t="s">
        <v>415</v>
      </c>
      <c r="I9" s="525" t="s">
        <v>485</v>
      </c>
      <c r="J9" s="525" t="s">
        <v>486</v>
      </c>
      <c r="K9" s="525" t="s">
        <v>487</v>
      </c>
      <c r="L9" s="528">
        <v>91.11</v>
      </c>
      <c r="M9" s="528">
        <v>182.22</v>
      </c>
      <c r="N9" s="525">
        <v>2</v>
      </c>
      <c r="O9" s="529">
        <v>0.5</v>
      </c>
      <c r="P9" s="528"/>
      <c r="Q9" s="530">
        <v>0</v>
      </c>
      <c r="R9" s="525"/>
      <c r="S9" s="530">
        <v>0</v>
      </c>
      <c r="T9" s="529"/>
      <c r="U9" s="531">
        <v>0</v>
      </c>
    </row>
    <row r="10" spans="1:21" ht="14.4" customHeight="1" x14ac:dyDescent="0.3">
      <c r="A10" s="524">
        <v>27</v>
      </c>
      <c r="B10" s="525" t="s">
        <v>451</v>
      </c>
      <c r="C10" s="525" t="s">
        <v>458</v>
      </c>
      <c r="D10" s="526" t="s">
        <v>1147</v>
      </c>
      <c r="E10" s="527" t="s">
        <v>468</v>
      </c>
      <c r="F10" s="525" t="s">
        <v>456</v>
      </c>
      <c r="G10" s="525" t="s">
        <v>488</v>
      </c>
      <c r="H10" s="525" t="s">
        <v>415</v>
      </c>
      <c r="I10" s="525" t="s">
        <v>489</v>
      </c>
      <c r="J10" s="525" t="s">
        <v>490</v>
      </c>
      <c r="K10" s="525" t="s">
        <v>491</v>
      </c>
      <c r="L10" s="528">
        <v>0</v>
      </c>
      <c r="M10" s="528">
        <v>0</v>
      </c>
      <c r="N10" s="525">
        <v>1</v>
      </c>
      <c r="O10" s="529">
        <v>0.5</v>
      </c>
      <c r="P10" s="528"/>
      <c r="Q10" s="530"/>
      <c r="R10" s="525"/>
      <c r="S10" s="530">
        <v>0</v>
      </c>
      <c r="T10" s="529"/>
      <c r="U10" s="531">
        <v>0</v>
      </c>
    </row>
    <row r="11" spans="1:21" ht="14.4" customHeight="1" x14ac:dyDescent="0.3">
      <c r="A11" s="524">
        <v>27</v>
      </c>
      <c r="B11" s="525" t="s">
        <v>451</v>
      </c>
      <c r="C11" s="525" t="s">
        <v>458</v>
      </c>
      <c r="D11" s="526" t="s">
        <v>1147</v>
      </c>
      <c r="E11" s="527" t="s">
        <v>468</v>
      </c>
      <c r="F11" s="525" t="s">
        <v>456</v>
      </c>
      <c r="G11" s="525" t="s">
        <v>492</v>
      </c>
      <c r="H11" s="525" t="s">
        <v>415</v>
      </c>
      <c r="I11" s="525" t="s">
        <v>493</v>
      </c>
      <c r="J11" s="525" t="s">
        <v>494</v>
      </c>
      <c r="K11" s="525" t="s">
        <v>495</v>
      </c>
      <c r="L11" s="528">
        <v>79.64</v>
      </c>
      <c r="M11" s="528">
        <v>159.28</v>
      </c>
      <c r="N11" s="525">
        <v>2</v>
      </c>
      <c r="O11" s="529">
        <v>1</v>
      </c>
      <c r="P11" s="528"/>
      <c r="Q11" s="530">
        <v>0</v>
      </c>
      <c r="R11" s="525"/>
      <c r="S11" s="530">
        <v>0</v>
      </c>
      <c r="T11" s="529"/>
      <c r="U11" s="531">
        <v>0</v>
      </c>
    </row>
    <row r="12" spans="1:21" ht="14.4" customHeight="1" x14ac:dyDescent="0.3">
      <c r="A12" s="524">
        <v>27</v>
      </c>
      <c r="B12" s="525" t="s">
        <v>451</v>
      </c>
      <c r="C12" s="525" t="s">
        <v>458</v>
      </c>
      <c r="D12" s="526" t="s">
        <v>1147</v>
      </c>
      <c r="E12" s="527" t="s">
        <v>468</v>
      </c>
      <c r="F12" s="525" t="s">
        <v>456</v>
      </c>
      <c r="G12" s="525" t="s">
        <v>496</v>
      </c>
      <c r="H12" s="525" t="s">
        <v>415</v>
      </c>
      <c r="I12" s="525" t="s">
        <v>497</v>
      </c>
      <c r="J12" s="525" t="s">
        <v>498</v>
      </c>
      <c r="K12" s="525" t="s">
        <v>499</v>
      </c>
      <c r="L12" s="528">
        <v>0</v>
      </c>
      <c r="M12" s="528">
        <v>0</v>
      </c>
      <c r="N12" s="525">
        <v>1</v>
      </c>
      <c r="O12" s="529">
        <v>1</v>
      </c>
      <c r="P12" s="528"/>
      <c r="Q12" s="530"/>
      <c r="R12" s="525"/>
      <c r="S12" s="530">
        <v>0</v>
      </c>
      <c r="T12" s="529"/>
      <c r="U12" s="531">
        <v>0</v>
      </c>
    </row>
    <row r="13" spans="1:21" ht="14.4" customHeight="1" x14ac:dyDescent="0.3">
      <c r="A13" s="524">
        <v>27</v>
      </c>
      <c r="B13" s="525" t="s">
        <v>451</v>
      </c>
      <c r="C13" s="525" t="s">
        <v>458</v>
      </c>
      <c r="D13" s="526" t="s">
        <v>1147</v>
      </c>
      <c r="E13" s="527" t="s">
        <v>468</v>
      </c>
      <c r="F13" s="525" t="s">
        <v>456</v>
      </c>
      <c r="G13" s="525" t="s">
        <v>496</v>
      </c>
      <c r="H13" s="525" t="s">
        <v>415</v>
      </c>
      <c r="I13" s="525" t="s">
        <v>500</v>
      </c>
      <c r="J13" s="525" t="s">
        <v>498</v>
      </c>
      <c r="K13" s="525" t="s">
        <v>501</v>
      </c>
      <c r="L13" s="528">
        <v>72.260000000000005</v>
      </c>
      <c r="M13" s="528">
        <v>72.260000000000005</v>
      </c>
      <c r="N13" s="525">
        <v>1</v>
      </c>
      <c r="O13" s="529">
        <v>1</v>
      </c>
      <c r="P13" s="528"/>
      <c r="Q13" s="530">
        <v>0</v>
      </c>
      <c r="R13" s="525"/>
      <c r="S13" s="530">
        <v>0</v>
      </c>
      <c r="T13" s="529"/>
      <c r="U13" s="531">
        <v>0</v>
      </c>
    </row>
    <row r="14" spans="1:21" ht="14.4" customHeight="1" x14ac:dyDescent="0.3">
      <c r="A14" s="524">
        <v>27</v>
      </c>
      <c r="B14" s="525" t="s">
        <v>451</v>
      </c>
      <c r="C14" s="525" t="s">
        <v>458</v>
      </c>
      <c r="D14" s="526" t="s">
        <v>1147</v>
      </c>
      <c r="E14" s="527" t="s">
        <v>468</v>
      </c>
      <c r="F14" s="525" t="s">
        <v>456</v>
      </c>
      <c r="G14" s="525" t="s">
        <v>502</v>
      </c>
      <c r="H14" s="525" t="s">
        <v>415</v>
      </c>
      <c r="I14" s="525" t="s">
        <v>503</v>
      </c>
      <c r="J14" s="525" t="s">
        <v>504</v>
      </c>
      <c r="K14" s="525" t="s">
        <v>505</v>
      </c>
      <c r="L14" s="528">
        <v>53.57</v>
      </c>
      <c r="M14" s="528">
        <v>107.14</v>
      </c>
      <c r="N14" s="525">
        <v>2</v>
      </c>
      <c r="O14" s="529">
        <v>0.5</v>
      </c>
      <c r="P14" s="528">
        <v>107.14</v>
      </c>
      <c r="Q14" s="530">
        <v>1</v>
      </c>
      <c r="R14" s="525">
        <v>2</v>
      </c>
      <c r="S14" s="530">
        <v>1</v>
      </c>
      <c r="T14" s="529">
        <v>0.5</v>
      </c>
      <c r="U14" s="531">
        <v>1</v>
      </c>
    </row>
    <row r="15" spans="1:21" ht="14.4" customHeight="1" x14ac:dyDescent="0.3">
      <c r="A15" s="524">
        <v>27</v>
      </c>
      <c r="B15" s="525" t="s">
        <v>451</v>
      </c>
      <c r="C15" s="525" t="s">
        <v>458</v>
      </c>
      <c r="D15" s="526" t="s">
        <v>1147</v>
      </c>
      <c r="E15" s="527" t="s">
        <v>468</v>
      </c>
      <c r="F15" s="525" t="s">
        <v>456</v>
      </c>
      <c r="G15" s="525" t="s">
        <v>506</v>
      </c>
      <c r="H15" s="525" t="s">
        <v>446</v>
      </c>
      <c r="I15" s="525" t="s">
        <v>507</v>
      </c>
      <c r="J15" s="525" t="s">
        <v>508</v>
      </c>
      <c r="K15" s="525" t="s">
        <v>509</v>
      </c>
      <c r="L15" s="528">
        <v>0</v>
      </c>
      <c r="M15" s="528">
        <v>0</v>
      </c>
      <c r="N15" s="525">
        <v>1</v>
      </c>
      <c r="O15" s="529">
        <v>1</v>
      </c>
      <c r="P15" s="528">
        <v>0</v>
      </c>
      <c r="Q15" s="530"/>
      <c r="R15" s="525">
        <v>1</v>
      </c>
      <c r="S15" s="530">
        <v>1</v>
      </c>
      <c r="T15" s="529">
        <v>1</v>
      </c>
      <c r="U15" s="531">
        <v>1</v>
      </c>
    </row>
    <row r="16" spans="1:21" ht="14.4" customHeight="1" x14ac:dyDescent="0.3">
      <c r="A16" s="524">
        <v>27</v>
      </c>
      <c r="B16" s="525" t="s">
        <v>451</v>
      </c>
      <c r="C16" s="525" t="s">
        <v>458</v>
      </c>
      <c r="D16" s="526" t="s">
        <v>1147</v>
      </c>
      <c r="E16" s="527" t="s">
        <v>468</v>
      </c>
      <c r="F16" s="525" t="s">
        <v>456</v>
      </c>
      <c r="G16" s="525" t="s">
        <v>506</v>
      </c>
      <c r="H16" s="525" t="s">
        <v>415</v>
      </c>
      <c r="I16" s="525" t="s">
        <v>510</v>
      </c>
      <c r="J16" s="525" t="s">
        <v>508</v>
      </c>
      <c r="K16" s="525" t="s">
        <v>511</v>
      </c>
      <c r="L16" s="528">
        <v>36.54</v>
      </c>
      <c r="M16" s="528">
        <v>73.08</v>
      </c>
      <c r="N16" s="525">
        <v>2</v>
      </c>
      <c r="O16" s="529">
        <v>1</v>
      </c>
      <c r="P16" s="528"/>
      <c r="Q16" s="530">
        <v>0</v>
      </c>
      <c r="R16" s="525"/>
      <c r="S16" s="530">
        <v>0</v>
      </c>
      <c r="T16" s="529"/>
      <c r="U16" s="531">
        <v>0</v>
      </c>
    </row>
    <row r="17" spans="1:21" ht="14.4" customHeight="1" x14ac:dyDescent="0.3">
      <c r="A17" s="524">
        <v>27</v>
      </c>
      <c r="B17" s="525" t="s">
        <v>451</v>
      </c>
      <c r="C17" s="525" t="s">
        <v>458</v>
      </c>
      <c r="D17" s="526" t="s">
        <v>1147</v>
      </c>
      <c r="E17" s="527" t="s">
        <v>468</v>
      </c>
      <c r="F17" s="525" t="s">
        <v>456</v>
      </c>
      <c r="G17" s="525" t="s">
        <v>512</v>
      </c>
      <c r="H17" s="525" t="s">
        <v>415</v>
      </c>
      <c r="I17" s="525" t="s">
        <v>513</v>
      </c>
      <c r="J17" s="525" t="s">
        <v>514</v>
      </c>
      <c r="K17" s="525" t="s">
        <v>515</v>
      </c>
      <c r="L17" s="528">
        <v>0</v>
      </c>
      <c r="M17" s="528">
        <v>0</v>
      </c>
      <c r="N17" s="525">
        <v>1</v>
      </c>
      <c r="O17" s="529">
        <v>1</v>
      </c>
      <c r="P17" s="528"/>
      <c r="Q17" s="530"/>
      <c r="R17" s="525"/>
      <c r="S17" s="530">
        <v>0</v>
      </c>
      <c r="T17" s="529"/>
      <c r="U17" s="531">
        <v>0</v>
      </c>
    </row>
    <row r="18" spans="1:21" ht="14.4" customHeight="1" x14ac:dyDescent="0.3">
      <c r="A18" s="524">
        <v>27</v>
      </c>
      <c r="B18" s="525" t="s">
        <v>451</v>
      </c>
      <c r="C18" s="525" t="s">
        <v>458</v>
      </c>
      <c r="D18" s="526" t="s">
        <v>1147</v>
      </c>
      <c r="E18" s="527" t="s">
        <v>468</v>
      </c>
      <c r="F18" s="525" t="s">
        <v>456</v>
      </c>
      <c r="G18" s="525" t="s">
        <v>516</v>
      </c>
      <c r="H18" s="525" t="s">
        <v>446</v>
      </c>
      <c r="I18" s="525" t="s">
        <v>517</v>
      </c>
      <c r="J18" s="525" t="s">
        <v>518</v>
      </c>
      <c r="K18" s="525" t="s">
        <v>519</v>
      </c>
      <c r="L18" s="528">
        <v>150.59</v>
      </c>
      <c r="M18" s="528">
        <v>150.59</v>
      </c>
      <c r="N18" s="525">
        <v>1</v>
      </c>
      <c r="O18" s="529">
        <v>0.5</v>
      </c>
      <c r="P18" s="528">
        <v>150.59</v>
      </c>
      <c r="Q18" s="530">
        <v>1</v>
      </c>
      <c r="R18" s="525">
        <v>1</v>
      </c>
      <c r="S18" s="530">
        <v>1</v>
      </c>
      <c r="T18" s="529">
        <v>0.5</v>
      </c>
      <c r="U18" s="531">
        <v>1</v>
      </c>
    </row>
    <row r="19" spans="1:21" ht="14.4" customHeight="1" x14ac:dyDescent="0.3">
      <c r="A19" s="524">
        <v>27</v>
      </c>
      <c r="B19" s="525" t="s">
        <v>451</v>
      </c>
      <c r="C19" s="525" t="s">
        <v>458</v>
      </c>
      <c r="D19" s="526" t="s">
        <v>1147</v>
      </c>
      <c r="E19" s="527" t="s">
        <v>468</v>
      </c>
      <c r="F19" s="525" t="s">
        <v>456</v>
      </c>
      <c r="G19" s="525" t="s">
        <v>520</v>
      </c>
      <c r="H19" s="525" t="s">
        <v>415</v>
      </c>
      <c r="I19" s="525" t="s">
        <v>521</v>
      </c>
      <c r="J19" s="525" t="s">
        <v>522</v>
      </c>
      <c r="K19" s="525" t="s">
        <v>523</v>
      </c>
      <c r="L19" s="528">
        <v>0</v>
      </c>
      <c r="M19" s="528">
        <v>0</v>
      </c>
      <c r="N19" s="525">
        <v>1</v>
      </c>
      <c r="O19" s="529">
        <v>1</v>
      </c>
      <c r="P19" s="528"/>
      <c r="Q19" s="530"/>
      <c r="R19" s="525"/>
      <c r="S19" s="530">
        <v>0</v>
      </c>
      <c r="T19" s="529"/>
      <c r="U19" s="531">
        <v>0</v>
      </c>
    </row>
    <row r="20" spans="1:21" ht="14.4" customHeight="1" x14ac:dyDescent="0.3">
      <c r="A20" s="524">
        <v>27</v>
      </c>
      <c r="B20" s="525" t="s">
        <v>451</v>
      </c>
      <c r="C20" s="525" t="s">
        <v>458</v>
      </c>
      <c r="D20" s="526" t="s">
        <v>1147</v>
      </c>
      <c r="E20" s="527" t="s">
        <v>469</v>
      </c>
      <c r="F20" s="525" t="s">
        <v>456</v>
      </c>
      <c r="G20" s="525" t="s">
        <v>524</v>
      </c>
      <c r="H20" s="525" t="s">
        <v>446</v>
      </c>
      <c r="I20" s="525" t="s">
        <v>525</v>
      </c>
      <c r="J20" s="525" t="s">
        <v>526</v>
      </c>
      <c r="K20" s="525" t="s">
        <v>527</v>
      </c>
      <c r="L20" s="528">
        <v>537.12</v>
      </c>
      <c r="M20" s="528">
        <v>537.12</v>
      </c>
      <c r="N20" s="525">
        <v>1</v>
      </c>
      <c r="O20" s="529">
        <v>1</v>
      </c>
      <c r="P20" s="528">
        <v>537.12</v>
      </c>
      <c r="Q20" s="530">
        <v>1</v>
      </c>
      <c r="R20" s="525">
        <v>1</v>
      </c>
      <c r="S20" s="530">
        <v>1</v>
      </c>
      <c r="T20" s="529">
        <v>1</v>
      </c>
      <c r="U20" s="531">
        <v>1</v>
      </c>
    </row>
    <row r="21" spans="1:21" ht="14.4" customHeight="1" x14ac:dyDescent="0.3">
      <c r="A21" s="524">
        <v>27</v>
      </c>
      <c r="B21" s="525" t="s">
        <v>451</v>
      </c>
      <c r="C21" s="525" t="s">
        <v>458</v>
      </c>
      <c r="D21" s="526" t="s">
        <v>1147</v>
      </c>
      <c r="E21" s="527" t="s">
        <v>470</v>
      </c>
      <c r="F21" s="525" t="s">
        <v>456</v>
      </c>
      <c r="G21" s="525" t="s">
        <v>528</v>
      </c>
      <c r="H21" s="525" t="s">
        <v>415</v>
      </c>
      <c r="I21" s="525" t="s">
        <v>529</v>
      </c>
      <c r="J21" s="525" t="s">
        <v>530</v>
      </c>
      <c r="K21" s="525" t="s">
        <v>531</v>
      </c>
      <c r="L21" s="528">
        <v>0</v>
      </c>
      <c r="M21" s="528">
        <v>0</v>
      </c>
      <c r="N21" s="525">
        <v>1</v>
      </c>
      <c r="O21" s="529">
        <v>1</v>
      </c>
      <c r="P21" s="528">
        <v>0</v>
      </c>
      <c r="Q21" s="530"/>
      <c r="R21" s="525">
        <v>1</v>
      </c>
      <c r="S21" s="530">
        <v>1</v>
      </c>
      <c r="T21" s="529">
        <v>1</v>
      </c>
      <c r="U21" s="531">
        <v>1</v>
      </c>
    </row>
    <row r="22" spans="1:21" ht="14.4" customHeight="1" x14ac:dyDescent="0.3">
      <c r="A22" s="524">
        <v>27</v>
      </c>
      <c r="B22" s="525" t="s">
        <v>451</v>
      </c>
      <c r="C22" s="525" t="s">
        <v>458</v>
      </c>
      <c r="D22" s="526" t="s">
        <v>1147</v>
      </c>
      <c r="E22" s="527" t="s">
        <v>470</v>
      </c>
      <c r="F22" s="525" t="s">
        <v>456</v>
      </c>
      <c r="G22" s="525" t="s">
        <v>532</v>
      </c>
      <c r="H22" s="525" t="s">
        <v>415</v>
      </c>
      <c r="I22" s="525" t="s">
        <v>533</v>
      </c>
      <c r="J22" s="525" t="s">
        <v>534</v>
      </c>
      <c r="K22" s="525" t="s">
        <v>535</v>
      </c>
      <c r="L22" s="528">
        <v>106.54</v>
      </c>
      <c r="M22" s="528">
        <v>213.08</v>
      </c>
      <c r="N22" s="525">
        <v>2</v>
      </c>
      <c r="O22" s="529">
        <v>1.5</v>
      </c>
      <c r="P22" s="528">
        <v>213.08</v>
      </c>
      <c r="Q22" s="530">
        <v>1</v>
      </c>
      <c r="R22" s="525">
        <v>2</v>
      </c>
      <c r="S22" s="530">
        <v>1</v>
      </c>
      <c r="T22" s="529">
        <v>1.5</v>
      </c>
      <c r="U22" s="531">
        <v>1</v>
      </c>
    </row>
    <row r="23" spans="1:21" ht="14.4" customHeight="1" x14ac:dyDescent="0.3">
      <c r="A23" s="524">
        <v>27</v>
      </c>
      <c r="B23" s="525" t="s">
        <v>451</v>
      </c>
      <c r="C23" s="525" t="s">
        <v>458</v>
      </c>
      <c r="D23" s="526" t="s">
        <v>1147</v>
      </c>
      <c r="E23" s="527" t="s">
        <v>470</v>
      </c>
      <c r="F23" s="525" t="s">
        <v>456</v>
      </c>
      <c r="G23" s="525" t="s">
        <v>506</v>
      </c>
      <c r="H23" s="525" t="s">
        <v>446</v>
      </c>
      <c r="I23" s="525" t="s">
        <v>536</v>
      </c>
      <c r="J23" s="525" t="s">
        <v>508</v>
      </c>
      <c r="K23" s="525" t="s">
        <v>537</v>
      </c>
      <c r="L23" s="528">
        <v>36.54</v>
      </c>
      <c r="M23" s="528">
        <v>36.54</v>
      </c>
      <c r="N23" s="525">
        <v>1</v>
      </c>
      <c r="O23" s="529">
        <v>0.5</v>
      </c>
      <c r="P23" s="528">
        <v>36.54</v>
      </c>
      <c r="Q23" s="530">
        <v>1</v>
      </c>
      <c r="R23" s="525">
        <v>1</v>
      </c>
      <c r="S23" s="530">
        <v>1</v>
      </c>
      <c r="T23" s="529">
        <v>0.5</v>
      </c>
      <c r="U23" s="531">
        <v>1</v>
      </c>
    </row>
    <row r="24" spans="1:21" ht="14.4" customHeight="1" x14ac:dyDescent="0.3">
      <c r="A24" s="524">
        <v>27</v>
      </c>
      <c r="B24" s="525" t="s">
        <v>451</v>
      </c>
      <c r="C24" s="525" t="s">
        <v>458</v>
      </c>
      <c r="D24" s="526" t="s">
        <v>1147</v>
      </c>
      <c r="E24" s="527" t="s">
        <v>472</v>
      </c>
      <c r="F24" s="525" t="s">
        <v>456</v>
      </c>
      <c r="G24" s="525" t="s">
        <v>538</v>
      </c>
      <c r="H24" s="525" t="s">
        <v>415</v>
      </c>
      <c r="I24" s="525" t="s">
        <v>539</v>
      </c>
      <c r="J24" s="525" t="s">
        <v>540</v>
      </c>
      <c r="K24" s="525" t="s">
        <v>541</v>
      </c>
      <c r="L24" s="528">
        <v>0</v>
      </c>
      <c r="M24" s="528">
        <v>0</v>
      </c>
      <c r="N24" s="525">
        <v>1</v>
      </c>
      <c r="O24" s="529">
        <v>0.5</v>
      </c>
      <c r="P24" s="528"/>
      <c r="Q24" s="530"/>
      <c r="R24" s="525"/>
      <c r="S24" s="530">
        <v>0</v>
      </c>
      <c r="T24" s="529"/>
      <c r="U24" s="531">
        <v>0</v>
      </c>
    </row>
    <row r="25" spans="1:21" ht="14.4" customHeight="1" x14ac:dyDescent="0.3">
      <c r="A25" s="524">
        <v>27</v>
      </c>
      <c r="B25" s="525" t="s">
        <v>451</v>
      </c>
      <c r="C25" s="525" t="s">
        <v>458</v>
      </c>
      <c r="D25" s="526" t="s">
        <v>1147</v>
      </c>
      <c r="E25" s="527" t="s">
        <v>472</v>
      </c>
      <c r="F25" s="525" t="s">
        <v>456</v>
      </c>
      <c r="G25" s="525" t="s">
        <v>542</v>
      </c>
      <c r="H25" s="525" t="s">
        <v>415</v>
      </c>
      <c r="I25" s="525" t="s">
        <v>543</v>
      </c>
      <c r="J25" s="525" t="s">
        <v>544</v>
      </c>
      <c r="K25" s="525" t="s">
        <v>545</v>
      </c>
      <c r="L25" s="528">
        <v>47.41</v>
      </c>
      <c r="M25" s="528">
        <v>47.41</v>
      </c>
      <c r="N25" s="525">
        <v>1</v>
      </c>
      <c r="O25" s="529">
        <v>1</v>
      </c>
      <c r="P25" s="528"/>
      <c r="Q25" s="530">
        <v>0</v>
      </c>
      <c r="R25" s="525"/>
      <c r="S25" s="530">
        <v>0</v>
      </c>
      <c r="T25" s="529"/>
      <c r="U25" s="531">
        <v>0</v>
      </c>
    </row>
    <row r="26" spans="1:21" ht="14.4" customHeight="1" x14ac:dyDescent="0.3">
      <c r="A26" s="524">
        <v>27</v>
      </c>
      <c r="B26" s="525" t="s">
        <v>451</v>
      </c>
      <c r="C26" s="525" t="s">
        <v>458</v>
      </c>
      <c r="D26" s="526" t="s">
        <v>1147</v>
      </c>
      <c r="E26" s="527" t="s">
        <v>472</v>
      </c>
      <c r="F26" s="525" t="s">
        <v>456</v>
      </c>
      <c r="G26" s="525" t="s">
        <v>546</v>
      </c>
      <c r="H26" s="525" t="s">
        <v>415</v>
      </c>
      <c r="I26" s="525" t="s">
        <v>547</v>
      </c>
      <c r="J26" s="525" t="s">
        <v>548</v>
      </c>
      <c r="K26" s="525" t="s">
        <v>549</v>
      </c>
      <c r="L26" s="528">
        <v>107.27</v>
      </c>
      <c r="M26" s="528">
        <v>321.81</v>
      </c>
      <c r="N26" s="525">
        <v>3</v>
      </c>
      <c r="O26" s="529">
        <v>0.5</v>
      </c>
      <c r="P26" s="528"/>
      <c r="Q26" s="530">
        <v>0</v>
      </c>
      <c r="R26" s="525"/>
      <c r="S26" s="530">
        <v>0</v>
      </c>
      <c r="T26" s="529"/>
      <c r="U26" s="531">
        <v>0</v>
      </c>
    </row>
    <row r="27" spans="1:21" ht="14.4" customHeight="1" x14ac:dyDescent="0.3">
      <c r="A27" s="524">
        <v>27</v>
      </c>
      <c r="B27" s="525" t="s">
        <v>451</v>
      </c>
      <c r="C27" s="525" t="s">
        <v>458</v>
      </c>
      <c r="D27" s="526" t="s">
        <v>1147</v>
      </c>
      <c r="E27" s="527" t="s">
        <v>472</v>
      </c>
      <c r="F27" s="525" t="s">
        <v>456</v>
      </c>
      <c r="G27" s="525" t="s">
        <v>550</v>
      </c>
      <c r="H27" s="525" t="s">
        <v>415</v>
      </c>
      <c r="I27" s="525" t="s">
        <v>551</v>
      </c>
      <c r="J27" s="525" t="s">
        <v>552</v>
      </c>
      <c r="K27" s="525" t="s">
        <v>553</v>
      </c>
      <c r="L27" s="528">
        <v>8.7899999999999991</v>
      </c>
      <c r="M27" s="528">
        <v>52.739999999999995</v>
      </c>
      <c r="N27" s="525">
        <v>6</v>
      </c>
      <c r="O27" s="529">
        <v>0.5</v>
      </c>
      <c r="P27" s="528"/>
      <c r="Q27" s="530">
        <v>0</v>
      </c>
      <c r="R27" s="525"/>
      <c r="S27" s="530">
        <v>0</v>
      </c>
      <c r="T27" s="529"/>
      <c r="U27" s="531">
        <v>0</v>
      </c>
    </row>
    <row r="28" spans="1:21" ht="14.4" customHeight="1" x14ac:dyDescent="0.3">
      <c r="A28" s="524">
        <v>27</v>
      </c>
      <c r="B28" s="525" t="s">
        <v>451</v>
      </c>
      <c r="C28" s="525" t="s">
        <v>458</v>
      </c>
      <c r="D28" s="526" t="s">
        <v>1147</v>
      </c>
      <c r="E28" s="527" t="s">
        <v>472</v>
      </c>
      <c r="F28" s="525" t="s">
        <v>456</v>
      </c>
      <c r="G28" s="525" t="s">
        <v>554</v>
      </c>
      <c r="H28" s="525" t="s">
        <v>415</v>
      </c>
      <c r="I28" s="525" t="s">
        <v>555</v>
      </c>
      <c r="J28" s="525" t="s">
        <v>556</v>
      </c>
      <c r="K28" s="525" t="s">
        <v>557</v>
      </c>
      <c r="L28" s="528">
        <v>0</v>
      </c>
      <c r="M28" s="528">
        <v>0</v>
      </c>
      <c r="N28" s="525">
        <v>1</v>
      </c>
      <c r="O28" s="529">
        <v>0.5</v>
      </c>
      <c r="P28" s="528"/>
      <c r="Q28" s="530"/>
      <c r="R28" s="525"/>
      <c r="S28" s="530">
        <v>0</v>
      </c>
      <c r="T28" s="529"/>
      <c r="U28" s="531">
        <v>0</v>
      </c>
    </row>
    <row r="29" spans="1:21" ht="14.4" customHeight="1" x14ac:dyDescent="0.3">
      <c r="A29" s="524">
        <v>27</v>
      </c>
      <c r="B29" s="525" t="s">
        <v>451</v>
      </c>
      <c r="C29" s="525" t="s">
        <v>458</v>
      </c>
      <c r="D29" s="526" t="s">
        <v>1147</v>
      </c>
      <c r="E29" s="527" t="s">
        <v>472</v>
      </c>
      <c r="F29" s="525" t="s">
        <v>456</v>
      </c>
      <c r="G29" s="525" t="s">
        <v>558</v>
      </c>
      <c r="H29" s="525" t="s">
        <v>446</v>
      </c>
      <c r="I29" s="525" t="s">
        <v>559</v>
      </c>
      <c r="J29" s="525" t="s">
        <v>560</v>
      </c>
      <c r="K29" s="525" t="s">
        <v>561</v>
      </c>
      <c r="L29" s="528">
        <v>351.51</v>
      </c>
      <c r="M29" s="528">
        <v>351.51</v>
      </c>
      <c r="N29" s="525">
        <v>1</v>
      </c>
      <c r="O29" s="529">
        <v>0.5</v>
      </c>
      <c r="P29" s="528"/>
      <c r="Q29" s="530">
        <v>0</v>
      </c>
      <c r="R29" s="525"/>
      <c r="S29" s="530">
        <v>0</v>
      </c>
      <c r="T29" s="529"/>
      <c r="U29" s="531">
        <v>0</v>
      </c>
    </row>
    <row r="30" spans="1:21" ht="14.4" customHeight="1" x14ac:dyDescent="0.3">
      <c r="A30" s="524">
        <v>27</v>
      </c>
      <c r="B30" s="525" t="s">
        <v>451</v>
      </c>
      <c r="C30" s="525" t="s">
        <v>458</v>
      </c>
      <c r="D30" s="526" t="s">
        <v>1147</v>
      </c>
      <c r="E30" s="527" t="s">
        <v>472</v>
      </c>
      <c r="F30" s="525" t="s">
        <v>456</v>
      </c>
      <c r="G30" s="525" t="s">
        <v>562</v>
      </c>
      <c r="H30" s="525" t="s">
        <v>415</v>
      </c>
      <c r="I30" s="525" t="s">
        <v>563</v>
      </c>
      <c r="J30" s="525" t="s">
        <v>564</v>
      </c>
      <c r="K30" s="525" t="s">
        <v>565</v>
      </c>
      <c r="L30" s="528">
        <v>315.35000000000002</v>
      </c>
      <c r="M30" s="528">
        <v>315.35000000000002</v>
      </c>
      <c r="N30" s="525">
        <v>1</v>
      </c>
      <c r="O30" s="529">
        <v>0.5</v>
      </c>
      <c r="P30" s="528"/>
      <c r="Q30" s="530">
        <v>0</v>
      </c>
      <c r="R30" s="525"/>
      <c r="S30" s="530">
        <v>0</v>
      </c>
      <c r="T30" s="529"/>
      <c r="U30" s="531">
        <v>0</v>
      </c>
    </row>
    <row r="31" spans="1:21" ht="14.4" customHeight="1" x14ac:dyDescent="0.3">
      <c r="A31" s="524">
        <v>27</v>
      </c>
      <c r="B31" s="525" t="s">
        <v>451</v>
      </c>
      <c r="C31" s="525" t="s">
        <v>458</v>
      </c>
      <c r="D31" s="526" t="s">
        <v>1147</v>
      </c>
      <c r="E31" s="527" t="s">
        <v>475</v>
      </c>
      <c r="F31" s="525" t="s">
        <v>456</v>
      </c>
      <c r="G31" s="525" t="s">
        <v>566</v>
      </c>
      <c r="H31" s="525" t="s">
        <v>415</v>
      </c>
      <c r="I31" s="525" t="s">
        <v>567</v>
      </c>
      <c r="J31" s="525" t="s">
        <v>568</v>
      </c>
      <c r="K31" s="525" t="s">
        <v>569</v>
      </c>
      <c r="L31" s="528">
        <v>98.75</v>
      </c>
      <c r="M31" s="528">
        <v>197.5</v>
      </c>
      <c r="N31" s="525">
        <v>2</v>
      </c>
      <c r="O31" s="529">
        <v>1</v>
      </c>
      <c r="P31" s="528">
        <v>197.5</v>
      </c>
      <c r="Q31" s="530">
        <v>1</v>
      </c>
      <c r="R31" s="525">
        <v>2</v>
      </c>
      <c r="S31" s="530">
        <v>1</v>
      </c>
      <c r="T31" s="529">
        <v>1</v>
      </c>
      <c r="U31" s="531">
        <v>1</v>
      </c>
    </row>
    <row r="32" spans="1:21" ht="14.4" customHeight="1" x14ac:dyDescent="0.3">
      <c r="A32" s="524">
        <v>27</v>
      </c>
      <c r="B32" s="525" t="s">
        <v>451</v>
      </c>
      <c r="C32" s="525" t="s">
        <v>460</v>
      </c>
      <c r="D32" s="526" t="s">
        <v>1148</v>
      </c>
      <c r="E32" s="527" t="s">
        <v>468</v>
      </c>
      <c r="F32" s="525" t="s">
        <v>456</v>
      </c>
      <c r="G32" s="525" t="s">
        <v>520</v>
      </c>
      <c r="H32" s="525" t="s">
        <v>415</v>
      </c>
      <c r="I32" s="525" t="s">
        <v>570</v>
      </c>
      <c r="J32" s="525" t="s">
        <v>571</v>
      </c>
      <c r="K32" s="525" t="s">
        <v>572</v>
      </c>
      <c r="L32" s="528">
        <v>0</v>
      </c>
      <c r="M32" s="528">
        <v>0</v>
      </c>
      <c r="N32" s="525">
        <v>2</v>
      </c>
      <c r="O32" s="529">
        <v>1</v>
      </c>
      <c r="P32" s="528">
        <v>0</v>
      </c>
      <c r="Q32" s="530"/>
      <c r="R32" s="525">
        <v>2</v>
      </c>
      <c r="S32" s="530">
        <v>1</v>
      </c>
      <c r="T32" s="529">
        <v>1</v>
      </c>
      <c r="U32" s="531">
        <v>1</v>
      </c>
    </row>
    <row r="33" spans="1:21" ht="14.4" customHeight="1" x14ac:dyDescent="0.3">
      <c r="A33" s="524">
        <v>27</v>
      </c>
      <c r="B33" s="525" t="s">
        <v>451</v>
      </c>
      <c r="C33" s="525" t="s">
        <v>460</v>
      </c>
      <c r="D33" s="526" t="s">
        <v>1148</v>
      </c>
      <c r="E33" s="527" t="s">
        <v>468</v>
      </c>
      <c r="F33" s="525" t="s">
        <v>456</v>
      </c>
      <c r="G33" s="525" t="s">
        <v>573</v>
      </c>
      <c r="H33" s="525" t="s">
        <v>415</v>
      </c>
      <c r="I33" s="525" t="s">
        <v>574</v>
      </c>
      <c r="J33" s="525" t="s">
        <v>575</v>
      </c>
      <c r="K33" s="525" t="s">
        <v>576</v>
      </c>
      <c r="L33" s="528">
        <v>32.130000000000003</v>
      </c>
      <c r="M33" s="528">
        <v>32.130000000000003</v>
      </c>
      <c r="N33" s="525">
        <v>1</v>
      </c>
      <c r="O33" s="529">
        <v>1</v>
      </c>
      <c r="P33" s="528">
        <v>32.130000000000003</v>
      </c>
      <c r="Q33" s="530">
        <v>1</v>
      </c>
      <c r="R33" s="525">
        <v>1</v>
      </c>
      <c r="S33" s="530">
        <v>1</v>
      </c>
      <c r="T33" s="529">
        <v>1</v>
      </c>
      <c r="U33" s="531">
        <v>1</v>
      </c>
    </row>
    <row r="34" spans="1:21" ht="14.4" customHeight="1" x14ac:dyDescent="0.3">
      <c r="A34" s="524">
        <v>27</v>
      </c>
      <c r="B34" s="525" t="s">
        <v>451</v>
      </c>
      <c r="C34" s="525" t="s">
        <v>460</v>
      </c>
      <c r="D34" s="526" t="s">
        <v>1148</v>
      </c>
      <c r="E34" s="527" t="s">
        <v>469</v>
      </c>
      <c r="F34" s="525" t="s">
        <v>456</v>
      </c>
      <c r="G34" s="525" t="s">
        <v>577</v>
      </c>
      <c r="H34" s="525" t="s">
        <v>415</v>
      </c>
      <c r="I34" s="525" t="s">
        <v>578</v>
      </c>
      <c r="J34" s="525" t="s">
        <v>579</v>
      </c>
      <c r="K34" s="525" t="s">
        <v>580</v>
      </c>
      <c r="L34" s="528">
        <v>35.11</v>
      </c>
      <c r="M34" s="528">
        <v>105.33</v>
      </c>
      <c r="N34" s="525">
        <v>3</v>
      </c>
      <c r="O34" s="529">
        <v>0.5</v>
      </c>
      <c r="P34" s="528"/>
      <c r="Q34" s="530">
        <v>0</v>
      </c>
      <c r="R34" s="525"/>
      <c r="S34" s="530">
        <v>0</v>
      </c>
      <c r="T34" s="529"/>
      <c r="U34" s="531">
        <v>0</v>
      </c>
    </row>
    <row r="35" spans="1:21" ht="14.4" customHeight="1" x14ac:dyDescent="0.3">
      <c r="A35" s="524">
        <v>27</v>
      </c>
      <c r="B35" s="525" t="s">
        <v>451</v>
      </c>
      <c r="C35" s="525" t="s">
        <v>460</v>
      </c>
      <c r="D35" s="526" t="s">
        <v>1148</v>
      </c>
      <c r="E35" s="527" t="s">
        <v>469</v>
      </c>
      <c r="F35" s="525" t="s">
        <v>456</v>
      </c>
      <c r="G35" s="525" t="s">
        <v>476</v>
      </c>
      <c r="H35" s="525" t="s">
        <v>415</v>
      </c>
      <c r="I35" s="525" t="s">
        <v>581</v>
      </c>
      <c r="J35" s="525" t="s">
        <v>478</v>
      </c>
      <c r="K35" s="525" t="s">
        <v>582</v>
      </c>
      <c r="L35" s="528">
        <v>72.55</v>
      </c>
      <c r="M35" s="528">
        <v>217.64999999999998</v>
      </c>
      <c r="N35" s="525">
        <v>3</v>
      </c>
      <c r="O35" s="529">
        <v>2.5</v>
      </c>
      <c r="P35" s="528"/>
      <c r="Q35" s="530">
        <v>0</v>
      </c>
      <c r="R35" s="525"/>
      <c r="S35" s="530">
        <v>0</v>
      </c>
      <c r="T35" s="529"/>
      <c r="U35" s="531">
        <v>0</v>
      </c>
    </row>
    <row r="36" spans="1:21" ht="14.4" customHeight="1" x14ac:dyDescent="0.3">
      <c r="A36" s="524">
        <v>27</v>
      </c>
      <c r="B36" s="525" t="s">
        <v>451</v>
      </c>
      <c r="C36" s="525" t="s">
        <v>460</v>
      </c>
      <c r="D36" s="526" t="s">
        <v>1148</v>
      </c>
      <c r="E36" s="527" t="s">
        <v>469</v>
      </c>
      <c r="F36" s="525" t="s">
        <v>456</v>
      </c>
      <c r="G36" s="525" t="s">
        <v>476</v>
      </c>
      <c r="H36" s="525" t="s">
        <v>415</v>
      </c>
      <c r="I36" s="525" t="s">
        <v>583</v>
      </c>
      <c r="J36" s="525" t="s">
        <v>584</v>
      </c>
      <c r="K36" s="525" t="s">
        <v>582</v>
      </c>
      <c r="L36" s="528">
        <v>0</v>
      </c>
      <c r="M36" s="528">
        <v>0</v>
      </c>
      <c r="N36" s="525">
        <v>1</v>
      </c>
      <c r="O36" s="529">
        <v>0.5</v>
      </c>
      <c r="P36" s="528">
        <v>0</v>
      </c>
      <c r="Q36" s="530"/>
      <c r="R36" s="525">
        <v>1</v>
      </c>
      <c r="S36" s="530">
        <v>1</v>
      </c>
      <c r="T36" s="529">
        <v>0.5</v>
      </c>
      <c r="U36" s="531">
        <v>1</v>
      </c>
    </row>
    <row r="37" spans="1:21" ht="14.4" customHeight="1" x14ac:dyDescent="0.3">
      <c r="A37" s="524">
        <v>27</v>
      </c>
      <c r="B37" s="525" t="s">
        <v>451</v>
      </c>
      <c r="C37" s="525" t="s">
        <v>460</v>
      </c>
      <c r="D37" s="526" t="s">
        <v>1148</v>
      </c>
      <c r="E37" s="527" t="s">
        <v>469</v>
      </c>
      <c r="F37" s="525" t="s">
        <v>456</v>
      </c>
      <c r="G37" s="525" t="s">
        <v>476</v>
      </c>
      <c r="H37" s="525" t="s">
        <v>415</v>
      </c>
      <c r="I37" s="525" t="s">
        <v>585</v>
      </c>
      <c r="J37" s="525" t="s">
        <v>584</v>
      </c>
      <c r="K37" s="525" t="s">
        <v>586</v>
      </c>
      <c r="L37" s="528">
        <v>0</v>
      </c>
      <c r="M37" s="528">
        <v>0</v>
      </c>
      <c r="N37" s="525">
        <v>1</v>
      </c>
      <c r="O37" s="529">
        <v>0.5</v>
      </c>
      <c r="P37" s="528">
        <v>0</v>
      </c>
      <c r="Q37" s="530"/>
      <c r="R37" s="525">
        <v>1</v>
      </c>
      <c r="S37" s="530">
        <v>1</v>
      </c>
      <c r="T37" s="529">
        <v>0.5</v>
      </c>
      <c r="U37" s="531">
        <v>1</v>
      </c>
    </row>
    <row r="38" spans="1:21" ht="14.4" customHeight="1" x14ac:dyDescent="0.3">
      <c r="A38" s="524">
        <v>27</v>
      </c>
      <c r="B38" s="525" t="s">
        <v>451</v>
      </c>
      <c r="C38" s="525" t="s">
        <v>460</v>
      </c>
      <c r="D38" s="526" t="s">
        <v>1148</v>
      </c>
      <c r="E38" s="527" t="s">
        <v>469</v>
      </c>
      <c r="F38" s="525" t="s">
        <v>456</v>
      </c>
      <c r="G38" s="525" t="s">
        <v>587</v>
      </c>
      <c r="H38" s="525" t="s">
        <v>415</v>
      </c>
      <c r="I38" s="525" t="s">
        <v>588</v>
      </c>
      <c r="J38" s="525" t="s">
        <v>589</v>
      </c>
      <c r="K38" s="525" t="s">
        <v>590</v>
      </c>
      <c r="L38" s="528">
        <v>4.7</v>
      </c>
      <c r="M38" s="528">
        <v>14.100000000000001</v>
      </c>
      <c r="N38" s="525">
        <v>3</v>
      </c>
      <c r="O38" s="529">
        <v>0.5</v>
      </c>
      <c r="P38" s="528"/>
      <c r="Q38" s="530">
        <v>0</v>
      </c>
      <c r="R38" s="525"/>
      <c r="S38" s="530">
        <v>0</v>
      </c>
      <c r="T38" s="529"/>
      <c r="U38" s="531">
        <v>0</v>
      </c>
    </row>
    <row r="39" spans="1:21" ht="14.4" customHeight="1" x14ac:dyDescent="0.3">
      <c r="A39" s="524">
        <v>27</v>
      </c>
      <c r="B39" s="525" t="s">
        <v>451</v>
      </c>
      <c r="C39" s="525" t="s">
        <v>460</v>
      </c>
      <c r="D39" s="526" t="s">
        <v>1148</v>
      </c>
      <c r="E39" s="527" t="s">
        <v>469</v>
      </c>
      <c r="F39" s="525" t="s">
        <v>456</v>
      </c>
      <c r="G39" s="525" t="s">
        <v>538</v>
      </c>
      <c r="H39" s="525" t="s">
        <v>415</v>
      </c>
      <c r="I39" s="525" t="s">
        <v>591</v>
      </c>
      <c r="J39" s="525" t="s">
        <v>592</v>
      </c>
      <c r="K39" s="525" t="s">
        <v>593</v>
      </c>
      <c r="L39" s="528">
        <v>31.09</v>
      </c>
      <c r="M39" s="528">
        <v>93.27</v>
      </c>
      <c r="N39" s="525">
        <v>3</v>
      </c>
      <c r="O39" s="529">
        <v>1.5</v>
      </c>
      <c r="P39" s="528"/>
      <c r="Q39" s="530">
        <v>0</v>
      </c>
      <c r="R39" s="525"/>
      <c r="S39" s="530">
        <v>0</v>
      </c>
      <c r="T39" s="529"/>
      <c r="U39" s="531">
        <v>0</v>
      </c>
    </row>
    <row r="40" spans="1:21" ht="14.4" customHeight="1" x14ac:dyDescent="0.3">
      <c r="A40" s="524">
        <v>27</v>
      </c>
      <c r="B40" s="525" t="s">
        <v>451</v>
      </c>
      <c r="C40" s="525" t="s">
        <v>460</v>
      </c>
      <c r="D40" s="526" t="s">
        <v>1148</v>
      </c>
      <c r="E40" s="527" t="s">
        <v>469</v>
      </c>
      <c r="F40" s="525" t="s">
        <v>456</v>
      </c>
      <c r="G40" s="525" t="s">
        <v>594</v>
      </c>
      <c r="H40" s="525" t="s">
        <v>415</v>
      </c>
      <c r="I40" s="525" t="s">
        <v>595</v>
      </c>
      <c r="J40" s="525" t="s">
        <v>596</v>
      </c>
      <c r="K40" s="525" t="s">
        <v>597</v>
      </c>
      <c r="L40" s="528">
        <v>61.44</v>
      </c>
      <c r="M40" s="528">
        <v>122.88</v>
      </c>
      <c r="N40" s="525">
        <v>2</v>
      </c>
      <c r="O40" s="529">
        <v>0.5</v>
      </c>
      <c r="P40" s="528">
        <v>122.88</v>
      </c>
      <c r="Q40" s="530">
        <v>1</v>
      </c>
      <c r="R40" s="525">
        <v>2</v>
      </c>
      <c r="S40" s="530">
        <v>1</v>
      </c>
      <c r="T40" s="529">
        <v>0.5</v>
      </c>
      <c r="U40" s="531">
        <v>1</v>
      </c>
    </row>
    <row r="41" spans="1:21" ht="14.4" customHeight="1" x14ac:dyDescent="0.3">
      <c r="A41" s="524">
        <v>27</v>
      </c>
      <c r="B41" s="525" t="s">
        <v>451</v>
      </c>
      <c r="C41" s="525" t="s">
        <v>460</v>
      </c>
      <c r="D41" s="526" t="s">
        <v>1148</v>
      </c>
      <c r="E41" s="527" t="s">
        <v>469</v>
      </c>
      <c r="F41" s="525" t="s">
        <v>456</v>
      </c>
      <c r="G41" s="525" t="s">
        <v>598</v>
      </c>
      <c r="H41" s="525" t="s">
        <v>446</v>
      </c>
      <c r="I41" s="525" t="s">
        <v>599</v>
      </c>
      <c r="J41" s="525" t="s">
        <v>600</v>
      </c>
      <c r="K41" s="525" t="s">
        <v>601</v>
      </c>
      <c r="L41" s="528">
        <v>543.36</v>
      </c>
      <c r="M41" s="528">
        <v>1630.08</v>
      </c>
      <c r="N41" s="525">
        <v>3</v>
      </c>
      <c r="O41" s="529">
        <v>1.5</v>
      </c>
      <c r="P41" s="528">
        <v>1086.72</v>
      </c>
      <c r="Q41" s="530">
        <v>0.66666666666666674</v>
      </c>
      <c r="R41" s="525">
        <v>2</v>
      </c>
      <c r="S41" s="530">
        <v>0.66666666666666663</v>
      </c>
      <c r="T41" s="529">
        <v>1</v>
      </c>
      <c r="U41" s="531">
        <v>0.66666666666666663</v>
      </c>
    </row>
    <row r="42" spans="1:21" ht="14.4" customHeight="1" x14ac:dyDescent="0.3">
      <c r="A42" s="524">
        <v>27</v>
      </c>
      <c r="B42" s="525" t="s">
        <v>451</v>
      </c>
      <c r="C42" s="525" t="s">
        <v>460</v>
      </c>
      <c r="D42" s="526" t="s">
        <v>1148</v>
      </c>
      <c r="E42" s="527" t="s">
        <v>469</v>
      </c>
      <c r="F42" s="525" t="s">
        <v>456</v>
      </c>
      <c r="G42" s="525" t="s">
        <v>598</v>
      </c>
      <c r="H42" s="525" t="s">
        <v>415</v>
      </c>
      <c r="I42" s="525" t="s">
        <v>602</v>
      </c>
      <c r="J42" s="525" t="s">
        <v>603</v>
      </c>
      <c r="K42" s="525" t="s">
        <v>604</v>
      </c>
      <c r="L42" s="528">
        <v>353.18</v>
      </c>
      <c r="M42" s="528">
        <v>353.18</v>
      </c>
      <c r="N42" s="525">
        <v>1</v>
      </c>
      <c r="O42" s="529">
        <v>0.5</v>
      </c>
      <c r="P42" s="528"/>
      <c r="Q42" s="530">
        <v>0</v>
      </c>
      <c r="R42" s="525"/>
      <c r="S42" s="530">
        <v>0</v>
      </c>
      <c r="T42" s="529"/>
      <c r="U42" s="531">
        <v>0</v>
      </c>
    </row>
    <row r="43" spans="1:21" ht="14.4" customHeight="1" x14ac:dyDescent="0.3">
      <c r="A43" s="524">
        <v>27</v>
      </c>
      <c r="B43" s="525" t="s">
        <v>451</v>
      </c>
      <c r="C43" s="525" t="s">
        <v>460</v>
      </c>
      <c r="D43" s="526" t="s">
        <v>1148</v>
      </c>
      <c r="E43" s="527" t="s">
        <v>469</v>
      </c>
      <c r="F43" s="525" t="s">
        <v>456</v>
      </c>
      <c r="G43" s="525" t="s">
        <v>598</v>
      </c>
      <c r="H43" s="525" t="s">
        <v>446</v>
      </c>
      <c r="I43" s="525" t="s">
        <v>605</v>
      </c>
      <c r="J43" s="525" t="s">
        <v>606</v>
      </c>
      <c r="K43" s="525" t="s">
        <v>607</v>
      </c>
      <c r="L43" s="528">
        <v>196.21</v>
      </c>
      <c r="M43" s="528">
        <v>588.63</v>
      </c>
      <c r="N43" s="525">
        <v>3</v>
      </c>
      <c r="O43" s="529">
        <v>2.5</v>
      </c>
      <c r="P43" s="528">
        <v>392.42</v>
      </c>
      <c r="Q43" s="530">
        <v>0.66666666666666674</v>
      </c>
      <c r="R43" s="525">
        <v>2</v>
      </c>
      <c r="S43" s="530">
        <v>0.66666666666666663</v>
      </c>
      <c r="T43" s="529">
        <v>1.5</v>
      </c>
      <c r="U43" s="531">
        <v>0.6</v>
      </c>
    </row>
    <row r="44" spans="1:21" ht="14.4" customHeight="1" x14ac:dyDescent="0.3">
      <c r="A44" s="524">
        <v>27</v>
      </c>
      <c r="B44" s="525" t="s">
        <v>451</v>
      </c>
      <c r="C44" s="525" t="s">
        <v>460</v>
      </c>
      <c r="D44" s="526" t="s">
        <v>1148</v>
      </c>
      <c r="E44" s="527" t="s">
        <v>469</v>
      </c>
      <c r="F44" s="525" t="s">
        <v>456</v>
      </c>
      <c r="G44" s="525" t="s">
        <v>598</v>
      </c>
      <c r="H44" s="525" t="s">
        <v>446</v>
      </c>
      <c r="I44" s="525" t="s">
        <v>608</v>
      </c>
      <c r="J44" s="525" t="s">
        <v>609</v>
      </c>
      <c r="K44" s="525" t="s">
        <v>610</v>
      </c>
      <c r="L44" s="528">
        <v>603.73</v>
      </c>
      <c r="M44" s="528">
        <v>1207.46</v>
      </c>
      <c r="N44" s="525">
        <v>2</v>
      </c>
      <c r="O44" s="529">
        <v>2</v>
      </c>
      <c r="P44" s="528"/>
      <c r="Q44" s="530">
        <v>0</v>
      </c>
      <c r="R44" s="525"/>
      <c r="S44" s="530">
        <v>0</v>
      </c>
      <c r="T44" s="529"/>
      <c r="U44" s="531">
        <v>0</v>
      </c>
    </row>
    <row r="45" spans="1:21" ht="14.4" customHeight="1" x14ac:dyDescent="0.3">
      <c r="A45" s="524">
        <v>27</v>
      </c>
      <c r="B45" s="525" t="s">
        <v>451</v>
      </c>
      <c r="C45" s="525" t="s">
        <v>460</v>
      </c>
      <c r="D45" s="526" t="s">
        <v>1148</v>
      </c>
      <c r="E45" s="527" t="s">
        <v>469</v>
      </c>
      <c r="F45" s="525" t="s">
        <v>456</v>
      </c>
      <c r="G45" s="525" t="s">
        <v>611</v>
      </c>
      <c r="H45" s="525" t="s">
        <v>446</v>
      </c>
      <c r="I45" s="525" t="s">
        <v>612</v>
      </c>
      <c r="J45" s="525" t="s">
        <v>613</v>
      </c>
      <c r="K45" s="525" t="s">
        <v>614</v>
      </c>
      <c r="L45" s="528">
        <v>739.33</v>
      </c>
      <c r="M45" s="528">
        <v>739.33</v>
      </c>
      <c r="N45" s="525">
        <v>1</v>
      </c>
      <c r="O45" s="529">
        <v>0.5</v>
      </c>
      <c r="P45" s="528"/>
      <c r="Q45" s="530">
        <v>0</v>
      </c>
      <c r="R45" s="525"/>
      <c r="S45" s="530">
        <v>0</v>
      </c>
      <c r="T45" s="529"/>
      <c r="U45" s="531">
        <v>0</v>
      </c>
    </row>
    <row r="46" spans="1:21" ht="14.4" customHeight="1" x14ac:dyDescent="0.3">
      <c r="A46" s="524">
        <v>27</v>
      </c>
      <c r="B46" s="525" t="s">
        <v>451</v>
      </c>
      <c r="C46" s="525" t="s">
        <v>460</v>
      </c>
      <c r="D46" s="526" t="s">
        <v>1148</v>
      </c>
      <c r="E46" s="527" t="s">
        <v>469</v>
      </c>
      <c r="F46" s="525" t="s">
        <v>456</v>
      </c>
      <c r="G46" s="525" t="s">
        <v>615</v>
      </c>
      <c r="H46" s="525" t="s">
        <v>446</v>
      </c>
      <c r="I46" s="525" t="s">
        <v>616</v>
      </c>
      <c r="J46" s="525" t="s">
        <v>617</v>
      </c>
      <c r="K46" s="525" t="s">
        <v>618</v>
      </c>
      <c r="L46" s="528">
        <v>70.540000000000006</v>
      </c>
      <c r="M46" s="528">
        <v>141.08000000000001</v>
      </c>
      <c r="N46" s="525">
        <v>2</v>
      </c>
      <c r="O46" s="529">
        <v>0.5</v>
      </c>
      <c r="P46" s="528">
        <v>141.08000000000001</v>
      </c>
      <c r="Q46" s="530">
        <v>1</v>
      </c>
      <c r="R46" s="525">
        <v>2</v>
      </c>
      <c r="S46" s="530">
        <v>1</v>
      </c>
      <c r="T46" s="529">
        <v>0.5</v>
      </c>
      <c r="U46" s="531">
        <v>1</v>
      </c>
    </row>
    <row r="47" spans="1:21" ht="14.4" customHeight="1" x14ac:dyDescent="0.3">
      <c r="A47" s="524">
        <v>27</v>
      </c>
      <c r="B47" s="525" t="s">
        <v>451</v>
      </c>
      <c r="C47" s="525" t="s">
        <v>460</v>
      </c>
      <c r="D47" s="526" t="s">
        <v>1148</v>
      </c>
      <c r="E47" s="527" t="s">
        <v>469</v>
      </c>
      <c r="F47" s="525" t="s">
        <v>456</v>
      </c>
      <c r="G47" s="525" t="s">
        <v>619</v>
      </c>
      <c r="H47" s="525" t="s">
        <v>446</v>
      </c>
      <c r="I47" s="525" t="s">
        <v>620</v>
      </c>
      <c r="J47" s="525" t="s">
        <v>621</v>
      </c>
      <c r="K47" s="525" t="s">
        <v>622</v>
      </c>
      <c r="L47" s="528">
        <v>86.5</v>
      </c>
      <c r="M47" s="528">
        <v>259.5</v>
      </c>
      <c r="N47" s="525">
        <v>3</v>
      </c>
      <c r="O47" s="529">
        <v>0.5</v>
      </c>
      <c r="P47" s="528"/>
      <c r="Q47" s="530">
        <v>0</v>
      </c>
      <c r="R47" s="525"/>
      <c r="S47" s="530">
        <v>0</v>
      </c>
      <c r="T47" s="529"/>
      <c r="U47" s="531">
        <v>0</v>
      </c>
    </row>
    <row r="48" spans="1:21" ht="14.4" customHeight="1" x14ac:dyDescent="0.3">
      <c r="A48" s="524">
        <v>27</v>
      </c>
      <c r="B48" s="525" t="s">
        <v>451</v>
      </c>
      <c r="C48" s="525" t="s">
        <v>460</v>
      </c>
      <c r="D48" s="526" t="s">
        <v>1148</v>
      </c>
      <c r="E48" s="527" t="s">
        <v>469</v>
      </c>
      <c r="F48" s="525" t="s">
        <v>456</v>
      </c>
      <c r="G48" s="525" t="s">
        <v>623</v>
      </c>
      <c r="H48" s="525" t="s">
        <v>446</v>
      </c>
      <c r="I48" s="525" t="s">
        <v>624</v>
      </c>
      <c r="J48" s="525" t="s">
        <v>625</v>
      </c>
      <c r="K48" s="525" t="s">
        <v>626</v>
      </c>
      <c r="L48" s="528">
        <v>229.38</v>
      </c>
      <c r="M48" s="528">
        <v>229.38</v>
      </c>
      <c r="N48" s="525">
        <v>1</v>
      </c>
      <c r="O48" s="529">
        <v>0.5</v>
      </c>
      <c r="P48" s="528"/>
      <c r="Q48" s="530">
        <v>0</v>
      </c>
      <c r="R48" s="525"/>
      <c r="S48" s="530">
        <v>0</v>
      </c>
      <c r="T48" s="529"/>
      <c r="U48" s="531">
        <v>0</v>
      </c>
    </row>
    <row r="49" spans="1:21" ht="14.4" customHeight="1" x14ac:dyDescent="0.3">
      <c r="A49" s="524">
        <v>27</v>
      </c>
      <c r="B49" s="525" t="s">
        <v>451</v>
      </c>
      <c r="C49" s="525" t="s">
        <v>460</v>
      </c>
      <c r="D49" s="526" t="s">
        <v>1148</v>
      </c>
      <c r="E49" s="527" t="s">
        <v>469</v>
      </c>
      <c r="F49" s="525" t="s">
        <v>456</v>
      </c>
      <c r="G49" s="525" t="s">
        <v>480</v>
      </c>
      <c r="H49" s="525" t="s">
        <v>415</v>
      </c>
      <c r="I49" s="525" t="s">
        <v>627</v>
      </c>
      <c r="J49" s="525" t="s">
        <v>628</v>
      </c>
      <c r="K49" s="525" t="s">
        <v>629</v>
      </c>
      <c r="L49" s="528">
        <v>16.38</v>
      </c>
      <c r="M49" s="528">
        <v>49.14</v>
      </c>
      <c r="N49" s="525">
        <v>3</v>
      </c>
      <c r="O49" s="529">
        <v>0.5</v>
      </c>
      <c r="P49" s="528"/>
      <c r="Q49" s="530">
        <v>0</v>
      </c>
      <c r="R49" s="525"/>
      <c r="S49" s="530">
        <v>0</v>
      </c>
      <c r="T49" s="529"/>
      <c r="U49" s="531">
        <v>0</v>
      </c>
    </row>
    <row r="50" spans="1:21" ht="14.4" customHeight="1" x14ac:dyDescent="0.3">
      <c r="A50" s="524">
        <v>27</v>
      </c>
      <c r="B50" s="525" t="s">
        <v>451</v>
      </c>
      <c r="C50" s="525" t="s">
        <v>460</v>
      </c>
      <c r="D50" s="526" t="s">
        <v>1148</v>
      </c>
      <c r="E50" s="527" t="s">
        <v>469</v>
      </c>
      <c r="F50" s="525" t="s">
        <v>456</v>
      </c>
      <c r="G50" s="525" t="s">
        <v>480</v>
      </c>
      <c r="H50" s="525" t="s">
        <v>446</v>
      </c>
      <c r="I50" s="525" t="s">
        <v>630</v>
      </c>
      <c r="J50" s="525" t="s">
        <v>482</v>
      </c>
      <c r="K50" s="525" t="s">
        <v>631</v>
      </c>
      <c r="L50" s="528">
        <v>35.11</v>
      </c>
      <c r="M50" s="528">
        <v>70.22</v>
      </c>
      <c r="N50" s="525">
        <v>2</v>
      </c>
      <c r="O50" s="529">
        <v>1</v>
      </c>
      <c r="P50" s="528"/>
      <c r="Q50" s="530">
        <v>0</v>
      </c>
      <c r="R50" s="525"/>
      <c r="S50" s="530">
        <v>0</v>
      </c>
      <c r="T50" s="529"/>
      <c r="U50" s="531">
        <v>0</v>
      </c>
    </row>
    <row r="51" spans="1:21" ht="14.4" customHeight="1" x14ac:dyDescent="0.3">
      <c r="A51" s="524">
        <v>27</v>
      </c>
      <c r="B51" s="525" t="s">
        <v>451</v>
      </c>
      <c r="C51" s="525" t="s">
        <v>460</v>
      </c>
      <c r="D51" s="526" t="s">
        <v>1148</v>
      </c>
      <c r="E51" s="527" t="s">
        <v>469</v>
      </c>
      <c r="F51" s="525" t="s">
        <v>456</v>
      </c>
      <c r="G51" s="525" t="s">
        <v>480</v>
      </c>
      <c r="H51" s="525" t="s">
        <v>415</v>
      </c>
      <c r="I51" s="525" t="s">
        <v>632</v>
      </c>
      <c r="J51" s="525" t="s">
        <v>633</v>
      </c>
      <c r="K51" s="525" t="s">
        <v>523</v>
      </c>
      <c r="L51" s="528">
        <v>70.23</v>
      </c>
      <c r="M51" s="528">
        <v>140.46</v>
      </c>
      <c r="N51" s="525">
        <v>2</v>
      </c>
      <c r="O51" s="529">
        <v>0.5</v>
      </c>
      <c r="P51" s="528"/>
      <c r="Q51" s="530">
        <v>0</v>
      </c>
      <c r="R51" s="525"/>
      <c r="S51" s="530">
        <v>0</v>
      </c>
      <c r="T51" s="529"/>
      <c r="U51" s="531">
        <v>0</v>
      </c>
    </row>
    <row r="52" spans="1:21" ht="14.4" customHeight="1" x14ac:dyDescent="0.3">
      <c r="A52" s="524">
        <v>27</v>
      </c>
      <c r="B52" s="525" t="s">
        <v>451</v>
      </c>
      <c r="C52" s="525" t="s">
        <v>460</v>
      </c>
      <c r="D52" s="526" t="s">
        <v>1148</v>
      </c>
      <c r="E52" s="527" t="s">
        <v>469</v>
      </c>
      <c r="F52" s="525" t="s">
        <v>456</v>
      </c>
      <c r="G52" s="525" t="s">
        <v>480</v>
      </c>
      <c r="H52" s="525" t="s">
        <v>415</v>
      </c>
      <c r="I52" s="525" t="s">
        <v>634</v>
      </c>
      <c r="J52" s="525" t="s">
        <v>635</v>
      </c>
      <c r="K52" s="525" t="s">
        <v>523</v>
      </c>
      <c r="L52" s="528">
        <v>70.23</v>
      </c>
      <c r="M52" s="528">
        <v>140.46</v>
      </c>
      <c r="N52" s="525">
        <v>2</v>
      </c>
      <c r="O52" s="529">
        <v>0.5</v>
      </c>
      <c r="P52" s="528"/>
      <c r="Q52" s="530">
        <v>0</v>
      </c>
      <c r="R52" s="525"/>
      <c r="S52" s="530">
        <v>0</v>
      </c>
      <c r="T52" s="529"/>
      <c r="U52" s="531">
        <v>0</v>
      </c>
    </row>
    <row r="53" spans="1:21" ht="14.4" customHeight="1" x14ac:dyDescent="0.3">
      <c r="A53" s="524">
        <v>27</v>
      </c>
      <c r="B53" s="525" t="s">
        <v>451</v>
      </c>
      <c r="C53" s="525" t="s">
        <v>460</v>
      </c>
      <c r="D53" s="526" t="s">
        <v>1148</v>
      </c>
      <c r="E53" s="527" t="s">
        <v>469</v>
      </c>
      <c r="F53" s="525" t="s">
        <v>456</v>
      </c>
      <c r="G53" s="525" t="s">
        <v>636</v>
      </c>
      <c r="H53" s="525" t="s">
        <v>415</v>
      </c>
      <c r="I53" s="525" t="s">
        <v>637</v>
      </c>
      <c r="J53" s="525" t="s">
        <v>638</v>
      </c>
      <c r="K53" s="525" t="s">
        <v>639</v>
      </c>
      <c r="L53" s="528">
        <v>529.57000000000005</v>
      </c>
      <c r="M53" s="528">
        <v>529.57000000000005</v>
      </c>
      <c r="N53" s="525">
        <v>1</v>
      </c>
      <c r="O53" s="529">
        <v>0.5</v>
      </c>
      <c r="P53" s="528"/>
      <c r="Q53" s="530">
        <v>0</v>
      </c>
      <c r="R53" s="525"/>
      <c r="S53" s="530">
        <v>0</v>
      </c>
      <c r="T53" s="529"/>
      <c r="U53" s="531">
        <v>0</v>
      </c>
    </row>
    <row r="54" spans="1:21" ht="14.4" customHeight="1" x14ac:dyDescent="0.3">
      <c r="A54" s="524">
        <v>27</v>
      </c>
      <c r="B54" s="525" t="s">
        <v>451</v>
      </c>
      <c r="C54" s="525" t="s">
        <v>460</v>
      </c>
      <c r="D54" s="526" t="s">
        <v>1148</v>
      </c>
      <c r="E54" s="527" t="s">
        <v>469</v>
      </c>
      <c r="F54" s="525" t="s">
        <v>456</v>
      </c>
      <c r="G54" s="525" t="s">
        <v>640</v>
      </c>
      <c r="H54" s="525" t="s">
        <v>415</v>
      </c>
      <c r="I54" s="525" t="s">
        <v>641</v>
      </c>
      <c r="J54" s="525" t="s">
        <v>642</v>
      </c>
      <c r="K54" s="525" t="s">
        <v>643</v>
      </c>
      <c r="L54" s="528">
        <v>0</v>
      </c>
      <c r="M54" s="528">
        <v>0</v>
      </c>
      <c r="N54" s="525">
        <v>2</v>
      </c>
      <c r="O54" s="529">
        <v>0.5</v>
      </c>
      <c r="P54" s="528">
        <v>0</v>
      </c>
      <c r="Q54" s="530"/>
      <c r="R54" s="525">
        <v>2</v>
      </c>
      <c r="S54" s="530">
        <v>1</v>
      </c>
      <c r="T54" s="529">
        <v>0.5</v>
      </c>
      <c r="U54" s="531">
        <v>1</v>
      </c>
    </row>
    <row r="55" spans="1:21" ht="14.4" customHeight="1" x14ac:dyDescent="0.3">
      <c r="A55" s="524">
        <v>27</v>
      </c>
      <c r="B55" s="525" t="s">
        <v>451</v>
      </c>
      <c r="C55" s="525" t="s">
        <v>460</v>
      </c>
      <c r="D55" s="526" t="s">
        <v>1148</v>
      </c>
      <c r="E55" s="527" t="s">
        <v>469</v>
      </c>
      <c r="F55" s="525" t="s">
        <v>456</v>
      </c>
      <c r="G55" s="525" t="s">
        <v>644</v>
      </c>
      <c r="H55" s="525" t="s">
        <v>415</v>
      </c>
      <c r="I55" s="525" t="s">
        <v>645</v>
      </c>
      <c r="J55" s="525" t="s">
        <v>646</v>
      </c>
      <c r="K55" s="525" t="s">
        <v>647</v>
      </c>
      <c r="L55" s="528">
        <v>2026.32</v>
      </c>
      <c r="M55" s="528">
        <v>6078.96</v>
      </c>
      <c r="N55" s="525">
        <v>3</v>
      </c>
      <c r="O55" s="529">
        <v>0.5</v>
      </c>
      <c r="P55" s="528"/>
      <c r="Q55" s="530">
        <v>0</v>
      </c>
      <c r="R55" s="525"/>
      <c r="S55" s="530">
        <v>0</v>
      </c>
      <c r="T55" s="529"/>
      <c r="U55" s="531">
        <v>0</v>
      </c>
    </row>
    <row r="56" spans="1:21" ht="14.4" customHeight="1" x14ac:dyDescent="0.3">
      <c r="A56" s="524">
        <v>27</v>
      </c>
      <c r="B56" s="525" t="s">
        <v>451</v>
      </c>
      <c r="C56" s="525" t="s">
        <v>460</v>
      </c>
      <c r="D56" s="526" t="s">
        <v>1148</v>
      </c>
      <c r="E56" s="527" t="s">
        <v>469</v>
      </c>
      <c r="F56" s="525" t="s">
        <v>456</v>
      </c>
      <c r="G56" s="525" t="s">
        <v>648</v>
      </c>
      <c r="H56" s="525" t="s">
        <v>415</v>
      </c>
      <c r="I56" s="525" t="s">
        <v>649</v>
      </c>
      <c r="J56" s="525" t="s">
        <v>650</v>
      </c>
      <c r="K56" s="525" t="s">
        <v>651</v>
      </c>
      <c r="L56" s="528">
        <v>150.9</v>
      </c>
      <c r="M56" s="528">
        <v>452.70000000000005</v>
      </c>
      <c r="N56" s="525">
        <v>3</v>
      </c>
      <c r="O56" s="529">
        <v>0.5</v>
      </c>
      <c r="P56" s="528">
        <v>452.70000000000005</v>
      </c>
      <c r="Q56" s="530">
        <v>1</v>
      </c>
      <c r="R56" s="525">
        <v>3</v>
      </c>
      <c r="S56" s="530">
        <v>1</v>
      </c>
      <c r="T56" s="529">
        <v>0.5</v>
      </c>
      <c r="U56" s="531">
        <v>1</v>
      </c>
    </row>
    <row r="57" spans="1:21" ht="14.4" customHeight="1" x14ac:dyDescent="0.3">
      <c r="A57" s="524">
        <v>27</v>
      </c>
      <c r="B57" s="525" t="s">
        <v>451</v>
      </c>
      <c r="C57" s="525" t="s">
        <v>460</v>
      </c>
      <c r="D57" s="526" t="s">
        <v>1148</v>
      </c>
      <c r="E57" s="527" t="s">
        <v>469</v>
      </c>
      <c r="F57" s="525" t="s">
        <v>456</v>
      </c>
      <c r="G57" s="525" t="s">
        <v>484</v>
      </c>
      <c r="H57" s="525" t="s">
        <v>415</v>
      </c>
      <c r="I57" s="525" t="s">
        <v>652</v>
      </c>
      <c r="J57" s="525" t="s">
        <v>486</v>
      </c>
      <c r="K57" s="525" t="s">
        <v>653</v>
      </c>
      <c r="L57" s="528">
        <v>182.22</v>
      </c>
      <c r="M57" s="528">
        <v>546.66</v>
      </c>
      <c r="N57" s="525">
        <v>3</v>
      </c>
      <c r="O57" s="529">
        <v>2.5</v>
      </c>
      <c r="P57" s="528">
        <v>364.44</v>
      </c>
      <c r="Q57" s="530">
        <v>0.66666666666666674</v>
      </c>
      <c r="R57" s="525">
        <v>2</v>
      </c>
      <c r="S57" s="530">
        <v>0.66666666666666663</v>
      </c>
      <c r="T57" s="529">
        <v>1.5</v>
      </c>
      <c r="U57" s="531">
        <v>0.6</v>
      </c>
    </row>
    <row r="58" spans="1:21" ht="14.4" customHeight="1" x14ac:dyDescent="0.3">
      <c r="A58" s="524">
        <v>27</v>
      </c>
      <c r="B58" s="525" t="s">
        <v>451</v>
      </c>
      <c r="C58" s="525" t="s">
        <v>460</v>
      </c>
      <c r="D58" s="526" t="s">
        <v>1148</v>
      </c>
      <c r="E58" s="527" t="s">
        <v>469</v>
      </c>
      <c r="F58" s="525" t="s">
        <v>456</v>
      </c>
      <c r="G58" s="525" t="s">
        <v>654</v>
      </c>
      <c r="H58" s="525" t="s">
        <v>446</v>
      </c>
      <c r="I58" s="525" t="s">
        <v>655</v>
      </c>
      <c r="J58" s="525" t="s">
        <v>656</v>
      </c>
      <c r="K58" s="525" t="s">
        <v>657</v>
      </c>
      <c r="L58" s="528">
        <v>65.77</v>
      </c>
      <c r="M58" s="528">
        <v>197.31</v>
      </c>
      <c r="N58" s="525">
        <v>3</v>
      </c>
      <c r="O58" s="529">
        <v>0.5</v>
      </c>
      <c r="P58" s="528"/>
      <c r="Q58" s="530">
        <v>0</v>
      </c>
      <c r="R58" s="525"/>
      <c r="S58" s="530">
        <v>0</v>
      </c>
      <c r="T58" s="529"/>
      <c r="U58" s="531">
        <v>0</v>
      </c>
    </row>
    <row r="59" spans="1:21" ht="14.4" customHeight="1" x14ac:dyDescent="0.3">
      <c r="A59" s="524">
        <v>27</v>
      </c>
      <c r="B59" s="525" t="s">
        <v>451</v>
      </c>
      <c r="C59" s="525" t="s">
        <v>460</v>
      </c>
      <c r="D59" s="526" t="s">
        <v>1148</v>
      </c>
      <c r="E59" s="527" t="s">
        <v>469</v>
      </c>
      <c r="F59" s="525" t="s">
        <v>456</v>
      </c>
      <c r="G59" s="525" t="s">
        <v>658</v>
      </c>
      <c r="H59" s="525" t="s">
        <v>415</v>
      </c>
      <c r="I59" s="525" t="s">
        <v>659</v>
      </c>
      <c r="J59" s="525" t="s">
        <v>660</v>
      </c>
      <c r="K59" s="525" t="s">
        <v>661</v>
      </c>
      <c r="L59" s="528">
        <v>0</v>
      </c>
      <c r="M59" s="528">
        <v>0</v>
      </c>
      <c r="N59" s="525">
        <v>1</v>
      </c>
      <c r="O59" s="529">
        <v>0.5</v>
      </c>
      <c r="P59" s="528">
        <v>0</v>
      </c>
      <c r="Q59" s="530"/>
      <c r="R59" s="525">
        <v>1</v>
      </c>
      <c r="S59" s="530">
        <v>1</v>
      </c>
      <c r="T59" s="529">
        <v>0.5</v>
      </c>
      <c r="U59" s="531">
        <v>1</v>
      </c>
    </row>
    <row r="60" spans="1:21" ht="14.4" customHeight="1" x14ac:dyDescent="0.3">
      <c r="A60" s="524">
        <v>27</v>
      </c>
      <c r="B60" s="525" t="s">
        <v>451</v>
      </c>
      <c r="C60" s="525" t="s">
        <v>460</v>
      </c>
      <c r="D60" s="526" t="s">
        <v>1148</v>
      </c>
      <c r="E60" s="527" t="s">
        <v>469</v>
      </c>
      <c r="F60" s="525" t="s">
        <v>456</v>
      </c>
      <c r="G60" s="525" t="s">
        <v>662</v>
      </c>
      <c r="H60" s="525" t="s">
        <v>415</v>
      </c>
      <c r="I60" s="525" t="s">
        <v>663</v>
      </c>
      <c r="J60" s="525" t="s">
        <v>664</v>
      </c>
      <c r="K60" s="525" t="s">
        <v>665</v>
      </c>
      <c r="L60" s="528">
        <v>0</v>
      </c>
      <c r="M60" s="528">
        <v>0</v>
      </c>
      <c r="N60" s="525">
        <v>1</v>
      </c>
      <c r="O60" s="529">
        <v>0.5</v>
      </c>
      <c r="P60" s="528"/>
      <c r="Q60" s="530"/>
      <c r="R60" s="525"/>
      <c r="S60" s="530">
        <v>0</v>
      </c>
      <c r="T60" s="529"/>
      <c r="U60" s="531">
        <v>0</v>
      </c>
    </row>
    <row r="61" spans="1:21" ht="14.4" customHeight="1" x14ac:dyDescent="0.3">
      <c r="A61" s="524">
        <v>27</v>
      </c>
      <c r="B61" s="525" t="s">
        <v>451</v>
      </c>
      <c r="C61" s="525" t="s">
        <v>460</v>
      </c>
      <c r="D61" s="526" t="s">
        <v>1148</v>
      </c>
      <c r="E61" s="527" t="s">
        <v>469</v>
      </c>
      <c r="F61" s="525" t="s">
        <v>456</v>
      </c>
      <c r="G61" s="525" t="s">
        <v>662</v>
      </c>
      <c r="H61" s="525" t="s">
        <v>415</v>
      </c>
      <c r="I61" s="525" t="s">
        <v>666</v>
      </c>
      <c r="J61" s="525" t="s">
        <v>664</v>
      </c>
      <c r="K61" s="525" t="s">
        <v>667</v>
      </c>
      <c r="L61" s="528">
        <v>3480.65</v>
      </c>
      <c r="M61" s="528">
        <v>3480.65</v>
      </c>
      <c r="N61" s="525">
        <v>1</v>
      </c>
      <c r="O61" s="529">
        <v>1</v>
      </c>
      <c r="P61" s="528"/>
      <c r="Q61" s="530">
        <v>0</v>
      </c>
      <c r="R61" s="525"/>
      <c r="S61" s="530">
        <v>0</v>
      </c>
      <c r="T61" s="529"/>
      <c r="U61" s="531">
        <v>0</v>
      </c>
    </row>
    <row r="62" spans="1:21" ht="14.4" customHeight="1" x14ac:dyDescent="0.3">
      <c r="A62" s="524">
        <v>27</v>
      </c>
      <c r="B62" s="525" t="s">
        <v>451</v>
      </c>
      <c r="C62" s="525" t="s">
        <v>460</v>
      </c>
      <c r="D62" s="526" t="s">
        <v>1148</v>
      </c>
      <c r="E62" s="527" t="s">
        <v>469</v>
      </c>
      <c r="F62" s="525" t="s">
        <v>456</v>
      </c>
      <c r="G62" s="525" t="s">
        <v>668</v>
      </c>
      <c r="H62" s="525" t="s">
        <v>415</v>
      </c>
      <c r="I62" s="525" t="s">
        <v>669</v>
      </c>
      <c r="J62" s="525" t="s">
        <v>670</v>
      </c>
      <c r="K62" s="525" t="s">
        <v>671</v>
      </c>
      <c r="L62" s="528">
        <v>123.2</v>
      </c>
      <c r="M62" s="528">
        <v>369.6</v>
      </c>
      <c r="N62" s="525">
        <v>3</v>
      </c>
      <c r="O62" s="529">
        <v>1</v>
      </c>
      <c r="P62" s="528">
        <v>369.6</v>
      </c>
      <c r="Q62" s="530">
        <v>1</v>
      </c>
      <c r="R62" s="525">
        <v>3</v>
      </c>
      <c r="S62" s="530">
        <v>1</v>
      </c>
      <c r="T62" s="529">
        <v>1</v>
      </c>
      <c r="U62" s="531">
        <v>1</v>
      </c>
    </row>
    <row r="63" spans="1:21" ht="14.4" customHeight="1" x14ac:dyDescent="0.3">
      <c r="A63" s="524">
        <v>27</v>
      </c>
      <c r="B63" s="525" t="s">
        <v>451</v>
      </c>
      <c r="C63" s="525" t="s">
        <v>460</v>
      </c>
      <c r="D63" s="526" t="s">
        <v>1148</v>
      </c>
      <c r="E63" s="527" t="s">
        <v>469</v>
      </c>
      <c r="F63" s="525" t="s">
        <v>456</v>
      </c>
      <c r="G63" s="525" t="s">
        <v>672</v>
      </c>
      <c r="H63" s="525" t="s">
        <v>415</v>
      </c>
      <c r="I63" s="525" t="s">
        <v>673</v>
      </c>
      <c r="J63" s="525" t="s">
        <v>674</v>
      </c>
      <c r="K63" s="525" t="s">
        <v>675</v>
      </c>
      <c r="L63" s="528">
        <v>63.7</v>
      </c>
      <c r="M63" s="528">
        <v>63.7</v>
      </c>
      <c r="N63" s="525">
        <v>1</v>
      </c>
      <c r="O63" s="529">
        <v>0.5</v>
      </c>
      <c r="P63" s="528">
        <v>63.7</v>
      </c>
      <c r="Q63" s="530">
        <v>1</v>
      </c>
      <c r="R63" s="525">
        <v>1</v>
      </c>
      <c r="S63" s="530">
        <v>1</v>
      </c>
      <c r="T63" s="529">
        <v>0.5</v>
      </c>
      <c r="U63" s="531">
        <v>1</v>
      </c>
    </row>
    <row r="64" spans="1:21" ht="14.4" customHeight="1" x14ac:dyDescent="0.3">
      <c r="A64" s="524">
        <v>27</v>
      </c>
      <c r="B64" s="525" t="s">
        <v>451</v>
      </c>
      <c r="C64" s="525" t="s">
        <v>460</v>
      </c>
      <c r="D64" s="526" t="s">
        <v>1148</v>
      </c>
      <c r="E64" s="527" t="s">
        <v>469</v>
      </c>
      <c r="F64" s="525" t="s">
        <v>456</v>
      </c>
      <c r="G64" s="525" t="s">
        <v>676</v>
      </c>
      <c r="H64" s="525" t="s">
        <v>415</v>
      </c>
      <c r="I64" s="525" t="s">
        <v>677</v>
      </c>
      <c r="J64" s="525" t="s">
        <v>678</v>
      </c>
      <c r="K64" s="525" t="s">
        <v>679</v>
      </c>
      <c r="L64" s="528">
        <v>101.92</v>
      </c>
      <c r="M64" s="528">
        <v>101.92</v>
      </c>
      <c r="N64" s="525">
        <v>1</v>
      </c>
      <c r="O64" s="529">
        <v>0.5</v>
      </c>
      <c r="P64" s="528"/>
      <c r="Q64" s="530">
        <v>0</v>
      </c>
      <c r="R64" s="525"/>
      <c r="S64" s="530">
        <v>0</v>
      </c>
      <c r="T64" s="529"/>
      <c r="U64" s="531">
        <v>0</v>
      </c>
    </row>
    <row r="65" spans="1:21" ht="14.4" customHeight="1" x14ac:dyDescent="0.3">
      <c r="A65" s="524">
        <v>27</v>
      </c>
      <c r="B65" s="525" t="s">
        <v>451</v>
      </c>
      <c r="C65" s="525" t="s">
        <v>460</v>
      </c>
      <c r="D65" s="526" t="s">
        <v>1148</v>
      </c>
      <c r="E65" s="527" t="s">
        <v>469</v>
      </c>
      <c r="F65" s="525" t="s">
        <v>456</v>
      </c>
      <c r="G65" s="525" t="s">
        <v>546</v>
      </c>
      <c r="H65" s="525" t="s">
        <v>415</v>
      </c>
      <c r="I65" s="525" t="s">
        <v>680</v>
      </c>
      <c r="J65" s="525" t="s">
        <v>548</v>
      </c>
      <c r="K65" s="525" t="s">
        <v>549</v>
      </c>
      <c r="L65" s="528">
        <v>107.27</v>
      </c>
      <c r="M65" s="528">
        <v>1072.7</v>
      </c>
      <c r="N65" s="525">
        <v>10</v>
      </c>
      <c r="O65" s="529">
        <v>3</v>
      </c>
      <c r="P65" s="528">
        <v>321.81</v>
      </c>
      <c r="Q65" s="530">
        <v>0.3</v>
      </c>
      <c r="R65" s="525">
        <v>3</v>
      </c>
      <c r="S65" s="530">
        <v>0.3</v>
      </c>
      <c r="T65" s="529">
        <v>0.5</v>
      </c>
      <c r="U65" s="531">
        <v>0.16666666666666666</v>
      </c>
    </row>
    <row r="66" spans="1:21" ht="14.4" customHeight="1" x14ac:dyDescent="0.3">
      <c r="A66" s="524">
        <v>27</v>
      </c>
      <c r="B66" s="525" t="s">
        <v>451</v>
      </c>
      <c r="C66" s="525" t="s">
        <v>460</v>
      </c>
      <c r="D66" s="526" t="s">
        <v>1148</v>
      </c>
      <c r="E66" s="527" t="s">
        <v>469</v>
      </c>
      <c r="F66" s="525" t="s">
        <v>456</v>
      </c>
      <c r="G66" s="525" t="s">
        <v>681</v>
      </c>
      <c r="H66" s="525" t="s">
        <v>415</v>
      </c>
      <c r="I66" s="525" t="s">
        <v>682</v>
      </c>
      <c r="J66" s="525" t="s">
        <v>683</v>
      </c>
      <c r="K66" s="525" t="s">
        <v>684</v>
      </c>
      <c r="L66" s="528">
        <v>30.56</v>
      </c>
      <c r="M66" s="528">
        <v>91.679999999999993</v>
      </c>
      <c r="N66" s="525">
        <v>3</v>
      </c>
      <c r="O66" s="529">
        <v>0.5</v>
      </c>
      <c r="P66" s="528">
        <v>91.679999999999993</v>
      </c>
      <c r="Q66" s="530">
        <v>1</v>
      </c>
      <c r="R66" s="525">
        <v>3</v>
      </c>
      <c r="S66" s="530">
        <v>1</v>
      </c>
      <c r="T66" s="529">
        <v>0.5</v>
      </c>
      <c r="U66" s="531">
        <v>1</v>
      </c>
    </row>
    <row r="67" spans="1:21" ht="14.4" customHeight="1" x14ac:dyDescent="0.3">
      <c r="A67" s="524">
        <v>27</v>
      </c>
      <c r="B67" s="525" t="s">
        <v>451</v>
      </c>
      <c r="C67" s="525" t="s">
        <v>460</v>
      </c>
      <c r="D67" s="526" t="s">
        <v>1148</v>
      </c>
      <c r="E67" s="527" t="s">
        <v>469</v>
      </c>
      <c r="F67" s="525" t="s">
        <v>456</v>
      </c>
      <c r="G67" s="525" t="s">
        <v>685</v>
      </c>
      <c r="H67" s="525" t="s">
        <v>415</v>
      </c>
      <c r="I67" s="525" t="s">
        <v>686</v>
      </c>
      <c r="J67" s="525" t="s">
        <v>687</v>
      </c>
      <c r="K67" s="525" t="s">
        <v>688</v>
      </c>
      <c r="L67" s="528">
        <v>50.64</v>
      </c>
      <c r="M67" s="528">
        <v>151.92000000000002</v>
      </c>
      <c r="N67" s="525">
        <v>3</v>
      </c>
      <c r="O67" s="529">
        <v>0.5</v>
      </c>
      <c r="P67" s="528"/>
      <c r="Q67" s="530">
        <v>0</v>
      </c>
      <c r="R67" s="525"/>
      <c r="S67" s="530">
        <v>0</v>
      </c>
      <c r="T67" s="529"/>
      <c r="U67" s="531">
        <v>0</v>
      </c>
    </row>
    <row r="68" spans="1:21" ht="14.4" customHeight="1" x14ac:dyDescent="0.3">
      <c r="A68" s="524">
        <v>27</v>
      </c>
      <c r="B68" s="525" t="s">
        <v>451</v>
      </c>
      <c r="C68" s="525" t="s">
        <v>460</v>
      </c>
      <c r="D68" s="526" t="s">
        <v>1148</v>
      </c>
      <c r="E68" s="527" t="s">
        <v>469</v>
      </c>
      <c r="F68" s="525" t="s">
        <v>456</v>
      </c>
      <c r="G68" s="525" t="s">
        <v>689</v>
      </c>
      <c r="H68" s="525" t="s">
        <v>415</v>
      </c>
      <c r="I68" s="525" t="s">
        <v>690</v>
      </c>
      <c r="J68" s="525" t="s">
        <v>691</v>
      </c>
      <c r="K68" s="525" t="s">
        <v>692</v>
      </c>
      <c r="L68" s="528">
        <v>0</v>
      </c>
      <c r="M68" s="528">
        <v>0</v>
      </c>
      <c r="N68" s="525">
        <v>1</v>
      </c>
      <c r="O68" s="529">
        <v>0.5</v>
      </c>
      <c r="P68" s="528">
        <v>0</v>
      </c>
      <c r="Q68" s="530"/>
      <c r="R68" s="525">
        <v>1</v>
      </c>
      <c r="S68" s="530">
        <v>1</v>
      </c>
      <c r="T68" s="529">
        <v>0.5</v>
      </c>
      <c r="U68" s="531">
        <v>1</v>
      </c>
    </row>
    <row r="69" spans="1:21" ht="14.4" customHeight="1" x14ac:dyDescent="0.3">
      <c r="A69" s="524">
        <v>27</v>
      </c>
      <c r="B69" s="525" t="s">
        <v>451</v>
      </c>
      <c r="C69" s="525" t="s">
        <v>460</v>
      </c>
      <c r="D69" s="526" t="s">
        <v>1148</v>
      </c>
      <c r="E69" s="527" t="s">
        <v>469</v>
      </c>
      <c r="F69" s="525" t="s">
        <v>456</v>
      </c>
      <c r="G69" s="525" t="s">
        <v>693</v>
      </c>
      <c r="H69" s="525" t="s">
        <v>415</v>
      </c>
      <c r="I69" s="525" t="s">
        <v>694</v>
      </c>
      <c r="J69" s="525" t="s">
        <v>695</v>
      </c>
      <c r="K69" s="525" t="s">
        <v>696</v>
      </c>
      <c r="L69" s="528">
        <v>0</v>
      </c>
      <c r="M69" s="528">
        <v>0</v>
      </c>
      <c r="N69" s="525">
        <v>1</v>
      </c>
      <c r="O69" s="529">
        <v>1</v>
      </c>
      <c r="P69" s="528">
        <v>0</v>
      </c>
      <c r="Q69" s="530"/>
      <c r="R69" s="525">
        <v>1</v>
      </c>
      <c r="S69" s="530">
        <v>1</v>
      </c>
      <c r="T69" s="529">
        <v>1</v>
      </c>
      <c r="U69" s="531">
        <v>1</v>
      </c>
    </row>
    <row r="70" spans="1:21" ht="14.4" customHeight="1" x14ac:dyDescent="0.3">
      <c r="A70" s="524">
        <v>27</v>
      </c>
      <c r="B70" s="525" t="s">
        <v>451</v>
      </c>
      <c r="C70" s="525" t="s">
        <v>460</v>
      </c>
      <c r="D70" s="526" t="s">
        <v>1148</v>
      </c>
      <c r="E70" s="527" t="s">
        <v>469</v>
      </c>
      <c r="F70" s="525" t="s">
        <v>456</v>
      </c>
      <c r="G70" s="525" t="s">
        <v>693</v>
      </c>
      <c r="H70" s="525" t="s">
        <v>415</v>
      </c>
      <c r="I70" s="525" t="s">
        <v>697</v>
      </c>
      <c r="J70" s="525" t="s">
        <v>695</v>
      </c>
      <c r="K70" s="525" t="s">
        <v>698</v>
      </c>
      <c r="L70" s="528">
        <v>152.84</v>
      </c>
      <c r="M70" s="528">
        <v>305.68</v>
      </c>
      <c r="N70" s="525">
        <v>2</v>
      </c>
      <c r="O70" s="529">
        <v>1.5</v>
      </c>
      <c r="P70" s="528">
        <v>305.68</v>
      </c>
      <c r="Q70" s="530">
        <v>1</v>
      </c>
      <c r="R70" s="525">
        <v>2</v>
      </c>
      <c r="S70" s="530">
        <v>1</v>
      </c>
      <c r="T70" s="529">
        <v>1.5</v>
      </c>
      <c r="U70" s="531">
        <v>1</v>
      </c>
    </row>
    <row r="71" spans="1:21" ht="14.4" customHeight="1" x14ac:dyDescent="0.3">
      <c r="A71" s="524">
        <v>27</v>
      </c>
      <c r="B71" s="525" t="s">
        <v>451</v>
      </c>
      <c r="C71" s="525" t="s">
        <v>460</v>
      </c>
      <c r="D71" s="526" t="s">
        <v>1148</v>
      </c>
      <c r="E71" s="527" t="s">
        <v>469</v>
      </c>
      <c r="F71" s="525" t="s">
        <v>456</v>
      </c>
      <c r="G71" s="525" t="s">
        <v>693</v>
      </c>
      <c r="H71" s="525" t="s">
        <v>415</v>
      </c>
      <c r="I71" s="525" t="s">
        <v>699</v>
      </c>
      <c r="J71" s="525" t="s">
        <v>700</v>
      </c>
      <c r="K71" s="525" t="s">
        <v>701</v>
      </c>
      <c r="L71" s="528">
        <v>152.84</v>
      </c>
      <c r="M71" s="528">
        <v>152.84</v>
      </c>
      <c r="N71" s="525">
        <v>1</v>
      </c>
      <c r="O71" s="529">
        <v>1</v>
      </c>
      <c r="P71" s="528"/>
      <c r="Q71" s="530">
        <v>0</v>
      </c>
      <c r="R71" s="525"/>
      <c r="S71" s="530">
        <v>0</v>
      </c>
      <c r="T71" s="529"/>
      <c r="U71" s="531">
        <v>0</v>
      </c>
    </row>
    <row r="72" spans="1:21" ht="14.4" customHeight="1" x14ac:dyDescent="0.3">
      <c r="A72" s="524">
        <v>27</v>
      </c>
      <c r="B72" s="525" t="s">
        <v>451</v>
      </c>
      <c r="C72" s="525" t="s">
        <v>460</v>
      </c>
      <c r="D72" s="526" t="s">
        <v>1148</v>
      </c>
      <c r="E72" s="527" t="s">
        <v>469</v>
      </c>
      <c r="F72" s="525" t="s">
        <v>456</v>
      </c>
      <c r="G72" s="525" t="s">
        <v>693</v>
      </c>
      <c r="H72" s="525" t="s">
        <v>415</v>
      </c>
      <c r="I72" s="525" t="s">
        <v>702</v>
      </c>
      <c r="J72" s="525" t="s">
        <v>703</v>
      </c>
      <c r="K72" s="525" t="s">
        <v>704</v>
      </c>
      <c r="L72" s="528">
        <v>0</v>
      </c>
      <c r="M72" s="528">
        <v>0</v>
      </c>
      <c r="N72" s="525">
        <v>2</v>
      </c>
      <c r="O72" s="529">
        <v>0.5</v>
      </c>
      <c r="P72" s="528">
        <v>0</v>
      </c>
      <c r="Q72" s="530"/>
      <c r="R72" s="525">
        <v>2</v>
      </c>
      <c r="S72" s="530">
        <v>1</v>
      </c>
      <c r="T72" s="529">
        <v>0.5</v>
      </c>
      <c r="U72" s="531">
        <v>1</v>
      </c>
    </row>
    <row r="73" spans="1:21" ht="14.4" customHeight="1" x14ac:dyDescent="0.3">
      <c r="A73" s="524">
        <v>27</v>
      </c>
      <c r="B73" s="525" t="s">
        <v>451</v>
      </c>
      <c r="C73" s="525" t="s">
        <v>460</v>
      </c>
      <c r="D73" s="526" t="s">
        <v>1148</v>
      </c>
      <c r="E73" s="527" t="s">
        <v>469</v>
      </c>
      <c r="F73" s="525" t="s">
        <v>456</v>
      </c>
      <c r="G73" s="525" t="s">
        <v>705</v>
      </c>
      <c r="H73" s="525" t="s">
        <v>415</v>
      </c>
      <c r="I73" s="525" t="s">
        <v>706</v>
      </c>
      <c r="J73" s="525" t="s">
        <v>707</v>
      </c>
      <c r="K73" s="525" t="s">
        <v>708</v>
      </c>
      <c r="L73" s="528">
        <v>0</v>
      </c>
      <c r="M73" s="528">
        <v>0</v>
      </c>
      <c r="N73" s="525">
        <v>1</v>
      </c>
      <c r="O73" s="529">
        <v>1</v>
      </c>
      <c r="P73" s="528"/>
      <c r="Q73" s="530"/>
      <c r="R73" s="525"/>
      <c r="S73" s="530">
        <v>0</v>
      </c>
      <c r="T73" s="529"/>
      <c r="U73" s="531">
        <v>0</v>
      </c>
    </row>
    <row r="74" spans="1:21" ht="14.4" customHeight="1" x14ac:dyDescent="0.3">
      <c r="A74" s="524">
        <v>27</v>
      </c>
      <c r="B74" s="525" t="s">
        <v>451</v>
      </c>
      <c r="C74" s="525" t="s">
        <v>460</v>
      </c>
      <c r="D74" s="526" t="s">
        <v>1148</v>
      </c>
      <c r="E74" s="527" t="s">
        <v>469</v>
      </c>
      <c r="F74" s="525" t="s">
        <v>456</v>
      </c>
      <c r="G74" s="525" t="s">
        <v>709</v>
      </c>
      <c r="H74" s="525" t="s">
        <v>415</v>
      </c>
      <c r="I74" s="525" t="s">
        <v>710</v>
      </c>
      <c r="J74" s="525" t="s">
        <v>711</v>
      </c>
      <c r="K74" s="525" t="s">
        <v>712</v>
      </c>
      <c r="L74" s="528">
        <v>0</v>
      </c>
      <c r="M74" s="528">
        <v>0</v>
      </c>
      <c r="N74" s="525">
        <v>1</v>
      </c>
      <c r="O74" s="529">
        <v>0.5</v>
      </c>
      <c r="P74" s="528"/>
      <c r="Q74" s="530"/>
      <c r="R74" s="525"/>
      <c r="S74" s="530">
        <v>0</v>
      </c>
      <c r="T74" s="529"/>
      <c r="U74" s="531">
        <v>0</v>
      </c>
    </row>
    <row r="75" spans="1:21" ht="14.4" customHeight="1" x14ac:dyDescent="0.3">
      <c r="A75" s="524">
        <v>27</v>
      </c>
      <c r="B75" s="525" t="s">
        <v>451</v>
      </c>
      <c r="C75" s="525" t="s">
        <v>460</v>
      </c>
      <c r="D75" s="526" t="s">
        <v>1148</v>
      </c>
      <c r="E75" s="527" t="s">
        <v>469</v>
      </c>
      <c r="F75" s="525" t="s">
        <v>456</v>
      </c>
      <c r="G75" s="525" t="s">
        <v>713</v>
      </c>
      <c r="H75" s="525" t="s">
        <v>415</v>
      </c>
      <c r="I75" s="525" t="s">
        <v>714</v>
      </c>
      <c r="J75" s="525" t="s">
        <v>715</v>
      </c>
      <c r="K75" s="525" t="s">
        <v>716</v>
      </c>
      <c r="L75" s="528">
        <v>0</v>
      </c>
      <c r="M75" s="528">
        <v>0</v>
      </c>
      <c r="N75" s="525">
        <v>2</v>
      </c>
      <c r="O75" s="529">
        <v>1</v>
      </c>
      <c r="P75" s="528"/>
      <c r="Q75" s="530"/>
      <c r="R75" s="525"/>
      <c r="S75" s="530">
        <v>0</v>
      </c>
      <c r="T75" s="529"/>
      <c r="U75" s="531">
        <v>0</v>
      </c>
    </row>
    <row r="76" spans="1:21" ht="14.4" customHeight="1" x14ac:dyDescent="0.3">
      <c r="A76" s="524">
        <v>27</v>
      </c>
      <c r="B76" s="525" t="s">
        <v>451</v>
      </c>
      <c r="C76" s="525" t="s">
        <v>460</v>
      </c>
      <c r="D76" s="526" t="s">
        <v>1148</v>
      </c>
      <c r="E76" s="527" t="s">
        <v>469</v>
      </c>
      <c r="F76" s="525" t="s">
        <v>456</v>
      </c>
      <c r="G76" s="525" t="s">
        <v>713</v>
      </c>
      <c r="H76" s="525" t="s">
        <v>415</v>
      </c>
      <c r="I76" s="525" t="s">
        <v>717</v>
      </c>
      <c r="J76" s="525" t="s">
        <v>718</v>
      </c>
      <c r="K76" s="525" t="s">
        <v>719</v>
      </c>
      <c r="L76" s="528">
        <v>486.58</v>
      </c>
      <c r="M76" s="528">
        <v>486.58</v>
      </c>
      <c r="N76" s="525">
        <v>1</v>
      </c>
      <c r="O76" s="529">
        <v>1</v>
      </c>
      <c r="P76" s="528"/>
      <c r="Q76" s="530">
        <v>0</v>
      </c>
      <c r="R76" s="525"/>
      <c r="S76" s="530">
        <v>0</v>
      </c>
      <c r="T76" s="529"/>
      <c r="U76" s="531">
        <v>0</v>
      </c>
    </row>
    <row r="77" spans="1:21" ht="14.4" customHeight="1" x14ac:dyDescent="0.3">
      <c r="A77" s="524">
        <v>27</v>
      </c>
      <c r="B77" s="525" t="s">
        <v>451</v>
      </c>
      <c r="C77" s="525" t="s">
        <v>460</v>
      </c>
      <c r="D77" s="526" t="s">
        <v>1148</v>
      </c>
      <c r="E77" s="527" t="s">
        <v>469</v>
      </c>
      <c r="F77" s="525" t="s">
        <v>456</v>
      </c>
      <c r="G77" s="525" t="s">
        <v>720</v>
      </c>
      <c r="H77" s="525" t="s">
        <v>415</v>
      </c>
      <c r="I77" s="525" t="s">
        <v>721</v>
      </c>
      <c r="J77" s="525" t="s">
        <v>722</v>
      </c>
      <c r="K77" s="525" t="s">
        <v>723</v>
      </c>
      <c r="L77" s="528">
        <v>0</v>
      </c>
      <c r="M77" s="528">
        <v>0</v>
      </c>
      <c r="N77" s="525">
        <v>1</v>
      </c>
      <c r="O77" s="529">
        <v>0.5</v>
      </c>
      <c r="P77" s="528"/>
      <c r="Q77" s="530"/>
      <c r="R77" s="525"/>
      <c r="S77" s="530">
        <v>0</v>
      </c>
      <c r="T77" s="529"/>
      <c r="U77" s="531">
        <v>0</v>
      </c>
    </row>
    <row r="78" spans="1:21" ht="14.4" customHeight="1" x14ac:dyDescent="0.3">
      <c r="A78" s="524">
        <v>27</v>
      </c>
      <c r="B78" s="525" t="s">
        <v>451</v>
      </c>
      <c r="C78" s="525" t="s">
        <v>460</v>
      </c>
      <c r="D78" s="526" t="s">
        <v>1148</v>
      </c>
      <c r="E78" s="527" t="s">
        <v>469</v>
      </c>
      <c r="F78" s="525" t="s">
        <v>456</v>
      </c>
      <c r="G78" s="525" t="s">
        <v>566</v>
      </c>
      <c r="H78" s="525" t="s">
        <v>415</v>
      </c>
      <c r="I78" s="525" t="s">
        <v>567</v>
      </c>
      <c r="J78" s="525" t="s">
        <v>568</v>
      </c>
      <c r="K78" s="525" t="s">
        <v>569</v>
      </c>
      <c r="L78" s="528">
        <v>98.75</v>
      </c>
      <c r="M78" s="528">
        <v>197.5</v>
      </c>
      <c r="N78" s="525">
        <v>2</v>
      </c>
      <c r="O78" s="529">
        <v>0.5</v>
      </c>
      <c r="P78" s="528">
        <v>197.5</v>
      </c>
      <c r="Q78" s="530">
        <v>1</v>
      </c>
      <c r="R78" s="525">
        <v>2</v>
      </c>
      <c r="S78" s="530">
        <v>1</v>
      </c>
      <c r="T78" s="529">
        <v>0.5</v>
      </c>
      <c r="U78" s="531">
        <v>1</v>
      </c>
    </row>
    <row r="79" spans="1:21" ht="14.4" customHeight="1" x14ac:dyDescent="0.3">
      <c r="A79" s="524">
        <v>27</v>
      </c>
      <c r="B79" s="525" t="s">
        <v>451</v>
      </c>
      <c r="C79" s="525" t="s">
        <v>460</v>
      </c>
      <c r="D79" s="526" t="s">
        <v>1148</v>
      </c>
      <c r="E79" s="527" t="s">
        <v>469</v>
      </c>
      <c r="F79" s="525" t="s">
        <v>456</v>
      </c>
      <c r="G79" s="525" t="s">
        <v>724</v>
      </c>
      <c r="H79" s="525" t="s">
        <v>415</v>
      </c>
      <c r="I79" s="525" t="s">
        <v>725</v>
      </c>
      <c r="J79" s="525" t="s">
        <v>726</v>
      </c>
      <c r="K79" s="525" t="s">
        <v>727</v>
      </c>
      <c r="L79" s="528">
        <v>300.33</v>
      </c>
      <c r="M79" s="528">
        <v>300.33</v>
      </c>
      <c r="N79" s="525">
        <v>1</v>
      </c>
      <c r="O79" s="529">
        <v>0.5</v>
      </c>
      <c r="P79" s="528">
        <v>300.33</v>
      </c>
      <c r="Q79" s="530">
        <v>1</v>
      </c>
      <c r="R79" s="525">
        <v>1</v>
      </c>
      <c r="S79" s="530">
        <v>1</v>
      </c>
      <c r="T79" s="529">
        <v>0.5</v>
      </c>
      <c r="U79" s="531">
        <v>1</v>
      </c>
    </row>
    <row r="80" spans="1:21" ht="14.4" customHeight="1" x14ac:dyDescent="0.3">
      <c r="A80" s="524">
        <v>27</v>
      </c>
      <c r="B80" s="525" t="s">
        <v>451</v>
      </c>
      <c r="C80" s="525" t="s">
        <v>460</v>
      </c>
      <c r="D80" s="526" t="s">
        <v>1148</v>
      </c>
      <c r="E80" s="527" t="s">
        <v>469</v>
      </c>
      <c r="F80" s="525" t="s">
        <v>456</v>
      </c>
      <c r="G80" s="525" t="s">
        <v>554</v>
      </c>
      <c r="H80" s="525" t="s">
        <v>415</v>
      </c>
      <c r="I80" s="525" t="s">
        <v>728</v>
      </c>
      <c r="J80" s="525" t="s">
        <v>729</v>
      </c>
      <c r="K80" s="525" t="s">
        <v>730</v>
      </c>
      <c r="L80" s="528">
        <v>0</v>
      </c>
      <c r="M80" s="528">
        <v>0</v>
      </c>
      <c r="N80" s="525">
        <v>1</v>
      </c>
      <c r="O80" s="529">
        <v>0.5</v>
      </c>
      <c r="P80" s="528">
        <v>0</v>
      </c>
      <c r="Q80" s="530"/>
      <c r="R80" s="525">
        <v>1</v>
      </c>
      <c r="S80" s="530">
        <v>1</v>
      </c>
      <c r="T80" s="529">
        <v>0.5</v>
      </c>
      <c r="U80" s="531">
        <v>1</v>
      </c>
    </row>
    <row r="81" spans="1:21" ht="14.4" customHeight="1" x14ac:dyDescent="0.3">
      <c r="A81" s="524">
        <v>27</v>
      </c>
      <c r="B81" s="525" t="s">
        <v>451</v>
      </c>
      <c r="C81" s="525" t="s">
        <v>460</v>
      </c>
      <c r="D81" s="526" t="s">
        <v>1148</v>
      </c>
      <c r="E81" s="527" t="s">
        <v>469</v>
      </c>
      <c r="F81" s="525" t="s">
        <v>456</v>
      </c>
      <c r="G81" s="525" t="s">
        <v>554</v>
      </c>
      <c r="H81" s="525" t="s">
        <v>415</v>
      </c>
      <c r="I81" s="525" t="s">
        <v>731</v>
      </c>
      <c r="J81" s="525" t="s">
        <v>732</v>
      </c>
      <c r="K81" s="525" t="s">
        <v>733</v>
      </c>
      <c r="L81" s="528">
        <v>0</v>
      </c>
      <c r="M81" s="528">
        <v>0</v>
      </c>
      <c r="N81" s="525">
        <v>1</v>
      </c>
      <c r="O81" s="529">
        <v>0.5</v>
      </c>
      <c r="P81" s="528">
        <v>0</v>
      </c>
      <c r="Q81" s="530"/>
      <c r="R81" s="525">
        <v>1</v>
      </c>
      <c r="S81" s="530">
        <v>1</v>
      </c>
      <c r="T81" s="529">
        <v>0.5</v>
      </c>
      <c r="U81" s="531">
        <v>1</v>
      </c>
    </row>
    <row r="82" spans="1:21" ht="14.4" customHeight="1" x14ac:dyDescent="0.3">
      <c r="A82" s="524">
        <v>27</v>
      </c>
      <c r="B82" s="525" t="s">
        <v>451</v>
      </c>
      <c r="C82" s="525" t="s">
        <v>460</v>
      </c>
      <c r="D82" s="526" t="s">
        <v>1148</v>
      </c>
      <c r="E82" s="527" t="s">
        <v>469</v>
      </c>
      <c r="F82" s="525" t="s">
        <v>456</v>
      </c>
      <c r="G82" s="525" t="s">
        <v>734</v>
      </c>
      <c r="H82" s="525" t="s">
        <v>415</v>
      </c>
      <c r="I82" s="525" t="s">
        <v>735</v>
      </c>
      <c r="J82" s="525" t="s">
        <v>736</v>
      </c>
      <c r="K82" s="525" t="s">
        <v>737</v>
      </c>
      <c r="L82" s="528">
        <v>88.76</v>
      </c>
      <c r="M82" s="528">
        <v>266.28000000000003</v>
      </c>
      <c r="N82" s="525">
        <v>3</v>
      </c>
      <c r="O82" s="529">
        <v>0.5</v>
      </c>
      <c r="P82" s="528">
        <v>266.28000000000003</v>
      </c>
      <c r="Q82" s="530">
        <v>1</v>
      </c>
      <c r="R82" s="525">
        <v>3</v>
      </c>
      <c r="S82" s="530">
        <v>1</v>
      </c>
      <c r="T82" s="529">
        <v>0.5</v>
      </c>
      <c r="U82" s="531">
        <v>1</v>
      </c>
    </row>
    <row r="83" spans="1:21" ht="14.4" customHeight="1" x14ac:dyDescent="0.3">
      <c r="A83" s="524">
        <v>27</v>
      </c>
      <c r="B83" s="525" t="s">
        <v>451</v>
      </c>
      <c r="C83" s="525" t="s">
        <v>460</v>
      </c>
      <c r="D83" s="526" t="s">
        <v>1148</v>
      </c>
      <c r="E83" s="527" t="s">
        <v>469</v>
      </c>
      <c r="F83" s="525" t="s">
        <v>456</v>
      </c>
      <c r="G83" s="525" t="s">
        <v>738</v>
      </c>
      <c r="H83" s="525" t="s">
        <v>415</v>
      </c>
      <c r="I83" s="525" t="s">
        <v>739</v>
      </c>
      <c r="J83" s="525" t="s">
        <v>740</v>
      </c>
      <c r="K83" s="525" t="s">
        <v>741</v>
      </c>
      <c r="L83" s="528">
        <v>29.02</v>
      </c>
      <c r="M83" s="528">
        <v>87.06</v>
      </c>
      <c r="N83" s="525">
        <v>3</v>
      </c>
      <c r="O83" s="529">
        <v>0.5</v>
      </c>
      <c r="P83" s="528"/>
      <c r="Q83" s="530">
        <v>0</v>
      </c>
      <c r="R83" s="525"/>
      <c r="S83" s="530">
        <v>0</v>
      </c>
      <c r="T83" s="529"/>
      <c r="U83" s="531">
        <v>0</v>
      </c>
    </row>
    <row r="84" spans="1:21" ht="14.4" customHeight="1" x14ac:dyDescent="0.3">
      <c r="A84" s="524">
        <v>27</v>
      </c>
      <c r="B84" s="525" t="s">
        <v>451</v>
      </c>
      <c r="C84" s="525" t="s">
        <v>460</v>
      </c>
      <c r="D84" s="526" t="s">
        <v>1148</v>
      </c>
      <c r="E84" s="527" t="s">
        <v>469</v>
      </c>
      <c r="F84" s="525" t="s">
        <v>456</v>
      </c>
      <c r="G84" s="525" t="s">
        <v>742</v>
      </c>
      <c r="H84" s="525" t="s">
        <v>446</v>
      </c>
      <c r="I84" s="525" t="s">
        <v>743</v>
      </c>
      <c r="J84" s="525" t="s">
        <v>744</v>
      </c>
      <c r="K84" s="525" t="s">
        <v>745</v>
      </c>
      <c r="L84" s="528">
        <v>59.27</v>
      </c>
      <c r="M84" s="528">
        <v>59.27</v>
      </c>
      <c r="N84" s="525">
        <v>1</v>
      </c>
      <c r="O84" s="529">
        <v>0.5</v>
      </c>
      <c r="P84" s="528"/>
      <c r="Q84" s="530">
        <v>0</v>
      </c>
      <c r="R84" s="525"/>
      <c r="S84" s="530">
        <v>0</v>
      </c>
      <c r="T84" s="529"/>
      <c r="U84" s="531">
        <v>0</v>
      </c>
    </row>
    <row r="85" spans="1:21" ht="14.4" customHeight="1" x14ac:dyDescent="0.3">
      <c r="A85" s="524">
        <v>27</v>
      </c>
      <c r="B85" s="525" t="s">
        <v>451</v>
      </c>
      <c r="C85" s="525" t="s">
        <v>460</v>
      </c>
      <c r="D85" s="526" t="s">
        <v>1148</v>
      </c>
      <c r="E85" s="527" t="s">
        <v>469</v>
      </c>
      <c r="F85" s="525" t="s">
        <v>456</v>
      </c>
      <c r="G85" s="525" t="s">
        <v>742</v>
      </c>
      <c r="H85" s="525" t="s">
        <v>446</v>
      </c>
      <c r="I85" s="525" t="s">
        <v>746</v>
      </c>
      <c r="J85" s="525" t="s">
        <v>747</v>
      </c>
      <c r="K85" s="525" t="s">
        <v>748</v>
      </c>
      <c r="L85" s="528">
        <v>79.03</v>
      </c>
      <c r="M85" s="528">
        <v>237.09</v>
      </c>
      <c r="N85" s="525">
        <v>3</v>
      </c>
      <c r="O85" s="529">
        <v>2.5</v>
      </c>
      <c r="P85" s="528">
        <v>158.06</v>
      </c>
      <c r="Q85" s="530">
        <v>0.66666666666666663</v>
      </c>
      <c r="R85" s="525">
        <v>2</v>
      </c>
      <c r="S85" s="530">
        <v>0.66666666666666663</v>
      </c>
      <c r="T85" s="529">
        <v>1.5</v>
      </c>
      <c r="U85" s="531">
        <v>0.6</v>
      </c>
    </row>
    <row r="86" spans="1:21" ht="14.4" customHeight="1" x14ac:dyDescent="0.3">
      <c r="A86" s="524">
        <v>27</v>
      </c>
      <c r="B86" s="525" t="s">
        <v>451</v>
      </c>
      <c r="C86" s="525" t="s">
        <v>460</v>
      </c>
      <c r="D86" s="526" t="s">
        <v>1148</v>
      </c>
      <c r="E86" s="527" t="s">
        <v>469</v>
      </c>
      <c r="F86" s="525" t="s">
        <v>456</v>
      </c>
      <c r="G86" s="525" t="s">
        <v>742</v>
      </c>
      <c r="H86" s="525" t="s">
        <v>446</v>
      </c>
      <c r="I86" s="525" t="s">
        <v>749</v>
      </c>
      <c r="J86" s="525" t="s">
        <v>750</v>
      </c>
      <c r="K86" s="525" t="s">
        <v>751</v>
      </c>
      <c r="L86" s="528">
        <v>46.07</v>
      </c>
      <c r="M86" s="528">
        <v>46.07</v>
      </c>
      <c r="N86" s="525">
        <v>1</v>
      </c>
      <c r="O86" s="529">
        <v>1</v>
      </c>
      <c r="P86" s="528"/>
      <c r="Q86" s="530">
        <v>0</v>
      </c>
      <c r="R86" s="525"/>
      <c r="S86" s="530">
        <v>0</v>
      </c>
      <c r="T86" s="529"/>
      <c r="U86" s="531">
        <v>0</v>
      </c>
    </row>
    <row r="87" spans="1:21" ht="14.4" customHeight="1" x14ac:dyDescent="0.3">
      <c r="A87" s="524">
        <v>27</v>
      </c>
      <c r="B87" s="525" t="s">
        <v>451</v>
      </c>
      <c r="C87" s="525" t="s">
        <v>460</v>
      </c>
      <c r="D87" s="526" t="s">
        <v>1148</v>
      </c>
      <c r="E87" s="527" t="s">
        <v>469</v>
      </c>
      <c r="F87" s="525" t="s">
        <v>456</v>
      </c>
      <c r="G87" s="525" t="s">
        <v>742</v>
      </c>
      <c r="H87" s="525" t="s">
        <v>415</v>
      </c>
      <c r="I87" s="525" t="s">
        <v>752</v>
      </c>
      <c r="J87" s="525" t="s">
        <v>753</v>
      </c>
      <c r="K87" s="525" t="s">
        <v>754</v>
      </c>
      <c r="L87" s="528">
        <v>79.03</v>
      </c>
      <c r="M87" s="528">
        <v>158.06</v>
      </c>
      <c r="N87" s="525">
        <v>2</v>
      </c>
      <c r="O87" s="529">
        <v>1</v>
      </c>
      <c r="P87" s="528"/>
      <c r="Q87" s="530">
        <v>0</v>
      </c>
      <c r="R87" s="525"/>
      <c r="S87" s="530">
        <v>0</v>
      </c>
      <c r="T87" s="529"/>
      <c r="U87" s="531">
        <v>0</v>
      </c>
    </row>
    <row r="88" spans="1:21" ht="14.4" customHeight="1" x14ac:dyDescent="0.3">
      <c r="A88" s="524">
        <v>27</v>
      </c>
      <c r="B88" s="525" t="s">
        <v>451</v>
      </c>
      <c r="C88" s="525" t="s">
        <v>460</v>
      </c>
      <c r="D88" s="526" t="s">
        <v>1148</v>
      </c>
      <c r="E88" s="527" t="s">
        <v>469</v>
      </c>
      <c r="F88" s="525" t="s">
        <v>456</v>
      </c>
      <c r="G88" s="525" t="s">
        <v>742</v>
      </c>
      <c r="H88" s="525" t="s">
        <v>446</v>
      </c>
      <c r="I88" s="525" t="s">
        <v>755</v>
      </c>
      <c r="J88" s="525" t="s">
        <v>750</v>
      </c>
      <c r="K88" s="525" t="s">
        <v>756</v>
      </c>
      <c r="L88" s="528">
        <v>46.07</v>
      </c>
      <c r="M88" s="528">
        <v>46.07</v>
      </c>
      <c r="N88" s="525">
        <v>1</v>
      </c>
      <c r="O88" s="529">
        <v>1</v>
      </c>
      <c r="P88" s="528">
        <v>46.07</v>
      </c>
      <c r="Q88" s="530">
        <v>1</v>
      </c>
      <c r="R88" s="525">
        <v>1</v>
      </c>
      <c r="S88" s="530">
        <v>1</v>
      </c>
      <c r="T88" s="529">
        <v>1</v>
      </c>
      <c r="U88" s="531">
        <v>1</v>
      </c>
    </row>
    <row r="89" spans="1:21" ht="14.4" customHeight="1" x14ac:dyDescent="0.3">
      <c r="A89" s="524">
        <v>27</v>
      </c>
      <c r="B89" s="525" t="s">
        <v>451</v>
      </c>
      <c r="C89" s="525" t="s">
        <v>460</v>
      </c>
      <c r="D89" s="526" t="s">
        <v>1148</v>
      </c>
      <c r="E89" s="527" t="s">
        <v>469</v>
      </c>
      <c r="F89" s="525" t="s">
        <v>456</v>
      </c>
      <c r="G89" s="525" t="s">
        <v>757</v>
      </c>
      <c r="H89" s="525" t="s">
        <v>415</v>
      </c>
      <c r="I89" s="525" t="s">
        <v>758</v>
      </c>
      <c r="J89" s="525" t="s">
        <v>759</v>
      </c>
      <c r="K89" s="525" t="s">
        <v>760</v>
      </c>
      <c r="L89" s="528">
        <v>0</v>
      </c>
      <c r="M89" s="528">
        <v>0</v>
      </c>
      <c r="N89" s="525">
        <v>1</v>
      </c>
      <c r="O89" s="529">
        <v>0.5</v>
      </c>
      <c r="P89" s="528"/>
      <c r="Q89" s="530"/>
      <c r="R89" s="525"/>
      <c r="S89" s="530">
        <v>0</v>
      </c>
      <c r="T89" s="529"/>
      <c r="U89" s="531">
        <v>0</v>
      </c>
    </row>
    <row r="90" spans="1:21" ht="14.4" customHeight="1" x14ac:dyDescent="0.3">
      <c r="A90" s="524">
        <v>27</v>
      </c>
      <c r="B90" s="525" t="s">
        <v>451</v>
      </c>
      <c r="C90" s="525" t="s">
        <v>460</v>
      </c>
      <c r="D90" s="526" t="s">
        <v>1148</v>
      </c>
      <c r="E90" s="527" t="s">
        <v>469</v>
      </c>
      <c r="F90" s="525" t="s">
        <v>456</v>
      </c>
      <c r="G90" s="525" t="s">
        <v>757</v>
      </c>
      <c r="H90" s="525" t="s">
        <v>446</v>
      </c>
      <c r="I90" s="525" t="s">
        <v>761</v>
      </c>
      <c r="J90" s="525" t="s">
        <v>762</v>
      </c>
      <c r="K90" s="525" t="s">
        <v>763</v>
      </c>
      <c r="L90" s="528">
        <v>164.94</v>
      </c>
      <c r="M90" s="528">
        <v>164.94</v>
      </c>
      <c r="N90" s="525">
        <v>1</v>
      </c>
      <c r="O90" s="529">
        <v>0.5</v>
      </c>
      <c r="P90" s="528">
        <v>164.94</v>
      </c>
      <c r="Q90" s="530">
        <v>1</v>
      </c>
      <c r="R90" s="525">
        <v>1</v>
      </c>
      <c r="S90" s="530">
        <v>1</v>
      </c>
      <c r="T90" s="529">
        <v>0.5</v>
      </c>
      <c r="U90" s="531">
        <v>1</v>
      </c>
    </row>
    <row r="91" spans="1:21" ht="14.4" customHeight="1" x14ac:dyDescent="0.3">
      <c r="A91" s="524">
        <v>27</v>
      </c>
      <c r="B91" s="525" t="s">
        <v>451</v>
      </c>
      <c r="C91" s="525" t="s">
        <v>460</v>
      </c>
      <c r="D91" s="526" t="s">
        <v>1148</v>
      </c>
      <c r="E91" s="527" t="s">
        <v>469</v>
      </c>
      <c r="F91" s="525" t="s">
        <v>456</v>
      </c>
      <c r="G91" s="525" t="s">
        <v>764</v>
      </c>
      <c r="H91" s="525" t="s">
        <v>446</v>
      </c>
      <c r="I91" s="525" t="s">
        <v>765</v>
      </c>
      <c r="J91" s="525" t="s">
        <v>766</v>
      </c>
      <c r="K91" s="525" t="s">
        <v>767</v>
      </c>
      <c r="L91" s="528">
        <v>48.56</v>
      </c>
      <c r="M91" s="528">
        <v>97.12</v>
      </c>
      <c r="N91" s="525">
        <v>2</v>
      </c>
      <c r="O91" s="529">
        <v>1</v>
      </c>
      <c r="P91" s="528"/>
      <c r="Q91" s="530">
        <v>0</v>
      </c>
      <c r="R91" s="525"/>
      <c r="S91" s="530">
        <v>0</v>
      </c>
      <c r="T91" s="529"/>
      <c r="U91" s="531">
        <v>0</v>
      </c>
    </row>
    <row r="92" spans="1:21" ht="14.4" customHeight="1" x14ac:dyDescent="0.3">
      <c r="A92" s="524">
        <v>27</v>
      </c>
      <c r="B92" s="525" t="s">
        <v>451</v>
      </c>
      <c r="C92" s="525" t="s">
        <v>460</v>
      </c>
      <c r="D92" s="526" t="s">
        <v>1148</v>
      </c>
      <c r="E92" s="527" t="s">
        <v>469</v>
      </c>
      <c r="F92" s="525" t="s">
        <v>456</v>
      </c>
      <c r="G92" s="525" t="s">
        <v>764</v>
      </c>
      <c r="H92" s="525" t="s">
        <v>446</v>
      </c>
      <c r="I92" s="525" t="s">
        <v>768</v>
      </c>
      <c r="J92" s="525" t="s">
        <v>766</v>
      </c>
      <c r="K92" s="525" t="s">
        <v>614</v>
      </c>
      <c r="L92" s="528">
        <v>145.66999999999999</v>
      </c>
      <c r="M92" s="528">
        <v>145.66999999999999</v>
      </c>
      <c r="N92" s="525">
        <v>1</v>
      </c>
      <c r="O92" s="529">
        <v>0.5</v>
      </c>
      <c r="P92" s="528"/>
      <c r="Q92" s="530">
        <v>0</v>
      </c>
      <c r="R92" s="525"/>
      <c r="S92" s="530">
        <v>0</v>
      </c>
      <c r="T92" s="529"/>
      <c r="U92" s="531">
        <v>0</v>
      </c>
    </row>
    <row r="93" spans="1:21" ht="14.4" customHeight="1" x14ac:dyDescent="0.3">
      <c r="A93" s="524">
        <v>27</v>
      </c>
      <c r="B93" s="525" t="s">
        <v>451</v>
      </c>
      <c r="C93" s="525" t="s">
        <v>460</v>
      </c>
      <c r="D93" s="526" t="s">
        <v>1148</v>
      </c>
      <c r="E93" s="527" t="s">
        <v>469</v>
      </c>
      <c r="F93" s="525" t="s">
        <v>456</v>
      </c>
      <c r="G93" s="525" t="s">
        <v>769</v>
      </c>
      <c r="H93" s="525" t="s">
        <v>415</v>
      </c>
      <c r="I93" s="525" t="s">
        <v>770</v>
      </c>
      <c r="J93" s="525" t="s">
        <v>771</v>
      </c>
      <c r="K93" s="525" t="s">
        <v>772</v>
      </c>
      <c r="L93" s="528">
        <v>256.67</v>
      </c>
      <c r="M93" s="528">
        <v>513.34</v>
      </c>
      <c r="N93" s="525">
        <v>2</v>
      </c>
      <c r="O93" s="529">
        <v>1.5</v>
      </c>
      <c r="P93" s="528">
        <v>256.67</v>
      </c>
      <c r="Q93" s="530">
        <v>0.5</v>
      </c>
      <c r="R93" s="525">
        <v>1</v>
      </c>
      <c r="S93" s="530">
        <v>0.5</v>
      </c>
      <c r="T93" s="529">
        <v>0.5</v>
      </c>
      <c r="U93" s="531">
        <v>0.33333333333333331</v>
      </c>
    </row>
    <row r="94" spans="1:21" ht="14.4" customHeight="1" x14ac:dyDescent="0.3">
      <c r="A94" s="524">
        <v>27</v>
      </c>
      <c r="B94" s="525" t="s">
        <v>451</v>
      </c>
      <c r="C94" s="525" t="s">
        <v>460</v>
      </c>
      <c r="D94" s="526" t="s">
        <v>1148</v>
      </c>
      <c r="E94" s="527" t="s">
        <v>469</v>
      </c>
      <c r="F94" s="525" t="s">
        <v>456</v>
      </c>
      <c r="G94" s="525" t="s">
        <v>773</v>
      </c>
      <c r="H94" s="525" t="s">
        <v>415</v>
      </c>
      <c r="I94" s="525" t="s">
        <v>774</v>
      </c>
      <c r="J94" s="525" t="s">
        <v>775</v>
      </c>
      <c r="K94" s="525" t="s">
        <v>776</v>
      </c>
      <c r="L94" s="528">
        <v>38.56</v>
      </c>
      <c r="M94" s="528">
        <v>38.56</v>
      </c>
      <c r="N94" s="525">
        <v>1</v>
      </c>
      <c r="O94" s="529">
        <v>0.5</v>
      </c>
      <c r="P94" s="528"/>
      <c r="Q94" s="530">
        <v>0</v>
      </c>
      <c r="R94" s="525"/>
      <c r="S94" s="530">
        <v>0</v>
      </c>
      <c r="T94" s="529"/>
      <c r="U94" s="531">
        <v>0</v>
      </c>
    </row>
    <row r="95" spans="1:21" ht="14.4" customHeight="1" x14ac:dyDescent="0.3">
      <c r="A95" s="524">
        <v>27</v>
      </c>
      <c r="B95" s="525" t="s">
        <v>451</v>
      </c>
      <c r="C95" s="525" t="s">
        <v>460</v>
      </c>
      <c r="D95" s="526" t="s">
        <v>1148</v>
      </c>
      <c r="E95" s="527" t="s">
        <v>469</v>
      </c>
      <c r="F95" s="525" t="s">
        <v>456</v>
      </c>
      <c r="G95" s="525" t="s">
        <v>496</v>
      </c>
      <c r="H95" s="525" t="s">
        <v>446</v>
      </c>
      <c r="I95" s="525" t="s">
        <v>777</v>
      </c>
      <c r="J95" s="525" t="s">
        <v>778</v>
      </c>
      <c r="K95" s="525" t="s">
        <v>653</v>
      </c>
      <c r="L95" s="528">
        <v>86.43</v>
      </c>
      <c r="M95" s="528">
        <v>86.43</v>
      </c>
      <c r="N95" s="525">
        <v>1</v>
      </c>
      <c r="O95" s="529">
        <v>1</v>
      </c>
      <c r="P95" s="528"/>
      <c r="Q95" s="530">
        <v>0</v>
      </c>
      <c r="R95" s="525"/>
      <c r="S95" s="530">
        <v>0</v>
      </c>
      <c r="T95" s="529"/>
      <c r="U95" s="531">
        <v>0</v>
      </c>
    </row>
    <row r="96" spans="1:21" ht="14.4" customHeight="1" x14ac:dyDescent="0.3">
      <c r="A96" s="524">
        <v>27</v>
      </c>
      <c r="B96" s="525" t="s">
        <v>451</v>
      </c>
      <c r="C96" s="525" t="s">
        <v>460</v>
      </c>
      <c r="D96" s="526" t="s">
        <v>1148</v>
      </c>
      <c r="E96" s="527" t="s">
        <v>469</v>
      </c>
      <c r="F96" s="525" t="s">
        <v>456</v>
      </c>
      <c r="G96" s="525" t="s">
        <v>496</v>
      </c>
      <c r="H96" s="525" t="s">
        <v>446</v>
      </c>
      <c r="I96" s="525" t="s">
        <v>779</v>
      </c>
      <c r="J96" s="525" t="s">
        <v>778</v>
      </c>
      <c r="K96" s="525" t="s">
        <v>487</v>
      </c>
      <c r="L96" s="528">
        <v>43.21</v>
      </c>
      <c r="M96" s="528">
        <v>129.63</v>
      </c>
      <c r="N96" s="525">
        <v>3</v>
      </c>
      <c r="O96" s="529">
        <v>0.5</v>
      </c>
      <c r="P96" s="528"/>
      <c r="Q96" s="530">
        <v>0</v>
      </c>
      <c r="R96" s="525"/>
      <c r="S96" s="530">
        <v>0</v>
      </c>
      <c r="T96" s="529"/>
      <c r="U96" s="531">
        <v>0</v>
      </c>
    </row>
    <row r="97" spans="1:21" ht="14.4" customHeight="1" x14ac:dyDescent="0.3">
      <c r="A97" s="524">
        <v>27</v>
      </c>
      <c r="B97" s="525" t="s">
        <v>451</v>
      </c>
      <c r="C97" s="525" t="s">
        <v>460</v>
      </c>
      <c r="D97" s="526" t="s">
        <v>1148</v>
      </c>
      <c r="E97" s="527" t="s">
        <v>469</v>
      </c>
      <c r="F97" s="525" t="s">
        <v>456</v>
      </c>
      <c r="G97" s="525" t="s">
        <v>496</v>
      </c>
      <c r="H97" s="525" t="s">
        <v>446</v>
      </c>
      <c r="I97" s="525" t="s">
        <v>780</v>
      </c>
      <c r="J97" s="525" t="s">
        <v>781</v>
      </c>
      <c r="K97" s="525" t="s">
        <v>782</v>
      </c>
      <c r="L97" s="528">
        <v>73.45</v>
      </c>
      <c r="M97" s="528">
        <v>146.9</v>
      </c>
      <c r="N97" s="525">
        <v>2</v>
      </c>
      <c r="O97" s="529">
        <v>1</v>
      </c>
      <c r="P97" s="528"/>
      <c r="Q97" s="530">
        <v>0</v>
      </c>
      <c r="R97" s="525"/>
      <c r="S97" s="530">
        <v>0</v>
      </c>
      <c r="T97" s="529"/>
      <c r="U97" s="531">
        <v>0</v>
      </c>
    </row>
    <row r="98" spans="1:21" ht="14.4" customHeight="1" x14ac:dyDescent="0.3">
      <c r="A98" s="524">
        <v>27</v>
      </c>
      <c r="B98" s="525" t="s">
        <v>451</v>
      </c>
      <c r="C98" s="525" t="s">
        <v>460</v>
      </c>
      <c r="D98" s="526" t="s">
        <v>1148</v>
      </c>
      <c r="E98" s="527" t="s">
        <v>469</v>
      </c>
      <c r="F98" s="525" t="s">
        <v>456</v>
      </c>
      <c r="G98" s="525" t="s">
        <v>783</v>
      </c>
      <c r="H98" s="525" t="s">
        <v>446</v>
      </c>
      <c r="I98" s="525" t="s">
        <v>784</v>
      </c>
      <c r="J98" s="525" t="s">
        <v>785</v>
      </c>
      <c r="K98" s="525" t="s">
        <v>786</v>
      </c>
      <c r="L98" s="528">
        <v>37.159999999999997</v>
      </c>
      <c r="M98" s="528">
        <v>111.47999999999999</v>
      </c>
      <c r="N98" s="525">
        <v>3</v>
      </c>
      <c r="O98" s="529">
        <v>0.5</v>
      </c>
      <c r="P98" s="528"/>
      <c r="Q98" s="530">
        <v>0</v>
      </c>
      <c r="R98" s="525"/>
      <c r="S98" s="530">
        <v>0</v>
      </c>
      <c r="T98" s="529"/>
      <c r="U98" s="531">
        <v>0</v>
      </c>
    </row>
    <row r="99" spans="1:21" ht="14.4" customHeight="1" x14ac:dyDescent="0.3">
      <c r="A99" s="524">
        <v>27</v>
      </c>
      <c r="B99" s="525" t="s">
        <v>451</v>
      </c>
      <c r="C99" s="525" t="s">
        <v>460</v>
      </c>
      <c r="D99" s="526" t="s">
        <v>1148</v>
      </c>
      <c r="E99" s="527" t="s">
        <v>469</v>
      </c>
      <c r="F99" s="525" t="s">
        <v>456</v>
      </c>
      <c r="G99" s="525" t="s">
        <v>787</v>
      </c>
      <c r="H99" s="525" t="s">
        <v>415</v>
      </c>
      <c r="I99" s="525" t="s">
        <v>788</v>
      </c>
      <c r="J99" s="525" t="s">
        <v>789</v>
      </c>
      <c r="K99" s="525" t="s">
        <v>790</v>
      </c>
      <c r="L99" s="528">
        <v>234.07</v>
      </c>
      <c r="M99" s="528">
        <v>234.07</v>
      </c>
      <c r="N99" s="525">
        <v>1</v>
      </c>
      <c r="O99" s="529">
        <v>0.5</v>
      </c>
      <c r="P99" s="528"/>
      <c r="Q99" s="530">
        <v>0</v>
      </c>
      <c r="R99" s="525"/>
      <c r="S99" s="530">
        <v>0</v>
      </c>
      <c r="T99" s="529"/>
      <c r="U99" s="531">
        <v>0</v>
      </c>
    </row>
    <row r="100" spans="1:21" ht="14.4" customHeight="1" x14ac:dyDescent="0.3">
      <c r="A100" s="524">
        <v>27</v>
      </c>
      <c r="B100" s="525" t="s">
        <v>451</v>
      </c>
      <c r="C100" s="525" t="s">
        <v>460</v>
      </c>
      <c r="D100" s="526" t="s">
        <v>1148</v>
      </c>
      <c r="E100" s="527" t="s">
        <v>469</v>
      </c>
      <c r="F100" s="525" t="s">
        <v>456</v>
      </c>
      <c r="G100" s="525" t="s">
        <v>787</v>
      </c>
      <c r="H100" s="525" t="s">
        <v>415</v>
      </c>
      <c r="I100" s="525" t="s">
        <v>791</v>
      </c>
      <c r="J100" s="525" t="s">
        <v>789</v>
      </c>
      <c r="K100" s="525" t="s">
        <v>792</v>
      </c>
      <c r="L100" s="528">
        <v>70.23</v>
      </c>
      <c r="M100" s="528">
        <v>140.46</v>
      </c>
      <c r="N100" s="525">
        <v>2</v>
      </c>
      <c r="O100" s="529">
        <v>0.5</v>
      </c>
      <c r="P100" s="528">
        <v>140.46</v>
      </c>
      <c r="Q100" s="530">
        <v>1</v>
      </c>
      <c r="R100" s="525">
        <v>2</v>
      </c>
      <c r="S100" s="530">
        <v>1</v>
      </c>
      <c r="T100" s="529">
        <v>0.5</v>
      </c>
      <c r="U100" s="531">
        <v>1</v>
      </c>
    </row>
    <row r="101" spans="1:21" ht="14.4" customHeight="1" x14ac:dyDescent="0.3">
      <c r="A101" s="524">
        <v>27</v>
      </c>
      <c r="B101" s="525" t="s">
        <v>451</v>
      </c>
      <c r="C101" s="525" t="s">
        <v>460</v>
      </c>
      <c r="D101" s="526" t="s">
        <v>1148</v>
      </c>
      <c r="E101" s="527" t="s">
        <v>469</v>
      </c>
      <c r="F101" s="525" t="s">
        <v>456</v>
      </c>
      <c r="G101" s="525" t="s">
        <v>787</v>
      </c>
      <c r="H101" s="525" t="s">
        <v>415</v>
      </c>
      <c r="I101" s="525" t="s">
        <v>793</v>
      </c>
      <c r="J101" s="525" t="s">
        <v>794</v>
      </c>
      <c r="K101" s="525" t="s">
        <v>795</v>
      </c>
      <c r="L101" s="528">
        <v>0</v>
      </c>
      <c r="M101" s="528">
        <v>0</v>
      </c>
      <c r="N101" s="525">
        <v>2</v>
      </c>
      <c r="O101" s="529">
        <v>0.5</v>
      </c>
      <c r="P101" s="528">
        <v>0</v>
      </c>
      <c r="Q101" s="530"/>
      <c r="R101" s="525">
        <v>2</v>
      </c>
      <c r="S101" s="530">
        <v>1</v>
      </c>
      <c r="T101" s="529">
        <v>0.5</v>
      </c>
      <c r="U101" s="531">
        <v>1</v>
      </c>
    </row>
    <row r="102" spans="1:21" ht="14.4" customHeight="1" x14ac:dyDescent="0.3">
      <c r="A102" s="524">
        <v>27</v>
      </c>
      <c r="B102" s="525" t="s">
        <v>451</v>
      </c>
      <c r="C102" s="525" t="s">
        <v>460</v>
      </c>
      <c r="D102" s="526" t="s">
        <v>1148</v>
      </c>
      <c r="E102" s="527" t="s">
        <v>469</v>
      </c>
      <c r="F102" s="525" t="s">
        <v>456</v>
      </c>
      <c r="G102" s="525" t="s">
        <v>787</v>
      </c>
      <c r="H102" s="525" t="s">
        <v>415</v>
      </c>
      <c r="I102" s="525" t="s">
        <v>796</v>
      </c>
      <c r="J102" s="525" t="s">
        <v>797</v>
      </c>
      <c r="K102" s="525" t="s">
        <v>479</v>
      </c>
      <c r="L102" s="528">
        <v>54.99</v>
      </c>
      <c r="M102" s="528">
        <v>164.97</v>
      </c>
      <c r="N102" s="525">
        <v>3</v>
      </c>
      <c r="O102" s="529">
        <v>0.5</v>
      </c>
      <c r="P102" s="528"/>
      <c r="Q102" s="530">
        <v>0</v>
      </c>
      <c r="R102" s="525"/>
      <c r="S102" s="530">
        <v>0</v>
      </c>
      <c r="T102" s="529"/>
      <c r="U102" s="531">
        <v>0</v>
      </c>
    </row>
    <row r="103" spans="1:21" ht="14.4" customHeight="1" x14ac:dyDescent="0.3">
      <c r="A103" s="524">
        <v>27</v>
      </c>
      <c r="B103" s="525" t="s">
        <v>451</v>
      </c>
      <c r="C103" s="525" t="s">
        <v>460</v>
      </c>
      <c r="D103" s="526" t="s">
        <v>1148</v>
      </c>
      <c r="E103" s="527" t="s">
        <v>469</v>
      </c>
      <c r="F103" s="525" t="s">
        <v>456</v>
      </c>
      <c r="G103" s="525" t="s">
        <v>798</v>
      </c>
      <c r="H103" s="525" t="s">
        <v>446</v>
      </c>
      <c r="I103" s="525" t="s">
        <v>799</v>
      </c>
      <c r="J103" s="525" t="s">
        <v>800</v>
      </c>
      <c r="K103" s="525" t="s">
        <v>801</v>
      </c>
      <c r="L103" s="528">
        <v>1385.62</v>
      </c>
      <c r="M103" s="528">
        <v>8313.7199999999993</v>
      </c>
      <c r="N103" s="525">
        <v>6</v>
      </c>
      <c r="O103" s="529">
        <v>0.5</v>
      </c>
      <c r="P103" s="528">
        <v>8313.7199999999993</v>
      </c>
      <c r="Q103" s="530">
        <v>1</v>
      </c>
      <c r="R103" s="525">
        <v>6</v>
      </c>
      <c r="S103" s="530">
        <v>1</v>
      </c>
      <c r="T103" s="529">
        <v>0.5</v>
      </c>
      <c r="U103" s="531">
        <v>1</v>
      </c>
    </row>
    <row r="104" spans="1:21" ht="14.4" customHeight="1" x14ac:dyDescent="0.3">
      <c r="A104" s="524">
        <v>27</v>
      </c>
      <c r="B104" s="525" t="s">
        <v>451</v>
      </c>
      <c r="C104" s="525" t="s">
        <v>460</v>
      </c>
      <c r="D104" s="526" t="s">
        <v>1148</v>
      </c>
      <c r="E104" s="527" t="s">
        <v>469</v>
      </c>
      <c r="F104" s="525" t="s">
        <v>456</v>
      </c>
      <c r="G104" s="525" t="s">
        <v>798</v>
      </c>
      <c r="H104" s="525" t="s">
        <v>446</v>
      </c>
      <c r="I104" s="525" t="s">
        <v>802</v>
      </c>
      <c r="J104" s="525" t="s">
        <v>800</v>
      </c>
      <c r="K104" s="525" t="s">
        <v>803</v>
      </c>
      <c r="L104" s="528">
        <v>2309.36</v>
      </c>
      <c r="M104" s="528">
        <v>2309.36</v>
      </c>
      <c r="N104" s="525">
        <v>1</v>
      </c>
      <c r="O104" s="529">
        <v>0.5</v>
      </c>
      <c r="P104" s="528">
        <v>2309.36</v>
      </c>
      <c r="Q104" s="530">
        <v>1</v>
      </c>
      <c r="R104" s="525">
        <v>1</v>
      </c>
      <c r="S104" s="530">
        <v>1</v>
      </c>
      <c r="T104" s="529">
        <v>0.5</v>
      </c>
      <c r="U104" s="531">
        <v>1</v>
      </c>
    </row>
    <row r="105" spans="1:21" ht="14.4" customHeight="1" x14ac:dyDescent="0.3">
      <c r="A105" s="524">
        <v>27</v>
      </c>
      <c r="B105" s="525" t="s">
        <v>451</v>
      </c>
      <c r="C105" s="525" t="s">
        <v>460</v>
      </c>
      <c r="D105" s="526" t="s">
        <v>1148</v>
      </c>
      <c r="E105" s="527" t="s">
        <v>469</v>
      </c>
      <c r="F105" s="525" t="s">
        <v>456</v>
      </c>
      <c r="G105" s="525" t="s">
        <v>804</v>
      </c>
      <c r="H105" s="525" t="s">
        <v>415</v>
      </c>
      <c r="I105" s="525" t="s">
        <v>805</v>
      </c>
      <c r="J105" s="525" t="s">
        <v>806</v>
      </c>
      <c r="K105" s="525" t="s">
        <v>807</v>
      </c>
      <c r="L105" s="528">
        <v>134.47999999999999</v>
      </c>
      <c r="M105" s="528">
        <v>537.91999999999996</v>
      </c>
      <c r="N105" s="525">
        <v>4</v>
      </c>
      <c r="O105" s="529">
        <v>1.5</v>
      </c>
      <c r="P105" s="528">
        <v>134.47999999999999</v>
      </c>
      <c r="Q105" s="530">
        <v>0.25</v>
      </c>
      <c r="R105" s="525">
        <v>1</v>
      </c>
      <c r="S105" s="530">
        <v>0.25</v>
      </c>
      <c r="T105" s="529">
        <v>0.5</v>
      </c>
      <c r="U105" s="531">
        <v>0.33333333333333331</v>
      </c>
    </row>
    <row r="106" spans="1:21" ht="14.4" customHeight="1" x14ac:dyDescent="0.3">
      <c r="A106" s="524">
        <v>27</v>
      </c>
      <c r="B106" s="525" t="s">
        <v>451</v>
      </c>
      <c r="C106" s="525" t="s">
        <v>460</v>
      </c>
      <c r="D106" s="526" t="s">
        <v>1148</v>
      </c>
      <c r="E106" s="527" t="s">
        <v>469</v>
      </c>
      <c r="F106" s="525" t="s">
        <v>456</v>
      </c>
      <c r="G106" s="525" t="s">
        <v>808</v>
      </c>
      <c r="H106" s="525" t="s">
        <v>415</v>
      </c>
      <c r="I106" s="525" t="s">
        <v>809</v>
      </c>
      <c r="J106" s="525" t="s">
        <v>810</v>
      </c>
      <c r="K106" s="525" t="s">
        <v>811</v>
      </c>
      <c r="L106" s="528">
        <v>32.76</v>
      </c>
      <c r="M106" s="528">
        <v>262.08</v>
      </c>
      <c r="N106" s="525">
        <v>8</v>
      </c>
      <c r="O106" s="529">
        <v>2</v>
      </c>
      <c r="P106" s="528"/>
      <c r="Q106" s="530">
        <v>0</v>
      </c>
      <c r="R106" s="525"/>
      <c r="S106" s="530">
        <v>0</v>
      </c>
      <c r="T106" s="529"/>
      <c r="U106" s="531">
        <v>0</v>
      </c>
    </row>
    <row r="107" spans="1:21" ht="14.4" customHeight="1" x14ac:dyDescent="0.3">
      <c r="A107" s="524">
        <v>27</v>
      </c>
      <c r="B107" s="525" t="s">
        <v>451</v>
      </c>
      <c r="C107" s="525" t="s">
        <v>460</v>
      </c>
      <c r="D107" s="526" t="s">
        <v>1148</v>
      </c>
      <c r="E107" s="527" t="s">
        <v>469</v>
      </c>
      <c r="F107" s="525" t="s">
        <v>456</v>
      </c>
      <c r="G107" s="525" t="s">
        <v>812</v>
      </c>
      <c r="H107" s="525" t="s">
        <v>415</v>
      </c>
      <c r="I107" s="525" t="s">
        <v>813</v>
      </c>
      <c r="J107" s="525" t="s">
        <v>814</v>
      </c>
      <c r="K107" s="525" t="s">
        <v>815</v>
      </c>
      <c r="L107" s="528">
        <v>101.56</v>
      </c>
      <c r="M107" s="528">
        <v>101.56</v>
      </c>
      <c r="N107" s="525">
        <v>1</v>
      </c>
      <c r="O107" s="529">
        <v>0.5</v>
      </c>
      <c r="P107" s="528"/>
      <c r="Q107" s="530">
        <v>0</v>
      </c>
      <c r="R107" s="525"/>
      <c r="S107" s="530">
        <v>0</v>
      </c>
      <c r="T107" s="529"/>
      <c r="U107" s="531">
        <v>0</v>
      </c>
    </row>
    <row r="108" spans="1:21" ht="14.4" customHeight="1" x14ac:dyDescent="0.3">
      <c r="A108" s="524">
        <v>27</v>
      </c>
      <c r="B108" s="525" t="s">
        <v>451</v>
      </c>
      <c r="C108" s="525" t="s">
        <v>460</v>
      </c>
      <c r="D108" s="526" t="s">
        <v>1148</v>
      </c>
      <c r="E108" s="527" t="s">
        <v>469</v>
      </c>
      <c r="F108" s="525" t="s">
        <v>456</v>
      </c>
      <c r="G108" s="525" t="s">
        <v>812</v>
      </c>
      <c r="H108" s="525" t="s">
        <v>415</v>
      </c>
      <c r="I108" s="525" t="s">
        <v>816</v>
      </c>
      <c r="J108" s="525" t="s">
        <v>814</v>
      </c>
      <c r="K108" s="525" t="s">
        <v>817</v>
      </c>
      <c r="L108" s="528">
        <v>29.02</v>
      </c>
      <c r="M108" s="528">
        <v>58.04</v>
      </c>
      <c r="N108" s="525">
        <v>2</v>
      </c>
      <c r="O108" s="529">
        <v>1</v>
      </c>
      <c r="P108" s="528"/>
      <c r="Q108" s="530">
        <v>0</v>
      </c>
      <c r="R108" s="525"/>
      <c r="S108" s="530">
        <v>0</v>
      </c>
      <c r="T108" s="529"/>
      <c r="U108" s="531">
        <v>0</v>
      </c>
    </row>
    <row r="109" spans="1:21" ht="14.4" customHeight="1" x14ac:dyDescent="0.3">
      <c r="A109" s="524">
        <v>27</v>
      </c>
      <c r="B109" s="525" t="s">
        <v>451</v>
      </c>
      <c r="C109" s="525" t="s">
        <v>460</v>
      </c>
      <c r="D109" s="526" t="s">
        <v>1148</v>
      </c>
      <c r="E109" s="527" t="s">
        <v>469</v>
      </c>
      <c r="F109" s="525" t="s">
        <v>456</v>
      </c>
      <c r="G109" s="525" t="s">
        <v>812</v>
      </c>
      <c r="H109" s="525" t="s">
        <v>415</v>
      </c>
      <c r="I109" s="525" t="s">
        <v>818</v>
      </c>
      <c r="J109" s="525" t="s">
        <v>819</v>
      </c>
      <c r="K109" s="525" t="s">
        <v>820</v>
      </c>
      <c r="L109" s="528">
        <v>103.64</v>
      </c>
      <c r="M109" s="528">
        <v>103.64</v>
      </c>
      <c r="N109" s="525">
        <v>1</v>
      </c>
      <c r="O109" s="529">
        <v>0.5</v>
      </c>
      <c r="P109" s="528"/>
      <c r="Q109" s="530">
        <v>0</v>
      </c>
      <c r="R109" s="525"/>
      <c r="S109" s="530">
        <v>0</v>
      </c>
      <c r="T109" s="529"/>
      <c r="U109" s="531">
        <v>0</v>
      </c>
    </row>
    <row r="110" spans="1:21" ht="14.4" customHeight="1" x14ac:dyDescent="0.3">
      <c r="A110" s="524">
        <v>27</v>
      </c>
      <c r="B110" s="525" t="s">
        <v>451</v>
      </c>
      <c r="C110" s="525" t="s">
        <v>460</v>
      </c>
      <c r="D110" s="526" t="s">
        <v>1148</v>
      </c>
      <c r="E110" s="527" t="s">
        <v>469</v>
      </c>
      <c r="F110" s="525" t="s">
        <v>456</v>
      </c>
      <c r="G110" s="525" t="s">
        <v>821</v>
      </c>
      <c r="H110" s="525" t="s">
        <v>415</v>
      </c>
      <c r="I110" s="525" t="s">
        <v>822</v>
      </c>
      <c r="J110" s="525" t="s">
        <v>823</v>
      </c>
      <c r="K110" s="525" t="s">
        <v>824</v>
      </c>
      <c r="L110" s="528">
        <v>301.2</v>
      </c>
      <c r="M110" s="528">
        <v>301.2</v>
      </c>
      <c r="N110" s="525">
        <v>1</v>
      </c>
      <c r="O110" s="529">
        <v>0.5</v>
      </c>
      <c r="P110" s="528">
        <v>301.2</v>
      </c>
      <c r="Q110" s="530">
        <v>1</v>
      </c>
      <c r="R110" s="525">
        <v>1</v>
      </c>
      <c r="S110" s="530">
        <v>1</v>
      </c>
      <c r="T110" s="529">
        <v>0.5</v>
      </c>
      <c r="U110" s="531">
        <v>1</v>
      </c>
    </row>
    <row r="111" spans="1:21" ht="14.4" customHeight="1" x14ac:dyDescent="0.3">
      <c r="A111" s="524">
        <v>27</v>
      </c>
      <c r="B111" s="525" t="s">
        <v>451</v>
      </c>
      <c r="C111" s="525" t="s">
        <v>460</v>
      </c>
      <c r="D111" s="526" t="s">
        <v>1148</v>
      </c>
      <c r="E111" s="527" t="s">
        <v>469</v>
      </c>
      <c r="F111" s="525" t="s">
        <v>456</v>
      </c>
      <c r="G111" s="525" t="s">
        <v>821</v>
      </c>
      <c r="H111" s="525" t="s">
        <v>415</v>
      </c>
      <c r="I111" s="525" t="s">
        <v>825</v>
      </c>
      <c r="J111" s="525" t="s">
        <v>826</v>
      </c>
      <c r="K111" s="525" t="s">
        <v>827</v>
      </c>
      <c r="L111" s="528">
        <v>205.84</v>
      </c>
      <c r="M111" s="528">
        <v>411.68</v>
      </c>
      <c r="N111" s="525">
        <v>2</v>
      </c>
      <c r="O111" s="529">
        <v>1.5</v>
      </c>
      <c r="P111" s="528"/>
      <c r="Q111" s="530">
        <v>0</v>
      </c>
      <c r="R111" s="525"/>
      <c r="S111" s="530">
        <v>0</v>
      </c>
      <c r="T111" s="529"/>
      <c r="U111" s="531">
        <v>0</v>
      </c>
    </row>
    <row r="112" spans="1:21" ht="14.4" customHeight="1" x14ac:dyDescent="0.3">
      <c r="A112" s="524">
        <v>27</v>
      </c>
      <c r="B112" s="525" t="s">
        <v>451</v>
      </c>
      <c r="C112" s="525" t="s">
        <v>460</v>
      </c>
      <c r="D112" s="526" t="s">
        <v>1148</v>
      </c>
      <c r="E112" s="527" t="s">
        <v>469</v>
      </c>
      <c r="F112" s="525" t="s">
        <v>456</v>
      </c>
      <c r="G112" s="525" t="s">
        <v>821</v>
      </c>
      <c r="H112" s="525" t="s">
        <v>415</v>
      </c>
      <c r="I112" s="525" t="s">
        <v>828</v>
      </c>
      <c r="J112" s="525" t="s">
        <v>823</v>
      </c>
      <c r="K112" s="525" t="s">
        <v>829</v>
      </c>
      <c r="L112" s="528">
        <v>57.64</v>
      </c>
      <c r="M112" s="528">
        <v>172.92000000000002</v>
      </c>
      <c r="N112" s="525">
        <v>3</v>
      </c>
      <c r="O112" s="529">
        <v>2</v>
      </c>
      <c r="P112" s="528"/>
      <c r="Q112" s="530">
        <v>0</v>
      </c>
      <c r="R112" s="525"/>
      <c r="S112" s="530">
        <v>0</v>
      </c>
      <c r="T112" s="529"/>
      <c r="U112" s="531">
        <v>0</v>
      </c>
    </row>
    <row r="113" spans="1:21" ht="14.4" customHeight="1" x14ac:dyDescent="0.3">
      <c r="A113" s="524">
        <v>27</v>
      </c>
      <c r="B113" s="525" t="s">
        <v>451</v>
      </c>
      <c r="C113" s="525" t="s">
        <v>460</v>
      </c>
      <c r="D113" s="526" t="s">
        <v>1148</v>
      </c>
      <c r="E113" s="527" t="s">
        <v>469</v>
      </c>
      <c r="F113" s="525" t="s">
        <v>456</v>
      </c>
      <c r="G113" s="525" t="s">
        <v>830</v>
      </c>
      <c r="H113" s="525" t="s">
        <v>446</v>
      </c>
      <c r="I113" s="525" t="s">
        <v>831</v>
      </c>
      <c r="J113" s="525" t="s">
        <v>832</v>
      </c>
      <c r="K113" s="525" t="s">
        <v>631</v>
      </c>
      <c r="L113" s="528">
        <v>48.27</v>
      </c>
      <c r="M113" s="528">
        <v>193.08</v>
      </c>
      <c r="N113" s="525">
        <v>4</v>
      </c>
      <c r="O113" s="529">
        <v>1.5</v>
      </c>
      <c r="P113" s="528"/>
      <c r="Q113" s="530">
        <v>0</v>
      </c>
      <c r="R113" s="525"/>
      <c r="S113" s="530">
        <v>0</v>
      </c>
      <c r="T113" s="529"/>
      <c r="U113" s="531">
        <v>0</v>
      </c>
    </row>
    <row r="114" spans="1:21" ht="14.4" customHeight="1" x14ac:dyDescent="0.3">
      <c r="A114" s="524">
        <v>27</v>
      </c>
      <c r="B114" s="525" t="s">
        <v>451</v>
      </c>
      <c r="C114" s="525" t="s">
        <v>460</v>
      </c>
      <c r="D114" s="526" t="s">
        <v>1148</v>
      </c>
      <c r="E114" s="527" t="s">
        <v>469</v>
      </c>
      <c r="F114" s="525" t="s">
        <v>456</v>
      </c>
      <c r="G114" s="525" t="s">
        <v>830</v>
      </c>
      <c r="H114" s="525" t="s">
        <v>446</v>
      </c>
      <c r="I114" s="525" t="s">
        <v>833</v>
      </c>
      <c r="J114" s="525" t="s">
        <v>832</v>
      </c>
      <c r="K114" s="525" t="s">
        <v>483</v>
      </c>
      <c r="L114" s="528">
        <v>144.81</v>
      </c>
      <c r="M114" s="528">
        <v>289.62</v>
      </c>
      <c r="N114" s="525">
        <v>2</v>
      </c>
      <c r="O114" s="529">
        <v>1</v>
      </c>
      <c r="P114" s="528">
        <v>144.81</v>
      </c>
      <c r="Q114" s="530">
        <v>0.5</v>
      </c>
      <c r="R114" s="525">
        <v>1</v>
      </c>
      <c r="S114" s="530">
        <v>0.5</v>
      </c>
      <c r="T114" s="529">
        <v>0.5</v>
      </c>
      <c r="U114" s="531">
        <v>0.5</v>
      </c>
    </row>
    <row r="115" spans="1:21" ht="14.4" customHeight="1" x14ac:dyDescent="0.3">
      <c r="A115" s="524">
        <v>27</v>
      </c>
      <c r="B115" s="525" t="s">
        <v>451</v>
      </c>
      <c r="C115" s="525" t="s">
        <v>460</v>
      </c>
      <c r="D115" s="526" t="s">
        <v>1148</v>
      </c>
      <c r="E115" s="527" t="s">
        <v>469</v>
      </c>
      <c r="F115" s="525" t="s">
        <v>456</v>
      </c>
      <c r="G115" s="525" t="s">
        <v>830</v>
      </c>
      <c r="H115" s="525" t="s">
        <v>446</v>
      </c>
      <c r="I115" s="525" t="s">
        <v>834</v>
      </c>
      <c r="J115" s="525" t="s">
        <v>835</v>
      </c>
      <c r="K115" s="525" t="s">
        <v>836</v>
      </c>
      <c r="L115" s="528">
        <v>289.62</v>
      </c>
      <c r="M115" s="528">
        <v>289.62</v>
      </c>
      <c r="N115" s="525">
        <v>1</v>
      </c>
      <c r="O115" s="529">
        <v>0.5</v>
      </c>
      <c r="P115" s="528"/>
      <c r="Q115" s="530">
        <v>0</v>
      </c>
      <c r="R115" s="525"/>
      <c r="S115" s="530">
        <v>0</v>
      </c>
      <c r="T115" s="529"/>
      <c r="U115" s="531">
        <v>0</v>
      </c>
    </row>
    <row r="116" spans="1:21" ht="14.4" customHeight="1" x14ac:dyDescent="0.3">
      <c r="A116" s="524">
        <v>27</v>
      </c>
      <c r="B116" s="525" t="s">
        <v>451</v>
      </c>
      <c r="C116" s="525" t="s">
        <v>460</v>
      </c>
      <c r="D116" s="526" t="s">
        <v>1148</v>
      </c>
      <c r="E116" s="527" t="s">
        <v>469</v>
      </c>
      <c r="F116" s="525" t="s">
        <v>456</v>
      </c>
      <c r="G116" s="525" t="s">
        <v>830</v>
      </c>
      <c r="H116" s="525" t="s">
        <v>446</v>
      </c>
      <c r="I116" s="525" t="s">
        <v>837</v>
      </c>
      <c r="J116" s="525" t="s">
        <v>838</v>
      </c>
      <c r="K116" s="525" t="s">
        <v>839</v>
      </c>
      <c r="L116" s="528">
        <v>160.88999999999999</v>
      </c>
      <c r="M116" s="528">
        <v>321.77999999999997</v>
      </c>
      <c r="N116" s="525">
        <v>2</v>
      </c>
      <c r="O116" s="529">
        <v>1.5</v>
      </c>
      <c r="P116" s="528"/>
      <c r="Q116" s="530">
        <v>0</v>
      </c>
      <c r="R116" s="525"/>
      <c r="S116" s="530">
        <v>0</v>
      </c>
      <c r="T116" s="529"/>
      <c r="U116" s="531">
        <v>0</v>
      </c>
    </row>
    <row r="117" spans="1:21" ht="14.4" customHeight="1" x14ac:dyDescent="0.3">
      <c r="A117" s="524">
        <v>27</v>
      </c>
      <c r="B117" s="525" t="s">
        <v>451</v>
      </c>
      <c r="C117" s="525" t="s">
        <v>460</v>
      </c>
      <c r="D117" s="526" t="s">
        <v>1148</v>
      </c>
      <c r="E117" s="527" t="s">
        <v>469</v>
      </c>
      <c r="F117" s="525" t="s">
        <v>456</v>
      </c>
      <c r="G117" s="525" t="s">
        <v>840</v>
      </c>
      <c r="H117" s="525" t="s">
        <v>446</v>
      </c>
      <c r="I117" s="525" t="s">
        <v>841</v>
      </c>
      <c r="J117" s="525" t="s">
        <v>842</v>
      </c>
      <c r="K117" s="525" t="s">
        <v>719</v>
      </c>
      <c r="L117" s="528">
        <v>352.37</v>
      </c>
      <c r="M117" s="528">
        <v>352.37</v>
      </c>
      <c r="N117" s="525">
        <v>1</v>
      </c>
      <c r="O117" s="529">
        <v>0.5</v>
      </c>
      <c r="P117" s="528"/>
      <c r="Q117" s="530">
        <v>0</v>
      </c>
      <c r="R117" s="525"/>
      <c r="S117" s="530">
        <v>0</v>
      </c>
      <c r="T117" s="529"/>
      <c r="U117" s="531">
        <v>0</v>
      </c>
    </row>
    <row r="118" spans="1:21" ht="14.4" customHeight="1" x14ac:dyDescent="0.3">
      <c r="A118" s="524">
        <v>27</v>
      </c>
      <c r="B118" s="525" t="s">
        <v>451</v>
      </c>
      <c r="C118" s="525" t="s">
        <v>460</v>
      </c>
      <c r="D118" s="526" t="s">
        <v>1148</v>
      </c>
      <c r="E118" s="527" t="s">
        <v>469</v>
      </c>
      <c r="F118" s="525" t="s">
        <v>456</v>
      </c>
      <c r="G118" s="525" t="s">
        <v>843</v>
      </c>
      <c r="H118" s="525" t="s">
        <v>446</v>
      </c>
      <c r="I118" s="525" t="s">
        <v>844</v>
      </c>
      <c r="J118" s="525" t="s">
        <v>845</v>
      </c>
      <c r="K118" s="525" t="s">
        <v>767</v>
      </c>
      <c r="L118" s="528">
        <v>87.41</v>
      </c>
      <c r="M118" s="528">
        <v>87.41</v>
      </c>
      <c r="N118" s="525">
        <v>1</v>
      </c>
      <c r="O118" s="529">
        <v>1</v>
      </c>
      <c r="P118" s="528"/>
      <c r="Q118" s="530">
        <v>0</v>
      </c>
      <c r="R118" s="525"/>
      <c r="S118" s="530">
        <v>0</v>
      </c>
      <c r="T118" s="529"/>
      <c r="U118" s="531">
        <v>0</v>
      </c>
    </row>
    <row r="119" spans="1:21" ht="14.4" customHeight="1" x14ac:dyDescent="0.3">
      <c r="A119" s="524">
        <v>27</v>
      </c>
      <c r="B119" s="525" t="s">
        <v>451</v>
      </c>
      <c r="C119" s="525" t="s">
        <v>460</v>
      </c>
      <c r="D119" s="526" t="s">
        <v>1148</v>
      </c>
      <c r="E119" s="527" t="s">
        <v>469</v>
      </c>
      <c r="F119" s="525" t="s">
        <v>456</v>
      </c>
      <c r="G119" s="525" t="s">
        <v>843</v>
      </c>
      <c r="H119" s="525" t="s">
        <v>446</v>
      </c>
      <c r="I119" s="525" t="s">
        <v>846</v>
      </c>
      <c r="J119" s="525" t="s">
        <v>845</v>
      </c>
      <c r="K119" s="525" t="s">
        <v>614</v>
      </c>
      <c r="L119" s="528">
        <v>291.82</v>
      </c>
      <c r="M119" s="528">
        <v>291.82</v>
      </c>
      <c r="N119" s="525">
        <v>1</v>
      </c>
      <c r="O119" s="529">
        <v>0.5</v>
      </c>
      <c r="P119" s="528"/>
      <c r="Q119" s="530">
        <v>0</v>
      </c>
      <c r="R119" s="525"/>
      <c r="S119" s="530">
        <v>0</v>
      </c>
      <c r="T119" s="529"/>
      <c r="U119" s="531">
        <v>0</v>
      </c>
    </row>
    <row r="120" spans="1:21" ht="14.4" customHeight="1" x14ac:dyDescent="0.3">
      <c r="A120" s="524">
        <v>27</v>
      </c>
      <c r="B120" s="525" t="s">
        <v>451</v>
      </c>
      <c r="C120" s="525" t="s">
        <v>460</v>
      </c>
      <c r="D120" s="526" t="s">
        <v>1148</v>
      </c>
      <c r="E120" s="527" t="s">
        <v>469</v>
      </c>
      <c r="F120" s="525" t="s">
        <v>456</v>
      </c>
      <c r="G120" s="525" t="s">
        <v>843</v>
      </c>
      <c r="H120" s="525" t="s">
        <v>446</v>
      </c>
      <c r="I120" s="525" t="s">
        <v>846</v>
      </c>
      <c r="J120" s="525" t="s">
        <v>845</v>
      </c>
      <c r="K120" s="525" t="s">
        <v>614</v>
      </c>
      <c r="L120" s="528">
        <v>262.23</v>
      </c>
      <c r="M120" s="528">
        <v>262.23</v>
      </c>
      <c r="N120" s="525">
        <v>1</v>
      </c>
      <c r="O120" s="529">
        <v>1</v>
      </c>
      <c r="P120" s="528"/>
      <c r="Q120" s="530">
        <v>0</v>
      </c>
      <c r="R120" s="525"/>
      <c r="S120" s="530">
        <v>0</v>
      </c>
      <c r="T120" s="529"/>
      <c r="U120" s="531">
        <v>0</v>
      </c>
    </row>
    <row r="121" spans="1:21" ht="14.4" customHeight="1" x14ac:dyDescent="0.3">
      <c r="A121" s="524">
        <v>27</v>
      </c>
      <c r="B121" s="525" t="s">
        <v>451</v>
      </c>
      <c r="C121" s="525" t="s">
        <v>460</v>
      </c>
      <c r="D121" s="526" t="s">
        <v>1148</v>
      </c>
      <c r="E121" s="527" t="s">
        <v>469</v>
      </c>
      <c r="F121" s="525" t="s">
        <v>456</v>
      </c>
      <c r="G121" s="525" t="s">
        <v>843</v>
      </c>
      <c r="H121" s="525" t="s">
        <v>446</v>
      </c>
      <c r="I121" s="525" t="s">
        <v>847</v>
      </c>
      <c r="J121" s="525" t="s">
        <v>848</v>
      </c>
      <c r="K121" s="525" t="s">
        <v>688</v>
      </c>
      <c r="L121" s="528">
        <v>97.26</v>
      </c>
      <c r="M121" s="528">
        <v>194.52</v>
      </c>
      <c r="N121" s="525">
        <v>2</v>
      </c>
      <c r="O121" s="529">
        <v>0.5</v>
      </c>
      <c r="P121" s="528">
        <v>194.52</v>
      </c>
      <c r="Q121" s="530">
        <v>1</v>
      </c>
      <c r="R121" s="525">
        <v>2</v>
      </c>
      <c r="S121" s="530">
        <v>1</v>
      </c>
      <c r="T121" s="529">
        <v>0.5</v>
      </c>
      <c r="U121" s="531">
        <v>1</v>
      </c>
    </row>
    <row r="122" spans="1:21" ht="14.4" customHeight="1" x14ac:dyDescent="0.3">
      <c r="A122" s="524">
        <v>27</v>
      </c>
      <c r="B122" s="525" t="s">
        <v>451</v>
      </c>
      <c r="C122" s="525" t="s">
        <v>460</v>
      </c>
      <c r="D122" s="526" t="s">
        <v>1148</v>
      </c>
      <c r="E122" s="527" t="s">
        <v>469</v>
      </c>
      <c r="F122" s="525" t="s">
        <v>456</v>
      </c>
      <c r="G122" s="525" t="s">
        <v>843</v>
      </c>
      <c r="H122" s="525" t="s">
        <v>446</v>
      </c>
      <c r="I122" s="525" t="s">
        <v>849</v>
      </c>
      <c r="J122" s="525" t="s">
        <v>850</v>
      </c>
      <c r="K122" s="525" t="s">
        <v>614</v>
      </c>
      <c r="L122" s="528">
        <v>583.62</v>
      </c>
      <c r="M122" s="528">
        <v>583.62</v>
      </c>
      <c r="N122" s="525">
        <v>1</v>
      </c>
      <c r="O122" s="529">
        <v>0.5</v>
      </c>
      <c r="P122" s="528"/>
      <c r="Q122" s="530">
        <v>0</v>
      </c>
      <c r="R122" s="525"/>
      <c r="S122" s="530">
        <v>0</v>
      </c>
      <c r="T122" s="529"/>
      <c r="U122" s="531">
        <v>0</v>
      </c>
    </row>
    <row r="123" spans="1:21" ht="14.4" customHeight="1" x14ac:dyDescent="0.3">
      <c r="A123" s="524">
        <v>27</v>
      </c>
      <c r="B123" s="525" t="s">
        <v>451</v>
      </c>
      <c r="C123" s="525" t="s">
        <v>460</v>
      </c>
      <c r="D123" s="526" t="s">
        <v>1148</v>
      </c>
      <c r="E123" s="527" t="s">
        <v>469</v>
      </c>
      <c r="F123" s="525" t="s">
        <v>456</v>
      </c>
      <c r="G123" s="525" t="s">
        <v>851</v>
      </c>
      <c r="H123" s="525" t="s">
        <v>415</v>
      </c>
      <c r="I123" s="525" t="s">
        <v>852</v>
      </c>
      <c r="J123" s="525" t="s">
        <v>853</v>
      </c>
      <c r="K123" s="525" t="s">
        <v>854</v>
      </c>
      <c r="L123" s="528">
        <v>320.20999999999998</v>
      </c>
      <c r="M123" s="528">
        <v>320.20999999999998</v>
      </c>
      <c r="N123" s="525">
        <v>1</v>
      </c>
      <c r="O123" s="529">
        <v>1</v>
      </c>
      <c r="P123" s="528"/>
      <c r="Q123" s="530">
        <v>0</v>
      </c>
      <c r="R123" s="525"/>
      <c r="S123" s="530">
        <v>0</v>
      </c>
      <c r="T123" s="529"/>
      <c r="U123" s="531">
        <v>0</v>
      </c>
    </row>
    <row r="124" spans="1:21" ht="14.4" customHeight="1" x14ac:dyDescent="0.3">
      <c r="A124" s="524">
        <v>27</v>
      </c>
      <c r="B124" s="525" t="s">
        <v>451</v>
      </c>
      <c r="C124" s="525" t="s">
        <v>460</v>
      </c>
      <c r="D124" s="526" t="s">
        <v>1148</v>
      </c>
      <c r="E124" s="527" t="s">
        <v>469</v>
      </c>
      <c r="F124" s="525" t="s">
        <v>456</v>
      </c>
      <c r="G124" s="525" t="s">
        <v>855</v>
      </c>
      <c r="H124" s="525" t="s">
        <v>446</v>
      </c>
      <c r="I124" s="525" t="s">
        <v>856</v>
      </c>
      <c r="J124" s="525" t="s">
        <v>857</v>
      </c>
      <c r="K124" s="525" t="s">
        <v>704</v>
      </c>
      <c r="L124" s="528">
        <v>0</v>
      </c>
      <c r="M124" s="528">
        <v>0</v>
      </c>
      <c r="N124" s="525">
        <v>4</v>
      </c>
      <c r="O124" s="529">
        <v>1.5</v>
      </c>
      <c r="P124" s="528">
        <v>0</v>
      </c>
      <c r="Q124" s="530"/>
      <c r="R124" s="525">
        <v>2</v>
      </c>
      <c r="S124" s="530">
        <v>0.5</v>
      </c>
      <c r="T124" s="529">
        <v>0.5</v>
      </c>
      <c r="U124" s="531">
        <v>0.33333333333333331</v>
      </c>
    </row>
    <row r="125" spans="1:21" ht="14.4" customHeight="1" x14ac:dyDescent="0.3">
      <c r="A125" s="524">
        <v>27</v>
      </c>
      <c r="B125" s="525" t="s">
        <v>451</v>
      </c>
      <c r="C125" s="525" t="s">
        <v>460</v>
      </c>
      <c r="D125" s="526" t="s">
        <v>1148</v>
      </c>
      <c r="E125" s="527" t="s">
        <v>469</v>
      </c>
      <c r="F125" s="525" t="s">
        <v>456</v>
      </c>
      <c r="G125" s="525" t="s">
        <v>855</v>
      </c>
      <c r="H125" s="525" t="s">
        <v>446</v>
      </c>
      <c r="I125" s="525" t="s">
        <v>858</v>
      </c>
      <c r="J125" s="525" t="s">
        <v>859</v>
      </c>
      <c r="K125" s="525" t="s">
        <v>860</v>
      </c>
      <c r="L125" s="528">
        <v>0</v>
      </c>
      <c r="M125" s="528">
        <v>0</v>
      </c>
      <c r="N125" s="525">
        <v>2</v>
      </c>
      <c r="O125" s="529">
        <v>1</v>
      </c>
      <c r="P125" s="528"/>
      <c r="Q125" s="530"/>
      <c r="R125" s="525"/>
      <c r="S125" s="530">
        <v>0</v>
      </c>
      <c r="T125" s="529"/>
      <c r="U125" s="531">
        <v>0</v>
      </c>
    </row>
    <row r="126" spans="1:21" ht="14.4" customHeight="1" x14ac:dyDescent="0.3">
      <c r="A126" s="524">
        <v>27</v>
      </c>
      <c r="B126" s="525" t="s">
        <v>451</v>
      </c>
      <c r="C126" s="525" t="s">
        <v>460</v>
      </c>
      <c r="D126" s="526" t="s">
        <v>1148</v>
      </c>
      <c r="E126" s="527" t="s">
        <v>469</v>
      </c>
      <c r="F126" s="525" t="s">
        <v>456</v>
      </c>
      <c r="G126" s="525" t="s">
        <v>861</v>
      </c>
      <c r="H126" s="525" t="s">
        <v>446</v>
      </c>
      <c r="I126" s="525" t="s">
        <v>862</v>
      </c>
      <c r="J126" s="525" t="s">
        <v>863</v>
      </c>
      <c r="K126" s="525" t="s">
        <v>688</v>
      </c>
      <c r="L126" s="528">
        <v>129.69</v>
      </c>
      <c r="M126" s="528">
        <v>389.07</v>
      </c>
      <c r="N126" s="525">
        <v>3</v>
      </c>
      <c r="O126" s="529">
        <v>0.5</v>
      </c>
      <c r="P126" s="528">
        <v>389.07</v>
      </c>
      <c r="Q126" s="530">
        <v>1</v>
      </c>
      <c r="R126" s="525">
        <v>3</v>
      </c>
      <c r="S126" s="530">
        <v>1</v>
      </c>
      <c r="T126" s="529">
        <v>0.5</v>
      </c>
      <c r="U126" s="531">
        <v>1</v>
      </c>
    </row>
    <row r="127" spans="1:21" ht="14.4" customHeight="1" x14ac:dyDescent="0.3">
      <c r="A127" s="524">
        <v>27</v>
      </c>
      <c r="B127" s="525" t="s">
        <v>451</v>
      </c>
      <c r="C127" s="525" t="s">
        <v>460</v>
      </c>
      <c r="D127" s="526" t="s">
        <v>1148</v>
      </c>
      <c r="E127" s="527" t="s">
        <v>469</v>
      </c>
      <c r="F127" s="525" t="s">
        <v>456</v>
      </c>
      <c r="G127" s="525" t="s">
        <v>864</v>
      </c>
      <c r="H127" s="525" t="s">
        <v>415</v>
      </c>
      <c r="I127" s="525" t="s">
        <v>865</v>
      </c>
      <c r="J127" s="525" t="s">
        <v>866</v>
      </c>
      <c r="K127" s="525" t="s">
        <v>867</v>
      </c>
      <c r="L127" s="528">
        <v>316.36</v>
      </c>
      <c r="M127" s="528">
        <v>632.72</v>
      </c>
      <c r="N127" s="525">
        <v>2</v>
      </c>
      <c r="O127" s="529">
        <v>0.5</v>
      </c>
      <c r="P127" s="528"/>
      <c r="Q127" s="530">
        <v>0</v>
      </c>
      <c r="R127" s="525"/>
      <c r="S127" s="530">
        <v>0</v>
      </c>
      <c r="T127" s="529"/>
      <c r="U127" s="531">
        <v>0</v>
      </c>
    </row>
    <row r="128" spans="1:21" ht="14.4" customHeight="1" x14ac:dyDescent="0.3">
      <c r="A128" s="524">
        <v>27</v>
      </c>
      <c r="B128" s="525" t="s">
        <v>451</v>
      </c>
      <c r="C128" s="525" t="s">
        <v>460</v>
      </c>
      <c r="D128" s="526" t="s">
        <v>1148</v>
      </c>
      <c r="E128" s="527" t="s">
        <v>469</v>
      </c>
      <c r="F128" s="525" t="s">
        <v>456</v>
      </c>
      <c r="G128" s="525" t="s">
        <v>868</v>
      </c>
      <c r="H128" s="525" t="s">
        <v>415</v>
      </c>
      <c r="I128" s="525" t="s">
        <v>869</v>
      </c>
      <c r="J128" s="525" t="s">
        <v>870</v>
      </c>
      <c r="K128" s="525" t="s">
        <v>626</v>
      </c>
      <c r="L128" s="528">
        <v>6177.8</v>
      </c>
      <c r="M128" s="528">
        <v>12355.6</v>
      </c>
      <c r="N128" s="525">
        <v>2</v>
      </c>
      <c r="O128" s="529">
        <v>2</v>
      </c>
      <c r="P128" s="528">
        <v>6177.8</v>
      </c>
      <c r="Q128" s="530">
        <v>0.5</v>
      </c>
      <c r="R128" s="525">
        <v>1</v>
      </c>
      <c r="S128" s="530">
        <v>0.5</v>
      </c>
      <c r="T128" s="529">
        <v>1</v>
      </c>
      <c r="U128" s="531">
        <v>0.5</v>
      </c>
    </row>
    <row r="129" spans="1:21" ht="14.4" customHeight="1" x14ac:dyDescent="0.3">
      <c r="A129" s="524">
        <v>27</v>
      </c>
      <c r="B129" s="525" t="s">
        <v>451</v>
      </c>
      <c r="C129" s="525" t="s">
        <v>460</v>
      </c>
      <c r="D129" s="526" t="s">
        <v>1148</v>
      </c>
      <c r="E129" s="527" t="s">
        <v>469</v>
      </c>
      <c r="F129" s="525" t="s">
        <v>456</v>
      </c>
      <c r="G129" s="525" t="s">
        <v>868</v>
      </c>
      <c r="H129" s="525" t="s">
        <v>415</v>
      </c>
      <c r="I129" s="525" t="s">
        <v>871</v>
      </c>
      <c r="J129" s="525" t="s">
        <v>870</v>
      </c>
      <c r="K129" s="525" t="s">
        <v>872</v>
      </c>
      <c r="L129" s="528">
        <v>0</v>
      </c>
      <c r="M129" s="528">
        <v>0</v>
      </c>
      <c r="N129" s="525">
        <v>2</v>
      </c>
      <c r="O129" s="529">
        <v>2</v>
      </c>
      <c r="P129" s="528">
        <v>0</v>
      </c>
      <c r="Q129" s="530"/>
      <c r="R129" s="525">
        <v>1</v>
      </c>
      <c r="S129" s="530">
        <v>0.5</v>
      </c>
      <c r="T129" s="529">
        <v>1</v>
      </c>
      <c r="U129" s="531">
        <v>0.5</v>
      </c>
    </row>
    <row r="130" spans="1:21" ht="14.4" customHeight="1" x14ac:dyDescent="0.3">
      <c r="A130" s="524">
        <v>27</v>
      </c>
      <c r="B130" s="525" t="s">
        <v>451</v>
      </c>
      <c r="C130" s="525" t="s">
        <v>460</v>
      </c>
      <c r="D130" s="526" t="s">
        <v>1148</v>
      </c>
      <c r="E130" s="527" t="s">
        <v>469</v>
      </c>
      <c r="F130" s="525" t="s">
        <v>456</v>
      </c>
      <c r="G130" s="525" t="s">
        <v>868</v>
      </c>
      <c r="H130" s="525" t="s">
        <v>415</v>
      </c>
      <c r="I130" s="525" t="s">
        <v>873</v>
      </c>
      <c r="J130" s="525" t="s">
        <v>870</v>
      </c>
      <c r="K130" s="525" t="s">
        <v>874</v>
      </c>
      <c r="L130" s="528">
        <v>0</v>
      </c>
      <c r="M130" s="528">
        <v>0</v>
      </c>
      <c r="N130" s="525">
        <v>2</v>
      </c>
      <c r="O130" s="529">
        <v>2</v>
      </c>
      <c r="P130" s="528">
        <v>0</v>
      </c>
      <c r="Q130" s="530"/>
      <c r="R130" s="525">
        <v>1</v>
      </c>
      <c r="S130" s="530">
        <v>0.5</v>
      </c>
      <c r="T130" s="529">
        <v>1</v>
      </c>
      <c r="U130" s="531">
        <v>0.5</v>
      </c>
    </row>
    <row r="131" spans="1:21" ht="14.4" customHeight="1" x14ac:dyDescent="0.3">
      <c r="A131" s="524">
        <v>27</v>
      </c>
      <c r="B131" s="525" t="s">
        <v>451</v>
      </c>
      <c r="C131" s="525" t="s">
        <v>460</v>
      </c>
      <c r="D131" s="526" t="s">
        <v>1148</v>
      </c>
      <c r="E131" s="527" t="s">
        <v>469</v>
      </c>
      <c r="F131" s="525" t="s">
        <v>456</v>
      </c>
      <c r="G131" s="525" t="s">
        <v>875</v>
      </c>
      <c r="H131" s="525" t="s">
        <v>446</v>
      </c>
      <c r="I131" s="525" t="s">
        <v>876</v>
      </c>
      <c r="J131" s="525" t="s">
        <v>877</v>
      </c>
      <c r="K131" s="525" t="s">
        <v>604</v>
      </c>
      <c r="L131" s="528">
        <v>543.36</v>
      </c>
      <c r="M131" s="528">
        <v>1086.72</v>
      </c>
      <c r="N131" s="525">
        <v>2</v>
      </c>
      <c r="O131" s="529">
        <v>2</v>
      </c>
      <c r="P131" s="528"/>
      <c r="Q131" s="530">
        <v>0</v>
      </c>
      <c r="R131" s="525"/>
      <c r="S131" s="530">
        <v>0</v>
      </c>
      <c r="T131" s="529"/>
      <c r="U131" s="531">
        <v>0</v>
      </c>
    </row>
    <row r="132" spans="1:21" ht="14.4" customHeight="1" x14ac:dyDescent="0.3">
      <c r="A132" s="524">
        <v>27</v>
      </c>
      <c r="B132" s="525" t="s">
        <v>451</v>
      </c>
      <c r="C132" s="525" t="s">
        <v>460</v>
      </c>
      <c r="D132" s="526" t="s">
        <v>1148</v>
      </c>
      <c r="E132" s="527" t="s">
        <v>469</v>
      </c>
      <c r="F132" s="525" t="s">
        <v>456</v>
      </c>
      <c r="G132" s="525" t="s">
        <v>875</v>
      </c>
      <c r="H132" s="525" t="s">
        <v>446</v>
      </c>
      <c r="I132" s="525" t="s">
        <v>878</v>
      </c>
      <c r="J132" s="525" t="s">
        <v>879</v>
      </c>
      <c r="K132" s="525" t="s">
        <v>601</v>
      </c>
      <c r="L132" s="528">
        <v>835.93</v>
      </c>
      <c r="M132" s="528">
        <v>1671.86</v>
      </c>
      <c r="N132" s="525">
        <v>2</v>
      </c>
      <c r="O132" s="529">
        <v>1.5</v>
      </c>
      <c r="P132" s="528">
        <v>835.93</v>
      </c>
      <c r="Q132" s="530">
        <v>0.5</v>
      </c>
      <c r="R132" s="525">
        <v>1</v>
      </c>
      <c r="S132" s="530">
        <v>0.5</v>
      </c>
      <c r="T132" s="529">
        <v>1</v>
      </c>
      <c r="U132" s="531">
        <v>0.66666666666666663</v>
      </c>
    </row>
    <row r="133" spans="1:21" ht="14.4" customHeight="1" x14ac:dyDescent="0.3">
      <c r="A133" s="524">
        <v>27</v>
      </c>
      <c r="B133" s="525" t="s">
        <v>451</v>
      </c>
      <c r="C133" s="525" t="s">
        <v>460</v>
      </c>
      <c r="D133" s="526" t="s">
        <v>1148</v>
      </c>
      <c r="E133" s="527" t="s">
        <v>469</v>
      </c>
      <c r="F133" s="525" t="s">
        <v>456</v>
      </c>
      <c r="G133" s="525" t="s">
        <v>880</v>
      </c>
      <c r="H133" s="525" t="s">
        <v>446</v>
      </c>
      <c r="I133" s="525" t="s">
        <v>881</v>
      </c>
      <c r="J133" s="525" t="s">
        <v>882</v>
      </c>
      <c r="K133" s="525" t="s">
        <v>883</v>
      </c>
      <c r="L133" s="528">
        <v>58.86</v>
      </c>
      <c r="M133" s="528">
        <v>176.57999999999998</v>
      </c>
      <c r="N133" s="525">
        <v>3</v>
      </c>
      <c r="O133" s="529">
        <v>0.5</v>
      </c>
      <c r="P133" s="528"/>
      <c r="Q133" s="530">
        <v>0</v>
      </c>
      <c r="R133" s="525"/>
      <c r="S133" s="530">
        <v>0</v>
      </c>
      <c r="T133" s="529"/>
      <c r="U133" s="531">
        <v>0</v>
      </c>
    </row>
    <row r="134" spans="1:21" ht="14.4" customHeight="1" x14ac:dyDescent="0.3">
      <c r="A134" s="524">
        <v>27</v>
      </c>
      <c r="B134" s="525" t="s">
        <v>451</v>
      </c>
      <c r="C134" s="525" t="s">
        <v>460</v>
      </c>
      <c r="D134" s="526" t="s">
        <v>1148</v>
      </c>
      <c r="E134" s="527" t="s">
        <v>469</v>
      </c>
      <c r="F134" s="525" t="s">
        <v>456</v>
      </c>
      <c r="G134" s="525" t="s">
        <v>884</v>
      </c>
      <c r="H134" s="525" t="s">
        <v>415</v>
      </c>
      <c r="I134" s="525" t="s">
        <v>885</v>
      </c>
      <c r="J134" s="525" t="s">
        <v>886</v>
      </c>
      <c r="K134" s="525" t="s">
        <v>887</v>
      </c>
      <c r="L134" s="528">
        <v>210.38</v>
      </c>
      <c r="M134" s="528">
        <v>210.38</v>
      </c>
      <c r="N134" s="525">
        <v>1</v>
      </c>
      <c r="O134" s="529">
        <v>0.5</v>
      </c>
      <c r="P134" s="528"/>
      <c r="Q134" s="530">
        <v>0</v>
      </c>
      <c r="R134" s="525"/>
      <c r="S134" s="530">
        <v>0</v>
      </c>
      <c r="T134" s="529"/>
      <c r="U134" s="531">
        <v>0</v>
      </c>
    </row>
    <row r="135" spans="1:21" ht="14.4" customHeight="1" x14ac:dyDescent="0.3">
      <c r="A135" s="524">
        <v>27</v>
      </c>
      <c r="B135" s="525" t="s">
        <v>451</v>
      </c>
      <c r="C135" s="525" t="s">
        <v>460</v>
      </c>
      <c r="D135" s="526" t="s">
        <v>1148</v>
      </c>
      <c r="E135" s="527" t="s">
        <v>469</v>
      </c>
      <c r="F135" s="525" t="s">
        <v>456</v>
      </c>
      <c r="G135" s="525" t="s">
        <v>884</v>
      </c>
      <c r="H135" s="525" t="s">
        <v>415</v>
      </c>
      <c r="I135" s="525" t="s">
        <v>888</v>
      </c>
      <c r="J135" s="525" t="s">
        <v>886</v>
      </c>
      <c r="K135" s="525" t="s">
        <v>684</v>
      </c>
      <c r="L135" s="528">
        <v>42.08</v>
      </c>
      <c r="M135" s="528">
        <v>84.16</v>
      </c>
      <c r="N135" s="525">
        <v>2</v>
      </c>
      <c r="O135" s="529">
        <v>0.5</v>
      </c>
      <c r="P135" s="528">
        <v>84.16</v>
      </c>
      <c r="Q135" s="530">
        <v>1</v>
      </c>
      <c r="R135" s="525">
        <v>2</v>
      </c>
      <c r="S135" s="530">
        <v>1</v>
      </c>
      <c r="T135" s="529">
        <v>0.5</v>
      </c>
      <c r="U135" s="531">
        <v>1</v>
      </c>
    </row>
    <row r="136" spans="1:21" ht="14.4" customHeight="1" x14ac:dyDescent="0.3">
      <c r="A136" s="524">
        <v>27</v>
      </c>
      <c r="B136" s="525" t="s">
        <v>451</v>
      </c>
      <c r="C136" s="525" t="s">
        <v>460</v>
      </c>
      <c r="D136" s="526" t="s">
        <v>1148</v>
      </c>
      <c r="E136" s="527" t="s">
        <v>469</v>
      </c>
      <c r="F136" s="525" t="s">
        <v>456</v>
      </c>
      <c r="G136" s="525" t="s">
        <v>889</v>
      </c>
      <c r="H136" s="525" t="s">
        <v>415</v>
      </c>
      <c r="I136" s="525" t="s">
        <v>890</v>
      </c>
      <c r="J136" s="525" t="s">
        <v>891</v>
      </c>
      <c r="K136" s="525" t="s">
        <v>892</v>
      </c>
      <c r="L136" s="528">
        <v>0</v>
      </c>
      <c r="M136" s="528">
        <v>0</v>
      </c>
      <c r="N136" s="525">
        <v>1</v>
      </c>
      <c r="O136" s="529">
        <v>1</v>
      </c>
      <c r="P136" s="528"/>
      <c r="Q136" s="530"/>
      <c r="R136" s="525"/>
      <c r="S136" s="530">
        <v>0</v>
      </c>
      <c r="T136" s="529"/>
      <c r="U136" s="531">
        <v>0</v>
      </c>
    </row>
    <row r="137" spans="1:21" ht="14.4" customHeight="1" x14ac:dyDescent="0.3">
      <c r="A137" s="524">
        <v>27</v>
      </c>
      <c r="B137" s="525" t="s">
        <v>451</v>
      </c>
      <c r="C137" s="525" t="s">
        <v>460</v>
      </c>
      <c r="D137" s="526" t="s">
        <v>1148</v>
      </c>
      <c r="E137" s="527" t="s">
        <v>469</v>
      </c>
      <c r="F137" s="525" t="s">
        <v>456</v>
      </c>
      <c r="G137" s="525" t="s">
        <v>893</v>
      </c>
      <c r="H137" s="525" t="s">
        <v>415</v>
      </c>
      <c r="I137" s="525" t="s">
        <v>894</v>
      </c>
      <c r="J137" s="525" t="s">
        <v>895</v>
      </c>
      <c r="K137" s="525" t="s">
        <v>896</v>
      </c>
      <c r="L137" s="528">
        <v>0</v>
      </c>
      <c r="M137" s="528">
        <v>0</v>
      </c>
      <c r="N137" s="525">
        <v>7</v>
      </c>
      <c r="O137" s="529">
        <v>1.5</v>
      </c>
      <c r="P137" s="528">
        <v>0</v>
      </c>
      <c r="Q137" s="530"/>
      <c r="R137" s="525">
        <v>7</v>
      </c>
      <c r="S137" s="530">
        <v>1</v>
      </c>
      <c r="T137" s="529">
        <v>1.5</v>
      </c>
      <c r="U137" s="531">
        <v>1</v>
      </c>
    </row>
    <row r="138" spans="1:21" ht="14.4" customHeight="1" x14ac:dyDescent="0.3">
      <c r="A138" s="524">
        <v>27</v>
      </c>
      <c r="B138" s="525" t="s">
        <v>451</v>
      </c>
      <c r="C138" s="525" t="s">
        <v>460</v>
      </c>
      <c r="D138" s="526" t="s">
        <v>1148</v>
      </c>
      <c r="E138" s="527" t="s">
        <v>469</v>
      </c>
      <c r="F138" s="525" t="s">
        <v>456</v>
      </c>
      <c r="G138" s="525" t="s">
        <v>897</v>
      </c>
      <c r="H138" s="525" t="s">
        <v>415</v>
      </c>
      <c r="I138" s="525" t="s">
        <v>898</v>
      </c>
      <c r="J138" s="525" t="s">
        <v>899</v>
      </c>
      <c r="K138" s="525" t="s">
        <v>900</v>
      </c>
      <c r="L138" s="528">
        <v>33.549999999999997</v>
      </c>
      <c r="M138" s="528">
        <v>33.549999999999997</v>
      </c>
      <c r="N138" s="525">
        <v>1</v>
      </c>
      <c r="O138" s="529">
        <v>1</v>
      </c>
      <c r="P138" s="528"/>
      <c r="Q138" s="530">
        <v>0</v>
      </c>
      <c r="R138" s="525"/>
      <c r="S138" s="530">
        <v>0</v>
      </c>
      <c r="T138" s="529"/>
      <c r="U138" s="531">
        <v>0</v>
      </c>
    </row>
    <row r="139" spans="1:21" ht="14.4" customHeight="1" x14ac:dyDescent="0.3">
      <c r="A139" s="524">
        <v>27</v>
      </c>
      <c r="B139" s="525" t="s">
        <v>451</v>
      </c>
      <c r="C139" s="525" t="s">
        <v>460</v>
      </c>
      <c r="D139" s="526" t="s">
        <v>1148</v>
      </c>
      <c r="E139" s="527" t="s">
        <v>469</v>
      </c>
      <c r="F139" s="525" t="s">
        <v>456</v>
      </c>
      <c r="G139" s="525" t="s">
        <v>562</v>
      </c>
      <c r="H139" s="525" t="s">
        <v>415</v>
      </c>
      <c r="I139" s="525" t="s">
        <v>901</v>
      </c>
      <c r="J139" s="525" t="s">
        <v>902</v>
      </c>
      <c r="K139" s="525" t="s">
        <v>903</v>
      </c>
      <c r="L139" s="528">
        <v>157.68</v>
      </c>
      <c r="M139" s="528">
        <v>157.68</v>
      </c>
      <c r="N139" s="525">
        <v>1</v>
      </c>
      <c r="O139" s="529">
        <v>0.5</v>
      </c>
      <c r="P139" s="528"/>
      <c r="Q139" s="530">
        <v>0</v>
      </c>
      <c r="R139" s="525"/>
      <c r="S139" s="530">
        <v>0</v>
      </c>
      <c r="T139" s="529"/>
      <c r="U139" s="531">
        <v>0</v>
      </c>
    </row>
    <row r="140" spans="1:21" ht="14.4" customHeight="1" x14ac:dyDescent="0.3">
      <c r="A140" s="524">
        <v>27</v>
      </c>
      <c r="B140" s="525" t="s">
        <v>451</v>
      </c>
      <c r="C140" s="525" t="s">
        <v>460</v>
      </c>
      <c r="D140" s="526" t="s">
        <v>1148</v>
      </c>
      <c r="E140" s="527" t="s">
        <v>469</v>
      </c>
      <c r="F140" s="525" t="s">
        <v>456</v>
      </c>
      <c r="G140" s="525" t="s">
        <v>904</v>
      </c>
      <c r="H140" s="525" t="s">
        <v>415</v>
      </c>
      <c r="I140" s="525" t="s">
        <v>905</v>
      </c>
      <c r="J140" s="525" t="s">
        <v>906</v>
      </c>
      <c r="K140" s="525" t="s">
        <v>907</v>
      </c>
      <c r="L140" s="528">
        <v>264</v>
      </c>
      <c r="M140" s="528">
        <v>264</v>
      </c>
      <c r="N140" s="525">
        <v>1</v>
      </c>
      <c r="O140" s="529">
        <v>0.5</v>
      </c>
      <c r="P140" s="528">
        <v>264</v>
      </c>
      <c r="Q140" s="530">
        <v>1</v>
      </c>
      <c r="R140" s="525">
        <v>1</v>
      </c>
      <c r="S140" s="530">
        <v>1</v>
      </c>
      <c r="T140" s="529">
        <v>0.5</v>
      </c>
      <c r="U140" s="531">
        <v>1</v>
      </c>
    </row>
    <row r="141" spans="1:21" ht="14.4" customHeight="1" x14ac:dyDescent="0.3">
      <c r="A141" s="524">
        <v>27</v>
      </c>
      <c r="B141" s="525" t="s">
        <v>451</v>
      </c>
      <c r="C141" s="525" t="s">
        <v>460</v>
      </c>
      <c r="D141" s="526" t="s">
        <v>1148</v>
      </c>
      <c r="E141" s="527" t="s">
        <v>469</v>
      </c>
      <c r="F141" s="525" t="s">
        <v>456</v>
      </c>
      <c r="G141" s="525" t="s">
        <v>904</v>
      </c>
      <c r="H141" s="525" t="s">
        <v>415</v>
      </c>
      <c r="I141" s="525" t="s">
        <v>908</v>
      </c>
      <c r="J141" s="525" t="s">
        <v>906</v>
      </c>
      <c r="K141" s="525" t="s">
        <v>909</v>
      </c>
      <c r="L141" s="528">
        <v>0</v>
      </c>
      <c r="M141" s="528">
        <v>0</v>
      </c>
      <c r="N141" s="525">
        <v>3</v>
      </c>
      <c r="O141" s="529">
        <v>0.5</v>
      </c>
      <c r="P141" s="528">
        <v>0</v>
      </c>
      <c r="Q141" s="530"/>
      <c r="R141" s="525">
        <v>3</v>
      </c>
      <c r="S141" s="530">
        <v>1</v>
      </c>
      <c r="T141" s="529">
        <v>0.5</v>
      </c>
      <c r="U141" s="531">
        <v>1</v>
      </c>
    </row>
    <row r="142" spans="1:21" ht="14.4" customHeight="1" x14ac:dyDescent="0.3">
      <c r="A142" s="524">
        <v>27</v>
      </c>
      <c r="B142" s="525" t="s">
        <v>451</v>
      </c>
      <c r="C142" s="525" t="s">
        <v>460</v>
      </c>
      <c r="D142" s="526" t="s">
        <v>1148</v>
      </c>
      <c r="E142" s="527" t="s">
        <v>469</v>
      </c>
      <c r="F142" s="525" t="s">
        <v>456</v>
      </c>
      <c r="G142" s="525" t="s">
        <v>910</v>
      </c>
      <c r="H142" s="525" t="s">
        <v>415</v>
      </c>
      <c r="I142" s="525" t="s">
        <v>911</v>
      </c>
      <c r="J142" s="525" t="s">
        <v>912</v>
      </c>
      <c r="K142" s="525" t="s">
        <v>913</v>
      </c>
      <c r="L142" s="528">
        <v>0</v>
      </c>
      <c r="M142" s="528">
        <v>0</v>
      </c>
      <c r="N142" s="525">
        <v>2</v>
      </c>
      <c r="O142" s="529">
        <v>0.5</v>
      </c>
      <c r="P142" s="528"/>
      <c r="Q142" s="530"/>
      <c r="R142" s="525"/>
      <c r="S142" s="530">
        <v>0</v>
      </c>
      <c r="T142" s="529"/>
      <c r="U142" s="531">
        <v>0</v>
      </c>
    </row>
    <row r="143" spans="1:21" ht="14.4" customHeight="1" x14ac:dyDescent="0.3">
      <c r="A143" s="524">
        <v>27</v>
      </c>
      <c r="B143" s="525" t="s">
        <v>451</v>
      </c>
      <c r="C143" s="525" t="s">
        <v>460</v>
      </c>
      <c r="D143" s="526" t="s">
        <v>1148</v>
      </c>
      <c r="E143" s="527" t="s">
        <v>469</v>
      </c>
      <c r="F143" s="525" t="s">
        <v>456</v>
      </c>
      <c r="G143" s="525" t="s">
        <v>914</v>
      </c>
      <c r="H143" s="525" t="s">
        <v>415</v>
      </c>
      <c r="I143" s="525" t="s">
        <v>915</v>
      </c>
      <c r="J143" s="525" t="s">
        <v>916</v>
      </c>
      <c r="K143" s="525" t="s">
        <v>917</v>
      </c>
      <c r="L143" s="528">
        <v>0</v>
      </c>
      <c r="M143" s="528">
        <v>0</v>
      </c>
      <c r="N143" s="525">
        <v>1</v>
      </c>
      <c r="O143" s="529">
        <v>0.5</v>
      </c>
      <c r="P143" s="528">
        <v>0</v>
      </c>
      <c r="Q143" s="530"/>
      <c r="R143" s="525">
        <v>1</v>
      </c>
      <c r="S143" s="530">
        <v>1</v>
      </c>
      <c r="T143" s="529">
        <v>0.5</v>
      </c>
      <c r="U143" s="531">
        <v>1</v>
      </c>
    </row>
    <row r="144" spans="1:21" ht="14.4" customHeight="1" x14ac:dyDescent="0.3">
      <c r="A144" s="524">
        <v>27</v>
      </c>
      <c r="B144" s="525" t="s">
        <v>451</v>
      </c>
      <c r="C144" s="525" t="s">
        <v>460</v>
      </c>
      <c r="D144" s="526" t="s">
        <v>1148</v>
      </c>
      <c r="E144" s="527" t="s">
        <v>469</v>
      </c>
      <c r="F144" s="525" t="s">
        <v>456</v>
      </c>
      <c r="G144" s="525" t="s">
        <v>918</v>
      </c>
      <c r="H144" s="525" t="s">
        <v>415</v>
      </c>
      <c r="I144" s="525" t="s">
        <v>919</v>
      </c>
      <c r="J144" s="525" t="s">
        <v>920</v>
      </c>
      <c r="K144" s="525" t="s">
        <v>921</v>
      </c>
      <c r="L144" s="528">
        <v>0</v>
      </c>
      <c r="M144" s="528">
        <v>0</v>
      </c>
      <c r="N144" s="525">
        <v>2</v>
      </c>
      <c r="O144" s="529">
        <v>1</v>
      </c>
      <c r="P144" s="528"/>
      <c r="Q144" s="530"/>
      <c r="R144" s="525"/>
      <c r="S144" s="530">
        <v>0</v>
      </c>
      <c r="T144" s="529"/>
      <c r="U144" s="531">
        <v>0</v>
      </c>
    </row>
    <row r="145" spans="1:21" ht="14.4" customHeight="1" x14ac:dyDescent="0.3">
      <c r="A145" s="524">
        <v>27</v>
      </c>
      <c r="B145" s="525" t="s">
        <v>451</v>
      </c>
      <c r="C145" s="525" t="s">
        <v>460</v>
      </c>
      <c r="D145" s="526" t="s">
        <v>1148</v>
      </c>
      <c r="E145" s="527" t="s">
        <v>469</v>
      </c>
      <c r="F145" s="525" t="s">
        <v>456</v>
      </c>
      <c r="G145" s="525" t="s">
        <v>922</v>
      </c>
      <c r="H145" s="525" t="s">
        <v>415</v>
      </c>
      <c r="I145" s="525" t="s">
        <v>923</v>
      </c>
      <c r="J145" s="525" t="s">
        <v>924</v>
      </c>
      <c r="K145" s="525" t="s">
        <v>925</v>
      </c>
      <c r="L145" s="528">
        <v>52.29</v>
      </c>
      <c r="M145" s="528">
        <v>104.58</v>
      </c>
      <c r="N145" s="525">
        <v>2</v>
      </c>
      <c r="O145" s="529">
        <v>1</v>
      </c>
      <c r="P145" s="528"/>
      <c r="Q145" s="530">
        <v>0</v>
      </c>
      <c r="R145" s="525"/>
      <c r="S145" s="530">
        <v>0</v>
      </c>
      <c r="T145" s="529"/>
      <c r="U145" s="531">
        <v>0</v>
      </c>
    </row>
    <row r="146" spans="1:21" ht="14.4" customHeight="1" x14ac:dyDescent="0.3">
      <c r="A146" s="524">
        <v>27</v>
      </c>
      <c r="B146" s="525" t="s">
        <v>451</v>
      </c>
      <c r="C146" s="525" t="s">
        <v>460</v>
      </c>
      <c r="D146" s="526" t="s">
        <v>1148</v>
      </c>
      <c r="E146" s="527" t="s">
        <v>469</v>
      </c>
      <c r="F146" s="525" t="s">
        <v>456</v>
      </c>
      <c r="G146" s="525" t="s">
        <v>926</v>
      </c>
      <c r="H146" s="525" t="s">
        <v>446</v>
      </c>
      <c r="I146" s="525" t="s">
        <v>927</v>
      </c>
      <c r="J146" s="525" t="s">
        <v>928</v>
      </c>
      <c r="K146" s="525" t="s">
        <v>929</v>
      </c>
      <c r="L146" s="528">
        <v>184.74</v>
      </c>
      <c r="M146" s="528">
        <v>184.74</v>
      </c>
      <c r="N146" s="525">
        <v>1</v>
      </c>
      <c r="O146" s="529">
        <v>0.5</v>
      </c>
      <c r="P146" s="528">
        <v>184.74</v>
      </c>
      <c r="Q146" s="530">
        <v>1</v>
      </c>
      <c r="R146" s="525">
        <v>1</v>
      </c>
      <c r="S146" s="530">
        <v>1</v>
      </c>
      <c r="T146" s="529">
        <v>0.5</v>
      </c>
      <c r="U146" s="531">
        <v>1</v>
      </c>
    </row>
    <row r="147" spans="1:21" ht="14.4" customHeight="1" x14ac:dyDescent="0.3">
      <c r="A147" s="524">
        <v>27</v>
      </c>
      <c r="B147" s="525" t="s">
        <v>451</v>
      </c>
      <c r="C147" s="525" t="s">
        <v>460</v>
      </c>
      <c r="D147" s="526" t="s">
        <v>1148</v>
      </c>
      <c r="E147" s="527" t="s">
        <v>469</v>
      </c>
      <c r="F147" s="525" t="s">
        <v>456</v>
      </c>
      <c r="G147" s="525" t="s">
        <v>520</v>
      </c>
      <c r="H147" s="525" t="s">
        <v>415</v>
      </c>
      <c r="I147" s="525" t="s">
        <v>570</v>
      </c>
      <c r="J147" s="525" t="s">
        <v>571</v>
      </c>
      <c r="K147" s="525" t="s">
        <v>572</v>
      </c>
      <c r="L147" s="528">
        <v>0</v>
      </c>
      <c r="M147" s="528">
        <v>0</v>
      </c>
      <c r="N147" s="525">
        <v>1</v>
      </c>
      <c r="O147" s="529">
        <v>0.5</v>
      </c>
      <c r="P147" s="528"/>
      <c r="Q147" s="530"/>
      <c r="R147" s="525"/>
      <c r="S147" s="530">
        <v>0</v>
      </c>
      <c r="T147" s="529"/>
      <c r="U147" s="531">
        <v>0</v>
      </c>
    </row>
    <row r="148" spans="1:21" ht="14.4" customHeight="1" x14ac:dyDescent="0.3">
      <c r="A148" s="524">
        <v>27</v>
      </c>
      <c r="B148" s="525" t="s">
        <v>451</v>
      </c>
      <c r="C148" s="525" t="s">
        <v>460</v>
      </c>
      <c r="D148" s="526" t="s">
        <v>1148</v>
      </c>
      <c r="E148" s="527" t="s">
        <v>469</v>
      </c>
      <c r="F148" s="525" t="s">
        <v>456</v>
      </c>
      <c r="G148" s="525" t="s">
        <v>520</v>
      </c>
      <c r="H148" s="525" t="s">
        <v>415</v>
      </c>
      <c r="I148" s="525" t="s">
        <v>930</v>
      </c>
      <c r="J148" s="525" t="s">
        <v>931</v>
      </c>
      <c r="K148" s="525" t="s">
        <v>523</v>
      </c>
      <c r="L148" s="528">
        <v>0</v>
      </c>
      <c r="M148" s="528">
        <v>0</v>
      </c>
      <c r="N148" s="525">
        <v>1</v>
      </c>
      <c r="O148" s="529">
        <v>1</v>
      </c>
      <c r="P148" s="528"/>
      <c r="Q148" s="530"/>
      <c r="R148" s="525"/>
      <c r="S148" s="530">
        <v>0</v>
      </c>
      <c r="T148" s="529"/>
      <c r="U148" s="531">
        <v>0</v>
      </c>
    </row>
    <row r="149" spans="1:21" ht="14.4" customHeight="1" x14ac:dyDescent="0.3">
      <c r="A149" s="524">
        <v>27</v>
      </c>
      <c r="B149" s="525" t="s">
        <v>451</v>
      </c>
      <c r="C149" s="525" t="s">
        <v>460</v>
      </c>
      <c r="D149" s="526" t="s">
        <v>1148</v>
      </c>
      <c r="E149" s="527" t="s">
        <v>469</v>
      </c>
      <c r="F149" s="525" t="s">
        <v>456</v>
      </c>
      <c r="G149" s="525" t="s">
        <v>520</v>
      </c>
      <c r="H149" s="525" t="s">
        <v>415</v>
      </c>
      <c r="I149" s="525" t="s">
        <v>932</v>
      </c>
      <c r="J149" s="525" t="s">
        <v>933</v>
      </c>
      <c r="K149" s="525" t="s">
        <v>607</v>
      </c>
      <c r="L149" s="528">
        <v>0</v>
      </c>
      <c r="M149" s="528">
        <v>0</v>
      </c>
      <c r="N149" s="525">
        <v>2</v>
      </c>
      <c r="O149" s="529">
        <v>1.5</v>
      </c>
      <c r="P149" s="528">
        <v>0</v>
      </c>
      <c r="Q149" s="530"/>
      <c r="R149" s="525">
        <v>2</v>
      </c>
      <c r="S149" s="530">
        <v>1</v>
      </c>
      <c r="T149" s="529">
        <v>1.5</v>
      </c>
      <c r="U149" s="531">
        <v>1</v>
      </c>
    </row>
    <row r="150" spans="1:21" ht="14.4" customHeight="1" x14ac:dyDescent="0.3">
      <c r="A150" s="524">
        <v>27</v>
      </c>
      <c r="B150" s="525" t="s">
        <v>451</v>
      </c>
      <c r="C150" s="525" t="s">
        <v>460</v>
      </c>
      <c r="D150" s="526" t="s">
        <v>1148</v>
      </c>
      <c r="E150" s="527" t="s">
        <v>469</v>
      </c>
      <c r="F150" s="525" t="s">
        <v>456</v>
      </c>
      <c r="G150" s="525" t="s">
        <v>934</v>
      </c>
      <c r="H150" s="525" t="s">
        <v>415</v>
      </c>
      <c r="I150" s="525" t="s">
        <v>935</v>
      </c>
      <c r="J150" s="525" t="s">
        <v>936</v>
      </c>
      <c r="K150" s="525" t="s">
        <v>937</v>
      </c>
      <c r="L150" s="528">
        <v>0</v>
      </c>
      <c r="M150" s="528">
        <v>0</v>
      </c>
      <c r="N150" s="525">
        <v>2</v>
      </c>
      <c r="O150" s="529">
        <v>1</v>
      </c>
      <c r="P150" s="528"/>
      <c r="Q150" s="530"/>
      <c r="R150" s="525"/>
      <c r="S150" s="530">
        <v>0</v>
      </c>
      <c r="T150" s="529"/>
      <c r="U150" s="531">
        <v>0</v>
      </c>
    </row>
    <row r="151" spans="1:21" ht="14.4" customHeight="1" x14ac:dyDescent="0.3">
      <c r="A151" s="524">
        <v>27</v>
      </c>
      <c r="B151" s="525" t="s">
        <v>451</v>
      </c>
      <c r="C151" s="525" t="s">
        <v>460</v>
      </c>
      <c r="D151" s="526" t="s">
        <v>1148</v>
      </c>
      <c r="E151" s="527" t="s">
        <v>469</v>
      </c>
      <c r="F151" s="525" t="s">
        <v>456</v>
      </c>
      <c r="G151" s="525" t="s">
        <v>934</v>
      </c>
      <c r="H151" s="525" t="s">
        <v>415</v>
      </c>
      <c r="I151" s="525" t="s">
        <v>938</v>
      </c>
      <c r="J151" s="525" t="s">
        <v>936</v>
      </c>
      <c r="K151" s="525" t="s">
        <v>939</v>
      </c>
      <c r="L151" s="528">
        <v>421.13</v>
      </c>
      <c r="M151" s="528">
        <v>421.13</v>
      </c>
      <c r="N151" s="525">
        <v>1</v>
      </c>
      <c r="O151" s="529">
        <v>0.5</v>
      </c>
      <c r="P151" s="528"/>
      <c r="Q151" s="530">
        <v>0</v>
      </c>
      <c r="R151" s="525"/>
      <c r="S151" s="530">
        <v>0</v>
      </c>
      <c r="T151" s="529"/>
      <c r="U151" s="531">
        <v>0</v>
      </c>
    </row>
    <row r="152" spans="1:21" ht="14.4" customHeight="1" x14ac:dyDescent="0.3">
      <c r="A152" s="524">
        <v>27</v>
      </c>
      <c r="B152" s="525" t="s">
        <v>451</v>
      </c>
      <c r="C152" s="525" t="s">
        <v>460</v>
      </c>
      <c r="D152" s="526" t="s">
        <v>1148</v>
      </c>
      <c r="E152" s="527" t="s">
        <v>469</v>
      </c>
      <c r="F152" s="525" t="s">
        <v>457</v>
      </c>
      <c r="G152" s="525" t="s">
        <v>940</v>
      </c>
      <c r="H152" s="525" t="s">
        <v>415</v>
      </c>
      <c r="I152" s="525" t="s">
        <v>941</v>
      </c>
      <c r="J152" s="525" t="s">
        <v>942</v>
      </c>
      <c r="K152" s="525" t="s">
        <v>943</v>
      </c>
      <c r="L152" s="528">
        <v>410</v>
      </c>
      <c r="M152" s="528">
        <v>410</v>
      </c>
      <c r="N152" s="525">
        <v>1</v>
      </c>
      <c r="O152" s="529">
        <v>1</v>
      </c>
      <c r="P152" s="528">
        <v>410</v>
      </c>
      <c r="Q152" s="530">
        <v>1</v>
      </c>
      <c r="R152" s="525">
        <v>1</v>
      </c>
      <c r="S152" s="530">
        <v>1</v>
      </c>
      <c r="T152" s="529">
        <v>1</v>
      </c>
      <c r="U152" s="531">
        <v>1</v>
      </c>
    </row>
    <row r="153" spans="1:21" ht="14.4" customHeight="1" x14ac:dyDescent="0.3">
      <c r="A153" s="524">
        <v>27</v>
      </c>
      <c r="B153" s="525" t="s">
        <v>451</v>
      </c>
      <c r="C153" s="525" t="s">
        <v>460</v>
      </c>
      <c r="D153" s="526" t="s">
        <v>1148</v>
      </c>
      <c r="E153" s="527" t="s">
        <v>469</v>
      </c>
      <c r="F153" s="525" t="s">
        <v>457</v>
      </c>
      <c r="G153" s="525" t="s">
        <v>940</v>
      </c>
      <c r="H153" s="525" t="s">
        <v>415</v>
      </c>
      <c r="I153" s="525" t="s">
        <v>944</v>
      </c>
      <c r="J153" s="525" t="s">
        <v>942</v>
      </c>
      <c r="K153" s="525" t="s">
        <v>945</v>
      </c>
      <c r="L153" s="528">
        <v>410</v>
      </c>
      <c r="M153" s="528">
        <v>410</v>
      </c>
      <c r="N153" s="525">
        <v>1</v>
      </c>
      <c r="O153" s="529">
        <v>1</v>
      </c>
      <c r="P153" s="528">
        <v>410</v>
      </c>
      <c r="Q153" s="530">
        <v>1</v>
      </c>
      <c r="R153" s="525">
        <v>1</v>
      </c>
      <c r="S153" s="530">
        <v>1</v>
      </c>
      <c r="T153" s="529">
        <v>1</v>
      </c>
      <c r="U153" s="531">
        <v>1</v>
      </c>
    </row>
    <row r="154" spans="1:21" ht="14.4" customHeight="1" x14ac:dyDescent="0.3">
      <c r="A154" s="524">
        <v>27</v>
      </c>
      <c r="B154" s="525" t="s">
        <v>451</v>
      </c>
      <c r="C154" s="525" t="s">
        <v>460</v>
      </c>
      <c r="D154" s="526" t="s">
        <v>1148</v>
      </c>
      <c r="E154" s="527" t="s">
        <v>469</v>
      </c>
      <c r="F154" s="525" t="s">
        <v>457</v>
      </c>
      <c r="G154" s="525" t="s">
        <v>940</v>
      </c>
      <c r="H154" s="525" t="s">
        <v>415</v>
      </c>
      <c r="I154" s="525" t="s">
        <v>946</v>
      </c>
      <c r="J154" s="525" t="s">
        <v>947</v>
      </c>
      <c r="K154" s="525" t="s">
        <v>948</v>
      </c>
      <c r="L154" s="528">
        <v>2000</v>
      </c>
      <c r="M154" s="528">
        <v>2000</v>
      </c>
      <c r="N154" s="525">
        <v>1</v>
      </c>
      <c r="O154" s="529">
        <v>1</v>
      </c>
      <c r="P154" s="528">
        <v>2000</v>
      </c>
      <c r="Q154" s="530">
        <v>1</v>
      </c>
      <c r="R154" s="525">
        <v>1</v>
      </c>
      <c r="S154" s="530">
        <v>1</v>
      </c>
      <c r="T154" s="529">
        <v>1</v>
      </c>
      <c r="U154" s="531">
        <v>1</v>
      </c>
    </row>
    <row r="155" spans="1:21" ht="14.4" customHeight="1" x14ac:dyDescent="0.3">
      <c r="A155" s="524">
        <v>27</v>
      </c>
      <c r="B155" s="525" t="s">
        <v>451</v>
      </c>
      <c r="C155" s="525" t="s">
        <v>460</v>
      </c>
      <c r="D155" s="526" t="s">
        <v>1148</v>
      </c>
      <c r="E155" s="527" t="s">
        <v>470</v>
      </c>
      <c r="F155" s="525" t="s">
        <v>456</v>
      </c>
      <c r="G155" s="525" t="s">
        <v>949</v>
      </c>
      <c r="H155" s="525" t="s">
        <v>415</v>
      </c>
      <c r="I155" s="525" t="s">
        <v>950</v>
      </c>
      <c r="J155" s="525" t="s">
        <v>951</v>
      </c>
      <c r="K155" s="525" t="s">
        <v>952</v>
      </c>
      <c r="L155" s="528">
        <v>0</v>
      </c>
      <c r="M155" s="528">
        <v>0</v>
      </c>
      <c r="N155" s="525">
        <v>1</v>
      </c>
      <c r="O155" s="529">
        <v>1</v>
      </c>
      <c r="P155" s="528">
        <v>0</v>
      </c>
      <c r="Q155" s="530"/>
      <c r="R155" s="525">
        <v>1</v>
      </c>
      <c r="S155" s="530">
        <v>1</v>
      </c>
      <c r="T155" s="529">
        <v>1</v>
      </c>
      <c r="U155" s="531">
        <v>1</v>
      </c>
    </row>
    <row r="156" spans="1:21" ht="14.4" customHeight="1" x14ac:dyDescent="0.3">
      <c r="A156" s="524">
        <v>27</v>
      </c>
      <c r="B156" s="525" t="s">
        <v>451</v>
      </c>
      <c r="C156" s="525" t="s">
        <v>460</v>
      </c>
      <c r="D156" s="526" t="s">
        <v>1148</v>
      </c>
      <c r="E156" s="527" t="s">
        <v>471</v>
      </c>
      <c r="F156" s="525" t="s">
        <v>456</v>
      </c>
      <c r="G156" s="525" t="s">
        <v>577</v>
      </c>
      <c r="H156" s="525" t="s">
        <v>415</v>
      </c>
      <c r="I156" s="525" t="s">
        <v>578</v>
      </c>
      <c r="J156" s="525" t="s">
        <v>579</v>
      </c>
      <c r="K156" s="525" t="s">
        <v>580</v>
      </c>
      <c r="L156" s="528">
        <v>35.11</v>
      </c>
      <c r="M156" s="528">
        <v>105.33</v>
      </c>
      <c r="N156" s="525">
        <v>3</v>
      </c>
      <c r="O156" s="529">
        <v>0.5</v>
      </c>
      <c r="P156" s="528"/>
      <c r="Q156" s="530">
        <v>0</v>
      </c>
      <c r="R156" s="525"/>
      <c r="S156" s="530">
        <v>0</v>
      </c>
      <c r="T156" s="529"/>
      <c r="U156" s="531">
        <v>0</v>
      </c>
    </row>
    <row r="157" spans="1:21" ht="14.4" customHeight="1" x14ac:dyDescent="0.3">
      <c r="A157" s="524">
        <v>27</v>
      </c>
      <c r="B157" s="525" t="s">
        <v>451</v>
      </c>
      <c r="C157" s="525" t="s">
        <v>460</v>
      </c>
      <c r="D157" s="526" t="s">
        <v>1148</v>
      </c>
      <c r="E157" s="527" t="s">
        <v>471</v>
      </c>
      <c r="F157" s="525" t="s">
        <v>456</v>
      </c>
      <c r="G157" s="525" t="s">
        <v>598</v>
      </c>
      <c r="H157" s="525" t="s">
        <v>446</v>
      </c>
      <c r="I157" s="525" t="s">
        <v>605</v>
      </c>
      <c r="J157" s="525" t="s">
        <v>606</v>
      </c>
      <c r="K157" s="525" t="s">
        <v>607</v>
      </c>
      <c r="L157" s="528">
        <v>196.21</v>
      </c>
      <c r="M157" s="528">
        <v>196.21</v>
      </c>
      <c r="N157" s="525">
        <v>1</v>
      </c>
      <c r="O157" s="529">
        <v>0.5</v>
      </c>
      <c r="P157" s="528"/>
      <c r="Q157" s="530">
        <v>0</v>
      </c>
      <c r="R157" s="525"/>
      <c r="S157" s="530">
        <v>0</v>
      </c>
      <c r="T157" s="529"/>
      <c r="U157" s="531">
        <v>0</v>
      </c>
    </row>
    <row r="158" spans="1:21" ht="14.4" customHeight="1" x14ac:dyDescent="0.3">
      <c r="A158" s="524">
        <v>27</v>
      </c>
      <c r="B158" s="525" t="s">
        <v>451</v>
      </c>
      <c r="C158" s="525" t="s">
        <v>460</v>
      </c>
      <c r="D158" s="526" t="s">
        <v>1148</v>
      </c>
      <c r="E158" s="527" t="s">
        <v>471</v>
      </c>
      <c r="F158" s="525" t="s">
        <v>456</v>
      </c>
      <c r="G158" s="525" t="s">
        <v>598</v>
      </c>
      <c r="H158" s="525" t="s">
        <v>446</v>
      </c>
      <c r="I158" s="525" t="s">
        <v>953</v>
      </c>
      <c r="J158" s="525" t="s">
        <v>954</v>
      </c>
      <c r="K158" s="525" t="s">
        <v>883</v>
      </c>
      <c r="L158" s="528">
        <v>117.73</v>
      </c>
      <c r="M158" s="528">
        <v>353.19</v>
      </c>
      <c r="N158" s="525">
        <v>3</v>
      </c>
      <c r="O158" s="529">
        <v>1</v>
      </c>
      <c r="P158" s="528">
        <v>353.19</v>
      </c>
      <c r="Q158" s="530">
        <v>1</v>
      </c>
      <c r="R158" s="525">
        <v>3</v>
      </c>
      <c r="S158" s="530">
        <v>1</v>
      </c>
      <c r="T158" s="529">
        <v>1</v>
      </c>
      <c r="U158" s="531">
        <v>1</v>
      </c>
    </row>
    <row r="159" spans="1:21" ht="14.4" customHeight="1" x14ac:dyDescent="0.3">
      <c r="A159" s="524">
        <v>27</v>
      </c>
      <c r="B159" s="525" t="s">
        <v>451</v>
      </c>
      <c r="C159" s="525" t="s">
        <v>460</v>
      </c>
      <c r="D159" s="526" t="s">
        <v>1148</v>
      </c>
      <c r="E159" s="527" t="s">
        <v>471</v>
      </c>
      <c r="F159" s="525" t="s">
        <v>456</v>
      </c>
      <c r="G159" s="525" t="s">
        <v>484</v>
      </c>
      <c r="H159" s="525" t="s">
        <v>415</v>
      </c>
      <c r="I159" s="525" t="s">
        <v>955</v>
      </c>
      <c r="J159" s="525" t="s">
        <v>486</v>
      </c>
      <c r="K159" s="525" t="s">
        <v>653</v>
      </c>
      <c r="L159" s="528">
        <v>0</v>
      </c>
      <c r="M159" s="528">
        <v>0</v>
      </c>
      <c r="N159" s="525">
        <v>1</v>
      </c>
      <c r="O159" s="529">
        <v>1</v>
      </c>
      <c r="P159" s="528">
        <v>0</v>
      </c>
      <c r="Q159" s="530"/>
      <c r="R159" s="525">
        <v>1</v>
      </c>
      <c r="S159" s="530">
        <v>1</v>
      </c>
      <c r="T159" s="529">
        <v>1</v>
      </c>
      <c r="U159" s="531">
        <v>1</v>
      </c>
    </row>
    <row r="160" spans="1:21" ht="14.4" customHeight="1" x14ac:dyDescent="0.3">
      <c r="A160" s="524">
        <v>27</v>
      </c>
      <c r="B160" s="525" t="s">
        <v>451</v>
      </c>
      <c r="C160" s="525" t="s">
        <v>460</v>
      </c>
      <c r="D160" s="526" t="s">
        <v>1148</v>
      </c>
      <c r="E160" s="527" t="s">
        <v>471</v>
      </c>
      <c r="F160" s="525" t="s">
        <v>456</v>
      </c>
      <c r="G160" s="525" t="s">
        <v>546</v>
      </c>
      <c r="H160" s="525" t="s">
        <v>415</v>
      </c>
      <c r="I160" s="525" t="s">
        <v>680</v>
      </c>
      <c r="J160" s="525" t="s">
        <v>548</v>
      </c>
      <c r="K160" s="525" t="s">
        <v>549</v>
      </c>
      <c r="L160" s="528">
        <v>107.27</v>
      </c>
      <c r="M160" s="528">
        <v>321.81</v>
      </c>
      <c r="N160" s="525">
        <v>3</v>
      </c>
      <c r="O160" s="529">
        <v>0.5</v>
      </c>
      <c r="P160" s="528"/>
      <c r="Q160" s="530">
        <v>0</v>
      </c>
      <c r="R160" s="525"/>
      <c r="S160" s="530">
        <v>0</v>
      </c>
      <c r="T160" s="529"/>
      <c r="U160" s="531">
        <v>0</v>
      </c>
    </row>
    <row r="161" spans="1:21" ht="14.4" customHeight="1" x14ac:dyDescent="0.3">
      <c r="A161" s="524">
        <v>27</v>
      </c>
      <c r="B161" s="525" t="s">
        <v>451</v>
      </c>
      <c r="C161" s="525" t="s">
        <v>460</v>
      </c>
      <c r="D161" s="526" t="s">
        <v>1148</v>
      </c>
      <c r="E161" s="527" t="s">
        <v>471</v>
      </c>
      <c r="F161" s="525" t="s">
        <v>456</v>
      </c>
      <c r="G161" s="525" t="s">
        <v>956</v>
      </c>
      <c r="H161" s="525" t="s">
        <v>415</v>
      </c>
      <c r="I161" s="525" t="s">
        <v>957</v>
      </c>
      <c r="J161" s="525" t="s">
        <v>958</v>
      </c>
      <c r="K161" s="525" t="s">
        <v>959</v>
      </c>
      <c r="L161" s="528">
        <v>126.59</v>
      </c>
      <c r="M161" s="528">
        <v>126.59</v>
      </c>
      <c r="N161" s="525">
        <v>1</v>
      </c>
      <c r="O161" s="529">
        <v>1</v>
      </c>
      <c r="P161" s="528">
        <v>126.59</v>
      </c>
      <c r="Q161" s="530">
        <v>1</v>
      </c>
      <c r="R161" s="525">
        <v>1</v>
      </c>
      <c r="S161" s="530">
        <v>1</v>
      </c>
      <c r="T161" s="529">
        <v>1</v>
      </c>
      <c r="U161" s="531">
        <v>1</v>
      </c>
    </row>
    <row r="162" spans="1:21" ht="14.4" customHeight="1" x14ac:dyDescent="0.3">
      <c r="A162" s="524">
        <v>27</v>
      </c>
      <c r="B162" s="525" t="s">
        <v>451</v>
      </c>
      <c r="C162" s="525" t="s">
        <v>460</v>
      </c>
      <c r="D162" s="526" t="s">
        <v>1148</v>
      </c>
      <c r="E162" s="527" t="s">
        <v>471</v>
      </c>
      <c r="F162" s="525" t="s">
        <v>456</v>
      </c>
      <c r="G162" s="525" t="s">
        <v>554</v>
      </c>
      <c r="H162" s="525" t="s">
        <v>415</v>
      </c>
      <c r="I162" s="525" t="s">
        <v>960</v>
      </c>
      <c r="J162" s="525" t="s">
        <v>732</v>
      </c>
      <c r="K162" s="525" t="s">
        <v>537</v>
      </c>
      <c r="L162" s="528">
        <v>0</v>
      </c>
      <c r="M162" s="528">
        <v>0</v>
      </c>
      <c r="N162" s="525">
        <v>3</v>
      </c>
      <c r="O162" s="529">
        <v>1</v>
      </c>
      <c r="P162" s="528">
        <v>0</v>
      </c>
      <c r="Q162" s="530"/>
      <c r="R162" s="525">
        <v>3</v>
      </c>
      <c r="S162" s="530">
        <v>1</v>
      </c>
      <c r="T162" s="529">
        <v>1</v>
      </c>
      <c r="U162" s="531">
        <v>1</v>
      </c>
    </row>
    <row r="163" spans="1:21" ht="14.4" customHeight="1" x14ac:dyDescent="0.3">
      <c r="A163" s="524">
        <v>27</v>
      </c>
      <c r="B163" s="525" t="s">
        <v>451</v>
      </c>
      <c r="C163" s="525" t="s">
        <v>460</v>
      </c>
      <c r="D163" s="526" t="s">
        <v>1148</v>
      </c>
      <c r="E163" s="527" t="s">
        <v>471</v>
      </c>
      <c r="F163" s="525" t="s">
        <v>456</v>
      </c>
      <c r="G163" s="525" t="s">
        <v>554</v>
      </c>
      <c r="H163" s="525" t="s">
        <v>415</v>
      </c>
      <c r="I163" s="525" t="s">
        <v>961</v>
      </c>
      <c r="J163" s="525" t="s">
        <v>556</v>
      </c>
      <c r="K163" s="525" t="s">
        <v>962</v>
      </c>
      <c r="L163" s="528">
        <v>52.75</v>
      </c>
      <c r="M163" s="528">
        <v>52.75</v>
      </c>
      <c r="N163" s="525">
        <v>1</v>
      </c>
      <c r="O163" s="529">
        <v>0.5</v>
      </c>
      <c r="P163" s="528"/>
      <c r="Q163" s="530">
        <v>0</v>
      </c>
      <c r="R163" s="525"/>
      <c r="S163" s="530">
        <v>0</v>
      </c>
      <c r="T163" s="529"/>
      <c r="U163" s="531">
        <v>0</v>
      </c>
    </row>
    <row r="164" spans="1:21" ht="14.4" customHeight="1" x14ac:dyDescent="0.3">
      <c r="A164" s="524">
        <v>27</v>
      </c>
      <c r="B164" s="525" t="s">
        <v>451</v>
      </c>
      <c r="C164" s="525" t="s">
        <v>460</v>
      </c>
      <c r="D164" s="526" t="s">
        <v>1148</v>
      </c>
      <c r="E164" s="527" t="s">
        <v>471</v>
      </c>
      <c r="F164" s="525" t="s">
        <v>456</v>
      </c>
      <c r="G164" s="525" t="s">
        <v>963</v>
      </c>
      <c r="H164" s="525" t="s">
        <v>415</v>
      </c>
      <c r="I164" s="525" t="s">
        <v>964</v>
      </c>
      <c r="J164" s="525" t="s">
        <v>965</v>
      </c>
      <c r="K164" s="525" t="s">
        <v>966</v>
      </c>
      <c r="L164" s="528">
        <v>146.84</v>
      </c>
      <c r="M164" s="528">
        <v>146.84</v>
      </c>
      <c r="N164" s="525">
        <v>1</v>
      </c>
      <c r="O164" s="529">
        <v>1</v>
      </c>
      <c r="P164" s="528"/>
      <c r="Q164" s="530">
        <v>0</v>
      </c>
      <c r="R164" s="525"/>
      <c r="S164" s="530">
        <v>0</v>
      </c>
      <c r="T164" s="529"/>
      <c r="U164" s="531">
        <v>0</v>
      </c>
    </row>
    <row r="165" spans="1:21" ht="14.4" customHeight="1" x14ac:dyDescent="0.3">
      <c r="A165" s="524">
        <v>27</v>
      </c>
      <c r="B165" s="525" t="s">
        <v>451</v>
      </c>
      <c r="C165" s="525" t="s">
        <v>460</v>
      </c>
      <c r="D165" s="526" t="s">
        <v>1148</v>
      </c>
      <c r="E165" s="527" t="s">
        <v>471</v>
      </c>
      <c r="F165" s="525" t="s">
        <v>456</v>
      </c>
      <c r="G165" s="525" t="s">
        <v>516</v>
      </c>
      <c r="H165" s="525" t="s">
        <v>446</v>
      </c>
      <c r="I165" s="525" t="s">
        <v>967</v>
      </c>
      <c r="J165" s="525" t="s">
        <v>518</v>
      </c>
      <c r="K165" s="525" t="s">
        <v>968</v>
      </c>
      <c r="L165" s="528">
        <v>102.93</v>
      </c>
      <c r="M165" s="528">
        <v>102.93</v>
      </c>
      <c r="N165" s="525">
        <v>1</v>
      </c>
      <c r="O165" s="529">
        <v>1</v>
      </c>
      <c r="P165" s="528">
        <v>102.93</v>
      </c>
      <c r="Q165" s="530">
        <v>1</v>
      </c>
      <c r="R165" s="525">
        <v>1</v>
      </c>
      <c r="S165" s="530">
        <v>1</v>
      </c>
      <c r="T165" s="529">
        <v>1</v>
      </c>
      <c r="U165" s="531">
        <v>1</v>
      </c>
    </row>
    <row r="166" spans="1:21" ht="14.4" customHeight="1" x14ac:dyDescent="0.3">
      <c r="A166" s="524">
        <v>27</v>
      </c>
      <c r="B166" s="525" t="s">
        <v>451</v>
      </c>
      <c r="C166" s="525" t="s">
        <v>460</v>
      </c>
      <c r="D166" s="526" t="s">
        <v>1148</v>
      </c>
      <c r="E166" s="527" t="s">
        <v>471</v>
      </c>
      <c r="F166" s="525" t="s">
        <v>456</v>
      </c>
      <c r="G166" s="525" t="s">
        <v>893</v>
      </c>
      <c r="H166" s="525" t="s">
        <v>415</v>
      </c>
      <c r="I166" s="525" t="s">
        <v>969</v>
      </c>
      <c r="J166" s="525" t="s">
        <v>970</v>
      </c>
      <c r="K166" s="525" t="s">
        <v>971</v>
      </c>
      <c r="L166" s="528">
        <v>0</v>
      </c>
      <c r="M166" s="528">
        <v>0</v>
      </c>
      <c r="N166" s="525">
        <v>2</v>
      </c>
      <c r="O166" s="529">
        <v>1</v>
      </c>
      <c r="P166" s="528">
        <v>0</v>
      </c>
      <c r="Q166" s="530"/>
      <c r="R166" s="525">
        <v>2</v>
      </c>
      <c r="S166" s="530">
        <v>1</v>
      </c>
      <c r="T166" s="529">
        <v>1</v>
      </c>
      <c r="U166" s="531">
        <v>1</v>
      </c>
    </row>
    <row r="167" spans="1:21" ht="14.4" customHeight="1" x14ac:dyDescent="0.3">
      <c r="A167" s="524">
        <v>27</v>
      </c>
      <c r="B167" s="525" t="s">
        <v>451</v>
      </c>
      <c r="C167" s="525" t="s">
        <v>460</v>
      </c>
      <c r="D167" s="526" t="s">
        <v>1148</v>
      </c>
      <c r="E167" s="527" t="s">
        <v>471</v>
      </c>
      <c r="F167" s="525" t="s">
        <v>456</v>
      </c>
      <c r="G167" s="525" t="s">
        <v>972</v>
      </c>
      <c r="H167" s="525" t="s">
        <v>415</v>
      </c>
      <c r="I167" s="525" t="s">
        <v>973</v>
      </c>
      <c r="J167" s="525" t="s">
        <v>974</v>
      </c>
      <c r="K167" s="525" t="s">
        <v>975</v>
      </c>
      <c r="L167" s="528">
        <v>0</v>
      </c>
      <c r="M167" s="528">
        <v>0</v>
      </c>
      <c r="N167" s="525">
        <v>2</v>
      </c>
      <c r="O167" s="529">
        <v>1</v>
      </c>
      <c r="P167" s="528"/>
      <c r="Q167" s="530"/>
      <c r="R167" s="525"/>
      <c r="S167" s="530">
        <v>0</v>
      </c>
      <c r="T167" s="529"/>
      <c r="U167" s="531">
        <v>0</v>
      </c>
    </row>
    <row r="168" spans="1:21" ht="14.4" customHeight="1" x14ac:dyDescent="0.3">
      <c r="A168" s="524">
        <v>27</v>
      </c>
      <c r="B168" s="525" t="s">
        <v>451</v>
      </c>
      <c r="C168" s="525" t="s">
        <v>460</v>
      </c>
      <c r="D168" s="526" t="s">
        <v>1148</v>
      </c>
      <c r="E168" s="527" t="s">
        <v>471</v>
      </c>
      <c r="F168" s="525" t="s">
        <v>456</v>
      </c>
      <c r="G168" s="525" t="s">
        <v>976</v>
      </c>
      <c r="H168" s="525" t="s">
        <v>415</v>
      </c>
      <c r="I168" s="525" t="s">
        <v>977</v>
      </c>
      <c r="J168" s="525" t="s">
        <v>978</v>
      </c>
      <c r="K168" s="525" t="s">
        <v>979</v>
      </c>
      <c r="L168" s="528">
        <v>0</v>
      </c>
      <c r="M168" s="528">
        <v>0</v>
      </c>
      <c r="N168" s="525">
        <v>1</v>
      </c>
      <c r="O168" s="529">
        <v>1</v>
      </c>
      <c r="P168" s="528">
        <v>0</v>
      </c>
      <c r="Q168" s="530"/>
      <c r="R168" s="525">
        <v>1</v>
      </c>
      <c r="S168" s="530">
        <v>1</v>
      </c>
      <c r="T168" s="529">
        <v>1</v>
      </c>
      <c r="U168" s="531">
        <v>1</v>
      </c>
    </row>
    <row r="169" spans="1:21" ht="14.4" customHeight="1" x14ac:dyDescent="0.3">
      <c r="A169" s="524">
        <v>27</v>
      </c>
      <c r="B169" s="525" t="s">
        <v>451</v>
      </c>
      <c r="C169" s="525" t="s">
        <v>460</v>
      </c>
      <c r="D169" s="526" t="s">
        <v>1148</v>
      </c>
      <c r="E169" s="527" t="s">
        <v>472</v>
      </c>
      <c r="F169" s="525" t="s">
        <v>456</v>
      </c>
      <c r="G169" s="525" t="s">
        <v>980</v>
      </c>
      <c r="H169" s="525" t="s">
        <v>415</v>
      </c>
      <c r="I169" s="525" t="s">
        <v>981</v>
      </c>
      <c r="J169" s="525" t="s">
        <v>982</v>
      </c>
      <c r="K169" s="525" t="s">
        <v>983</v>
      </c>
      <c r="L169" s="528">
        <v>450.81</v>
      </c>
      <c r="M169" s="528">
        <v>901.62</v>
      </c>
      <c r="N169" s="525">
        <v>2</v>
      </c>
      <c r="O169" s="529">
        <v>1</v>
      </c>
      <c r="P169" s="528"/>
      <c r="Q169" s="530">
        <v>0</v>
      </c>
      <c r="R169" s="525"/>
      <c r="S169" s="530">
        <v>0</v>
      </c>
      <c r="T169" s="529"/>
      <c r="U169" s="531">
        <v>0</v>
      </c>
    </row>
    <row r="170" spans="1:21" ht="14.4" customHeight="1" x14ac:dyDescent="0.3">
      <c r="A170" s="524">
        <v>27</v>
      </c>
      <c r="B170" s="525" t="s">
        <v>451</v>
      </c>
      <c r="C170" s="525" t="s">
        <v>460</v>
      </c>
      <c r="D170" s="526" t="s">
        <v>1148</v>
      </c>
      <c r="E170" s="527" t="s">
        <v>472</v>
      </c>
      <c r="F170" s="525" t="s">
        <v>456</v>
      </c>
      <c r="G170" s="525" t="s">
        <v>984</v>
      </c>
      <c r="H170" s="525" t="s">
        <v>415</v>
      </c>
      <c r="I170" s="525" t="s">
        <v>985</v>
      </c>
      <c r="J170" s="525" t="s">
        <v>986</v>
      </c>
      <c r="K170" s="525" t="s">
        <v>987</v>
      </c>
      <c r="L170" s="528">
        <v>39.17</v>
      </c>
      <c r="M170" s="528">
        <v>78.34</v>
      </c>
      <c r="N170" s="525">
        <v>2</v>
      </c>
      <c r="O170" s="529">
        <v>1</v>
      </c>
      <c r="P170" s="528"/>
      <c r="Q170" s="530">
        <v>0</v>
      </c>
      <c r="R170" s="525"/>
      <c r="S170" s="530">
        <v>0</v>
      </c>
      <c r="T170" s="529"/>
      <c r="U170" s="531">
        <v>0</v>
      </c>
    </row>
    <row r="171" spans="1:21" ht="14.4" customHeight="1" x14ac:dyDescent="0.3">
      <c r="A171" s="524">
        <v>27</v>
      </c>
      <c r="B171" s="525" t="s">
        <v>451</v>
      </c>
      <c r="C171" s="525" t="s">
        <v>460</v>
      </c>
      <c r="D171" s="526" t="s">
        <v>1148</v>
      </c>
      <c r="E171" s="527" t="s">
        <v>472</v>
      </c>
      <c r="F171" s="525" t="s">
        <v>456</v>
      </c>
      <c r="G171" s="525" t="s">
        <v>988</v>
      </c>
      <c r="H171" s="525" t="s">
        <v>446</v>
      </c>
      <c r="I171" s="525" t="s">
        <v>989</v>
      </c>
      <c r="J171" s="525" t="s">
        <v>990</v>
      </c>
      <c r="K171" s="525" t="s">
        <v>991</v>
      </c>
      <c r="L171" s="528">
        <v>556.04</v>
      </c>
      <c r="M171" s="528">
        <v>556.04</v>
      </c>
      <c r="N171" s="525">
        <v>1</v>
      </c>
      <c r="O171" s="529">
        <v>0.5</v>
      </c>
      <c r="P171" s="528">
        <v>556.04</v>
      </c>
      <c r="Q171" s="530">
        <v>1</v>
      </c>
      <c r="R171" s="525">
        <v>1</v>
      </c>
      <c r="S171" s="530">
        <v>1</v>
      </c>
      <c r="T171" s="529">
        <v>0.5</v>
      </c>
      <c r="U171" s="531">
        <v>1</v>
      </c>
    </row>
    <row r="172" spans="1:21" ht="14.4" customHeight="1" x14ac:dyDescent="0.3">
      <c r="A172" s="524">
        <v>27</v>
      </c>
      <c r="B172" s="525" t="s">
        <v>451</v>
      </c>
      <c r="C172" s="525" t="s">
        <v>460</v>
      </c>
      <c r="D172" s="526" t="s">
        <v>1148</v>
      </c>
      <c r="E172" s="527" t="s">
        <v>472</v>
      </c>
      <c r="F172" s="525" t="s">
        <v>456</v>
      </c>
      <c r="G172" s="525" t="s">
        <v>992</v>
      </c>
      <c r="H172" s="525" t="s">
        <v>446</v>
      </c>
      <c r="I172" s="525" t="s">
        <v>993</v>
      </c>
      <c r="J172" s="525" t="s">
        <v>994</v>
      </c>
      <c r="K172" s="525" t="s">
        <v>995</v>
      </c>
      <c r="L172" s="528">
        <v>46.25</v>
      </c>
      <c r="M172" s="528">
        <v>138.75</v>
      </c>
      <c r="N172" s="525">
        <v>3</v>
      </c>
      <c r="O172" s="529">
        <v>0.5</v>
      </c>
      <c r="P172" s="528">
        <v>138.75</v>
      </c>
      <c r="Q172" s="530">
        <v>1</v>
      </c>
      <c r="R172" s="525">
        <v>3</v>
      </c>
      <c r="S172" s="530">
        <v>1</v>
      </c>
      <c r="T172" s="529">
        <v>0.5</v>
      </c>
      <c r="U172" s="531">
        <v>1</v>
      </c>
    </row>
    <row r="173" spans="1:21" ht="14.4" customHeight="1" x14ac:dyDescent="0.3">
      <c r="A173" s="524">
        <v>27</v>
      </c>
      <c r="B173" s="525" t="s">
        <v>451</v>
      </c>
      <c r="C173" s="525" t="s">
        <v>460</v>
      </c>
      <c r="D173" s="526" t="s">
        <v>1148</v>
      </c>
      <c r="E173" s="527" t="s">
        <v>472</v>
      </c>
      <c r="F173" s="525" t="s">
        <v>456</v>
      </c>
      <c r="G173" s="525" t="s">
        <v>996</v>
      </c>
      <c r="H173" s="525" t="s">
        <v>415</v>
      </c>
      <c r="I173" s="525" t="s">
        <v>997</v>
      </c>
      <c r="J173" s="525" t="s">
        <v>998</v>
      </c>
      <c r="K173" s="525" t="s">
        <v>999</v>
      </c>
      <c r="L173" s="528">
        <v>0</v>
      </c>
      <c r="M173" s="528">
        <v>0</v>
      </c>
      <c r="N173" s="525">
        <v>1</v>
      </c>
      <c r="O173" s="529">
        <v>0.5</v>
      </c>
      <c r="P173" s="528">
        <v>0</v>
      </c>
      <c r="Q173" s="530"/>
      <c r="R173" s="525">
        <v>1</v>
      </c>
      <c r="S173" s="530">
        <v>1</v>
      </c>
      <c r="T173" s="529">
        <v>0.5</v>
      </c>
      <c r="U173" s="531">
        <v>1</v>
      </c>
    </row>
    <row r="174" spans="1:21" ht="14.4" customHeight="1" x14ac:dyDescent="0.3">
      <c r="A174" s="524">
        <v>27</v>
      </c>
      <c r="B174" s="525" t="s">
        <v>451</v>
      </c>
      <c r="C174" s="525" t="s">
        <v>460</v>
      </c>
      <c r="D174" s="526" t="s">
        <v>1148</v>
      </c>
      <c r="E174" s="527" t="s">
        <v>472</v>
      </c>
      <c r="F174" s="525" t="s">
        <v>456</v>
      </c>
      <c r="G174" s="525" t="s">
        <v>554</v>
      </c>
      <c r="H174" s="525" t="s">
        <v>415</v>
      </c>
      <c r="I174" s="525" t="s">
        <v>1000</v>
      </c>
      <c r="J174" s="525" t="s">
        <v>732</v>
      </c>
      <c r="K174" s="525" t="s">
        <v>1001</v>
      </c>
      <c r="L174" s="528">
        <v>0</v>
      </c>
      <c r="M174" s="528">
        <v>0</v>
      </c>
      <c r="N174" s="525">
        <v>2</v>
      </c>
      <c r="O174" s="529">
        <v>0.5</v>
      </c>
      <c r="P174" s="528">
        <v>0</v>
      </c>
      <c r="Q174" s="530"/>
      <c r="R174" s="525">
        <v>2</v>
      </c>
      <c r="S174" s="530">
        <v>1</v>
      </c>
      <c r="T174" s="529">
        <v>0.5</v>
      </c>
      <c r="U174" s="531">
        <v>1</v>
      </c>
    </row>
    <row r="175" spans="1:21" ht="14.4" customHeight="1" x14ac:dyDescent="0.3">
      <c r="A175" s="524">
        <v>27</v>
      </c>
      <c r="B175" s="525" t="s">
        <v>451</v>
      </c>
      <c r="C175" s="525" t="s">
        <v>460</v>
      </c>
      <c r="D175" s="526" t="s">
        <v>1148</v>
      </c>
      <c r="E175" s="527" t="s">
        <v>472</v>
      </c>
      <c r="F175" s="525" t="s">
        <v>456</v>
      </c>
      <c r="G175" s="525" t="s">
        <v>554</v>
      </c>
      <c r="H175" s="525" t="s">
        <v>415</v>
      </c>
      <c r="I175" s="525" t="s">
        <v>1002</v>
      </c>
      <c r="J175" s="525" t="s">
        <v>732</v>
      </c>
      <c r="K175" s="525" t="s">
        <v>582</v>
      </c>
      <c r="L175" s="528">
        <v>58.62</v>
      </c>
      <c r="M175" s="528">
        <v>58.62</v>
      </c>
      <c r="N175" s="525">
        <v>1</v>
      </c>
      <c r="O175" s="529">
        <v>0.5</v>
      </c>
      <c r="P175" s="528">
        <v>58.62</v>
      </c>
      <c r="Q175" s="530">
        <v>1</v>
      </c>
      <c r="R175" s="525">
        <v>1</v>
      </c>
      <c r="S175" s="530">
        <v>1</v>
      </c>
      <c r="T175" s="529">
        <v>0.5</v>
      </c>
      <c r="U175" s="531">
        <v>1</v>
      </c>
    </row>
    <row r="176" spans="1:21" ht="14.4" customHeight="1" x14ac:dyDescent="0.3">
      <c r="A176" s="524">
        <v>27</v>
      </c>
      <c r="B176" s="525" t="s">
        <v>451</v>
      </c>
      <c r="C176" s="525" t="s">
        <v>460</v>
      </c>
      <c r="D176" s="526" t="s">
        <v>1148</v>
      </c>
      <c r="E176" s="527" t="s">
        <v>472</v>
      </c>
      <c r="F176" s="525" t="s">
        <v>456</v>
      </c>
      <c r="G176" s="525" t="s">
        <v>1003</v>
      </c>
      <c r="H176" s="525" t="s">
        <v>415</v>
      </c>
      <c r="I176" s="525" t="s">
        <v>1004</v>
      </c>
      <c r="J176" s="525" t="s">
        <v>1005</v>
      </c>
      <c r="K176" s="525" t="s">
        <v>1006</v>
      </c>
      <c r="L176" s="528">
        <v>733.55</v>
      </c>
      <c r="M176" s="528">
        <v>2200.6499999999996</v>
      </c>
      <c r="N176" s="525">
        <v>3</v>
      </c>
      <c r="O176" s="529">
        <v>0.5</v>
      </c>
      <c r="P176" s="528"/>
      <c r="Q176" s="530">
        <v>0</v>
      </c>
      <c r="R176" s="525"/>
      <c r="S176" s="530">
        <v>0</v>
      </c>
      <c r="T176" s="529"/>
      <c r="U176" s="531">
        <v>0</v>
      </c>
    </row>
    <row r="177" spans="1:21" ht="14.4" customHeight="1" x14ac:dyDescent="0.3">
      <c r="A177" s="524">
        <v>27</v>
      </c>
      <c r="B177" s="525" t="s">
        <v>451</v>
      </c>
      <c r="C177" s="525" t="s">
        <v>460</v>
      </c>
      <c r="D177" s="526" t="s">
        <v>1148</v>
      </c>
      <c r="E177" s="527" t="s">
        <v>472</v>
      </c>
      <c r="F177" s="525" t="s">
        <v>456</v>
      </c>
      <c r="G177" s="525" t="s">
        <v>496</v>
      </c>
      <c r="H177" s="525" t="s">
        <v>415</v>
      </c>
      <c r="I177" s="525" t="s">
        <v>1007</v>
      </c>
      <c r="J177" s="525" t="s">
        <v>1008</v>
      </c>
      <c r="K177" s="525" t="s">
        <v>1009</v>
      </c>
      <c r="L177" s="528">
        <v>0</v>
      </c>
      <c r="M177" s="528">
        <v>0</v>
      </c>
      <c r="N177" s="525">
        <v>3</v>
      </c>
      <c r="O177" s="529">
        <v>0.5</v>
      </c>
      <c r="P177" s="528">
        <v>0</v>
      </c>
      <c r="Q177" s="530"/>
      <c r="R177" s="525">
        <v>3</v>
      </c>
      <c r="S177" s="530">
        <v>1</v>
      </c>
      <c r="T177" s="529">
        <v>0.5</v>
      </c>
      <c r="U177" s="531">
        <v>1</v>
      </c>
    </row>
    <row r="178" spans="1:21" ht="14.4" customHeight="1" x14ac:dyDescent="0.3">
      <c r="A178" s="524">
        <v>27</v>
      </c>
      <c r="B178" s="525" t="s">
        <v>451</v>
      </c>
      <c r="C178" s="525" t="s">
        <v>460</v>
      </c>
      <c r="D178" s="526" t="s">
        <v>1148</v>
      </c>
      <c r="E178" s="527" t="s">
        <v>472</v>
      </c>
      <c r="F178" s="525" t="s">
        <v>456</v>
      </c>
      <c r="G178" s="525" t="s">
        <v>558</v>
      </c>
      <c r="H178" s="525" t="s">
        <v>446</v>
      </c>
      <c r="I178" s="525" t="s">
        <v>1010</v>
      </c>
      <c r="J178" s="525" t="s">
        <v>1011</v>
      </c>
      <c r="K178" s="525" t="s">
        <v>1012</v>
      </c>
      <c r="L178" s="528">
        <v>468.68</v>
      </c>
      <c r="M178" s="528">
        <v>468.68</v>
      </c>
      <c r="N178" s="525">
        <v>1</v>
      </c>
      <c r="O178" s="529">
        <v>0.5</v>
      </c>
      <c r="P178" s="528">
        <v>468.68</v>
      </c>
      <c r="Q178" s="530">
        <v>1</v>
      </c>
      <c r="R178" s="525">
        <v>1</v>
      </c>
      <c r="S178" s="530">
        <v>1</v>
      </c>
      <c r="T178" s="529">
        <v>0.5</v>
      </c>
      <c r="U178" s="531">
        <v>1</v>
      </c>
    </row>
    <row r="179" spans="1:21" ht="14.4" customHeight="1" x14ac:dyDescent="0.3">
      <c r="A179" s="524">
        <v>27</v>
      </c>
      <c r="B179" s="525" t="s">
        <v>451</v>
      </c>
      <c r="C179" s="525" t="s">
        <v>460</v>
      </c>
      <c r="D179" s="526" t="s">
        <v>1148</v>
      </c>
      <c r="E179" s="527" t="s">
        <v>472</v>
      </c>
      <c r="F179" s="525" t="s">
        <v>456</v>
      </c>
      <c r="G179" s="525" t="s">
        <v>516</v>
      </c>
      <c r="H179" s="525" t="s">
        <v>446</v>
      </c>
      <c r="I179" s="525" t="s">
        <v>1013</v>
      </c>
      <c r="J179" s="525" t="s">
        <v>518</v>
      </c>
      <c r="K179" s="525" t="s">
        <v>1014</v>
      </c>
      <c r="L179" s="528">
        <v>0</v>
      </c>
      <c r="M179" s="528">
        <v>0</v>
      </c>
      <c r="N179" s="525">
        <v>2</v>
      </c>
      <c r="O179" s="529">
        <v>1</v>
      </c>
      <c r="P179" s="528"/>
      <c r="Q179" s="530"/>
      <c r="R179" s="525"/>
      <c r="S179" s="530">
        <v>0</v>
      </c>
      <c r="T179" s="529"/>
      <c r="U179" s="531">
        <v>0</v>
      </c>
    </row>
    <row r="180" spans="1:21" ht="14.4" customHeight="1" x14ac:dyDescent="0.3">
      <c r="A180" s="524">
        <v>27</v>
      </c>
      <c r="B180" s="525" t="s">
        <v>451</v>
      </c>
      <c r="C180" s="525" t="s">
        <v>460</v>
      </c>
      <c r="D180" s="526" t="s">
        <v>1148</v>
      </c>
      <c r="E180" s="527" t="s">
        <v>472</v>
      </c>
      <c r="F180" s="525" t="s">
        <v>456</v>
      </c>
      <c r="G180" s="525" t="s">
        <v>516</v>
      </c>
      <c r="H180" s="525" t="s">
        <v>446</v>
      </c>
      <c r="I180" s="525" t="s">
        <v>517</v>
      </c>
      <c r="J180" s="525" t="s">
        <v>518</v>
      </c>
      <c r="K180" s="525" t="s">
        <v>519</v>
      </c>
      <c r="L180" s="528">
        <v>150.59</v>
      </c>
      <c r="M180" s="528">
        <v>301.18</v>
      </c>
      <c r="N180" s="525">
        <v>2</v>
      </c>
      <c r="O180" s="529">
        <v>1</v>
      </c>
      <c r="P180" s="528">
        <v>301.18</v>
      </c>
      <c r="Q180" s="530">
        <v>1</v>
      </c>
      <c r="R180" s="525">
        <v>2</v>
      </c>
      <c r="S180" s="530">
        <v>1</v>
      </c>
      <c r="T180" s="529">
        <v>1</v>
      </c>
      <c r="U180" s="531">
        <v>1</v>
      </c>
    </row>
    <row r="181" spans="1:21" ht="14.4" customHeight="1" x14ac:dyDescent="0.3">
      <c r="A181" s="524">
        <v>27</v>
      </c>
      <c r="B181" s="525" t="s">
        <v>451</v>
      </c>
      <c r="C181" s="525" t="s">
        <v>460</v>
      </c>
      <c r="D181" s="526" t="s">
        <v>1148</v>
      </c>
      <c r="E181" s="527" t="s">
        <v>472</v>
      </c>
      <c r="F181" s="525" t="s">
        <v>456</v>
      </c>
      <c r="G181" s="525" t="s">
        <v>840</v>
      </c>
      <c r="H181" s="525" t="s">
        <v>446</v>
      </c>
      <c r="I181" s="525" t="s">
        <v>1015</v>
      </c>
      <c r="J181" s="525" t="s">
        <v>1016</v>
      </c>
      <c r="K181" s="525" t="s">
        <v>719</v>
      </c>
      <c r="L181" s="528">
        <v>704.73</v>
      </c>
      <c r="M181" s="528">
        <v>704.73</v>
      </c>
      <c r="N181" s="525">
        <v>1</v>
      </c>
      <c r="O181" s="529">
        <v>1</v>
      </c>
      <c r="P181" s="528">
        <v>704.73</v>
      </c>
      <c r="Q181" s="530">
        <v>1</v>
      </c>
      <c r="R181" s="525">
        <v>1</v>
      </c>
      <c r="S181" s="530">
        <v>1</v>
      </c>
      <c r="T181" s="529">
        <v>1</v>
      </c>
      <c r="U181" s="531">
        <v>1</v>
      </c>
    </row>
    <row r="182" spans="1:21" ht="14.4" customHeight="1" x14ac:dyDescent="0.3">
      <c r="A182" s="524">
        <v>27</v>
      </c>
      <c r="B182" s="525" t="s">
        <v>451</v>
      </c>
      <c r="C182" s="525" t="s">
        <v>460</v>
      </c>
      <c r="D182" s="526" t="s">
        <v>1148</v>
      </c>
      <c r="E182" s="527" t="s">
        <v>472</v>
      </c>
      <c r="F182" s="525" t="s">
        <v>456</v>
      </c>
      <c r="G182" s="525" t="s">
        <v>875</v>
      </c>
      <c r="H182" s="525" t="s">
        <v>446</v>
      </c>
      <c r="I182" s="525" t="s">
        <v>1017</v>
      </c>
      <c r="J182" s="525" t="s">
        <v>877</v>
      </c>
      <c r="K182" s="525" t="s">
        <v>883</v>
      </c>
      <c r="L182" s="528">
        <v>181.13</v>
      </c>
      <c r="M182" s="528">
        <v>543.39</v>
      </c>
      <c r="N182" s="525">
        <v>3</v>
      </c>
      <c r="O182" s="529">
        <v>0.5</v>
      </c>
      <c r="P182" s="528"/>
      <c r="Q182" s="530">
        <v>0</v>
      </c>
      <c r="R182" s="525"/>
      <c r="S182" s="530">
        <v>0</v>
      </c>
      <c r="T182" s="529"/>
      <c r="U182" s="531">
        <v>0</v>
      </c>
    </row>
    <row r="183" spans="1:21" ht="14.4" customHeight="1" x14ac:dyDescent="0.3">
      <c r="A183" s="524">
        <v>27</v>
      </c>
      <c r="B183" s="525" t="s">
        <v>451</v>
      </c>
      <c r="C183" s="525" t="s">
        <v>460</v>
      </c>
      <c r="D183" s="526" t="s">
        <v>1148</v>
      </c>
      <c r="E183" s="527" t="s">
        <v>472</v>
      </c>
      <c r="F183" s="525" t="s">
        <v>456</v>
      </c>
      <c r="G183" s="525" t="s">
        <v>875</v>
      </c>
      <c r="H183" s="525" t="s">
        <v>446</v>
      </c>
      <c r="I183" s="525" t="s">
        <v>876</v>
      </c>
      <c r="J183" s="525" t="s">
        <v>877</v>
      </c>
      <c r="K183" s="525" t="s">
        <v>604</v>
      </c>
      <c r="L183" s="528">
        <v>543.36</v>
      </c>
      <c r="M183" s="528">
        <v>1630.08</v>
      </c>
      <c r="N183" s="525">
        <v>3</v>
      </c>
      <c r="O183" s="529">
        <v>2</v>
      </c>
      <c r="P183" s="528">
        <v>1086.72</v>
      </c>
      <c r="Q183" s="530">
        <v>0.66666666666666674</v>
      </c>
      <c r="R183" s="525">
        <v>2</v>
      </c>
      <c r="S183" s="530">
        <v>0.66666666666666663</v>
      </c>
      <c r="T183" s="529">
        <v>1</v>
      </c>
      <c r="U183" s="531">
        <v>0.5</v>
      </c>
    </row>
    <row r="184" spans="1:21" ht="14.4" customHeight="1" x14ac:dyDescent="0.3">
      <c r="A184" s="524">
        <v>27</v>
      </c>
      <c r="B184" s="525" t="s">
        <v>451</v>
      </c>
      <c r="C184" s="525" t="s">
        <v>460</v>
      </c>
      <c r="D184" s="526" t="s">
        <v>1148</v>
      </c>
      <c r="E184" s="527" t="s">
        <v>472</v>
      </c>
      <c r="F184" s="525" t="s">
        <v>456</v>
      </c>
      <c r="G184" s="525" t="s">
        <v>562</v>
      </c>
      <c r="H184" s="525" t="s">
        <v>415</v>
      </c>
      <c r="I184" s="525" t="s">
        <v>563</v>
      </c>
      <c r="J184" s="525" t="s">
        <v>564</v>
      </c>
      <c r="K184" s="525" t="s">
        <v>565</v>
      </c>
      <c r="L184" s="528">
        <v>315.35000000000002</v>
      </c>
      <c r="M184" s="528">
        <v>315.35000000000002</v>
      </c>
      <c r="N184" s="525">
        <v>1</v>
      </c>
      <c r="O184" s="529">
        <v>0.5</v>
      </c>
      <c r="P184" s="528">
        <v>315.35000000000002</v>
      </c>
      <c r="Q184" s="530">
        <v>1</v>
      </c>
      <c r="R184" s="525">
        <v>1</v>
      </c>
      <c r="S184" s="530">
        <v>1</v>
      </c>
      <c r="T184" s="529">
        <v>0.5</v>
      </c>
      <c r="U184" s="531">
        <v>1</v>
      </c>
    </row>
    <row r="185" spans="1:21" ht="14.4" customHeight="1" x14ac:dyDescent="0.3">
      <c r="A185" s="524">
        <v>27</v>
      </c>
      <c r="B185" s="525" t="s">
        <v>451</v>
      </c>
      <c r="C185" s="525" t="s">
        <v>460</v>
      </c>
      <c r="D185" s="526" t="s">
        <v>1148</v>
      </c>
      <c r="E185" s="527" t="s">
        <v>472</v>
      </c>
      <c r="F185" s="525" t="s">
        <v>456</v>
      </c>
      <c r="G185" s="525" t="s">
        <v>1018</v>
      </c>
      <c r="H185" s="525" t="s">
        <v>446</v>
      </c>
      <c r="I185" s="525" t="s">
        <v>1019</v>
      </c>
      <c r="J185" s="525" t="s">
        <v>1020</v>
      </c>
      <c r="K185" s="525" t="s">
        <v>1021</v>
      </c>
      <c r="L185" s="528">
        <v>2669.75</v>
      </c>
      <c r="M185" s="528">
        <v>2669.75</v>
      </c>
      <c r="N185" s="525">
        <v>1</v>
      </c>
      <c r="O185" s="529">
        <v>1</v>
      </c>
      <c r="P185" s="528">
        <v>2669.75</v>
      </c>
      <c r="Q185" s="530">
        <v>1</v>
      </c>
      <c r="R185" s="525">
        <v>1</v>
      </c>
      <c r="S185" s="530">
        <v>1</v>
      </c>
      <c r="T185" s="529">
        <v>1</v>
      </c>
      <c r="U185" s="531">
        <v>1</v>
      </c>
    </row>
    <row r="186" spans="1:21" ht="14.4" customHeight="1" x14ac:dyDescent="0.3">
      <c r="A186" s="524">
        <v>27</v>
      </c>
      <c r="B186" s="525" t="s">
        <v>451</v>
      </c>
      <c r="C186" s="525" t="s">
        <v>460</v>
      </c>
      <c r="D186" s="526" t="s">
        <v>1148</v>
      </c>
      <c r="E186" s="527" t="s">
        <v>473</v>
      </c>
      <c r="F186" s="525" t="s">
        <v>456</v>
      </c>
      <c r="G186" s="525" t="s">
        <v>830</v>
      </c>
      <c r="H186" s="525" t="s">
        <v>446</v>
      </c>
      <c r="I186" s="525" t="s">
        <v>831</v>
      </c>
      <c r="J186" s="525" t="s">
        <v>832</v>
      </c>
      <c r="K186" s="525" t="s">
        <v>631</v>
      </c>
      <c r="L186" s="528">
        <v>48.27</v>
      </c>
      <c r="M186" s="528">
        <v>48.27</v>
      </c>
      <c r="N186" s="525">
        <v>1</v>
      </c>
      <c r="O186" s="529">
        <v>1</v>
      </c>
      <c r="P186" s="528">
        <v>48.27</v>
      </c>
      <c r="Q186" s="530">
        <v>1</v>
      </c>
      <c r="R186" s="525">
        <v>1</v>
      </c>
      <c r="S186" s="530">
        <v>1</v>
      </c>
      <c r="T186" s="529">
        <v>1</v>
      </c>
      <c r="U186" s="531">
        <v>1</v>
      </c>
    </row>
    <row r="187" spans="1:21" ht="14.4" customHeight="1" x14ac:dyDescent="0.3">
      <c r="A187" s="524">
        <v>27</v>
      </c>
      <c r="B187" s="525" t="s">
        <v>451</v>
      </c>
      <c r="C187" s="525" t="s">
        <v>460</v>
      </c>
      <c r="D187" s="526" t="s">
        <v>1148</v>
      </c>
      <c r="E187" s="527" t="s">
        <v>473</v>
      </c>
      <c r="F187" s="525" t="s">
        <v>456</v>
      </c>
      <c r="G187" s="525" t="s">
        <v>1022</v>
      </c>
      <c r="H187" s="525" t="s">
        <v>415</v>
      </c>
      <c r="I187" s="525" t="s">
        <v>1023</v>
      </c>
      <c r="J187" s="525" t="s">
        <v>1024</v>
      </c>
      <c r="K187" s="525" t="s">
        <v>1025</v>
      </c>
      <c r="L187" s="528">
        <v>108.44</v>
      </c>
      <c r="M187" s="528">
        <v>108.44</v>
      </c>
      <c r="N187" s="525">
        <v>1</v>
      </c>
      <c r="O187" s="529">
        <v>1</v>
      </c>
      <c r="P187" s="528">
        <v>108.44</v>
      </c>
      <c r="Q187" s="530">
        <v>1</v>
      </c>
      <c r="R187" s="525">
        <v>1</v>
      </c>
      <c r="S187" s="530">
        <v>1</v>
      </c>
      <c r="T187" s="529">
        <v>1</v>
      </c>
      <c r="U187" s="531">
        <v>1</v>
      </c>
    </row>
    <row r="188" spans="1:21" ht="14.4" customHeight="1" x14ac:dyDescent="0.3">
      <c r="A188" s="524">
        <v>27</v>
      </c>
      <c r="B188" s="525" t="s">
        <v>451</v>
      </c>
      <c r="C188" s="525" t="s">
        <v>460</v>
      </c>
      <c r="D188" s="526" t="s">
        <v>1148</v>
      </c>
      <c r="E188" s="527" t="s">
        <v>473</v>
      </c>
      <c r="F188" s="525" t="s">
        <v>456</v>
      </c>
      <c r="G188" s="525" t="s">
        <v>1026</v>
      </c>
      <c r="H188" s="525" t="s">
        <v>415</v>
      </c>
      <c r="I188" s="525" t="s">
        <v>1027</v>
      </c>
      <c r="J188" s="525" t="s">
        <v>1028</v>
      </c>
      <c r="K188" s="525" t="s">
        <v>1029</v>
      </c>
      <c r="L188" s="528">
        <v>87.42</v>
      </c>
      <c r="M188" s="528">
        <v>87.42</v>
      </c>
      <c r="N188" s="525">
        <v>1</v>
      </c>
      <c r="O188" s="529">
        <v>1</v>
      </c>
      <c r="P188" s="528">
        <v>87.42</v>
      </c>
      <c r="Q188" s="530">
        <v>1</v>
      </c>
      <c r="R188" s="525">
        <v>1</v>
      </c>
      <c r="S188" s="530">
        <v>1</v>
      </c>
      <c r="T188" s="529">
        <v>1</v>
      </c>
      <c r="U188" s="531">
        <v>1</v>
      </c>
    </row>
    <row r="189" spans="1:21" ht="14.4" customHeight="1" x14ac:dyDescent="0.3">
      <c r="A189" s="524">
        <v>27</v>
      </c>
      <c r="B189" s="525" t="s">
        <v>451</v>
      </c>
      <c r="C189" s="525" t="s">
        <v>460</v>
      </c>
      <c r="D189" s="526" t="s">
        <v>1148</v>
      </c>
      <c r="E189" s="527" t="s">
        <v>474</v>
      </c>
      <c r="F189" s="525" t="s">
        <v>456</v>
      </c>
      <c r="G189" s="525" t="s">
        <v>1030</v>
      </c>
      <c r="H189" s="525" t="s">
        <v>415</v>
      </c>
      <c r="I189" s="525" t="s">
        <v>1031</v>
      </c>
      <c r="J189" s="525" t="s">
        <v>1032</v>
      </c>
      <c r="K189" s="525" t="s">
        <v>1033</v>
      </c>
      <c r="L189" s="528">
        <v>0</v>
      </c>
      <c r="M189" s="528">
        <v>0</v>
      </c>
      <c r="N189" s="525">
        <v>1</v>
      </c>
      <c r="O189" s="529">
        <v>0.5</v>
      </c>
      <c r="P189" s="528"/>
      <c r="Q189" s="530"/>
      <c r="R189" s="525"/>
      <c r="S189" s="530">
        <v>0</v>
      </c>
      <c r="T189" s="529"/>
      <c r="U189" s="531">
        <v>0</v>
      </c>
    </row>
    <row r="190" spans="1:21" ht="14.4" customHeight="1" x14ac:dyDescent="0.3">
      <c r="A190" s="524">
        <v>27</v>
      </c>
      <c r="B190" s="525" t="s">
        <v>451</v>
      </c>
      <c r="C190" s="525" t="s">
        <v>460</v>
      </c>
      <c r="D190" s="526" t="s">
        <v>1148</v>
      </c>
      <c r="E190" s="527" t="s">
        <v>474</v>
      </c>
      <c r="F190" s="525" t="s">
        <v>456</v>
      </c>
      <c r="G190" s="525" t="s">
        <v>566</v>
      </c>
      <c r="H190" s="525" t="s">
        <v>415</v>
      </c>
      <c r="I190" s="525" t="s">
        <v>567</v>
      </c>
      <c r="J190" s="525" t="s">
        <v>568</v>
      </c>
      <c r="K190" s="525" t="s">
        <v>569</v>
      </c>
      <c r="L190" s="528">
        <v>98.75</v>
      </c>
      <c r="M190" s="528">
        <v>98.75</v>
      </c>
      <c r="N190" s="525">
        <v>1</v>
      </c>
      <c r="O190" s="529">
        <v>1</v>
      </c>
      <c r="P190" s="528"/>
      <c r="Q190" s="530">
        <v>0</v>
      </c>
      <c r="R190" s="525"/>
      <c r="S190" s="530">
        <v>0</v>
      </c>
      <c r="T190" s="529"/>
      <c r="U190" s="531">
        <v>0</v>
      </c>
    </row>
    <row r="191" spans="1:21" ht="14.4" customHeight="1" x14ac:dyDescent="0.3">
      <c r="A191" s="524">
        <v>27</v>
      </c>
      <c r="B191" s="525" t="s">
        <v>451</v>
      </c>
      <c r="C191" s="525" t="s">
        <v>460</v>
      </c>
      <c r="D191" s="526" t="s">
        <v>1148</v>
      </c>
      <c r="E191" s="527" t="s">
        <v>474</v>
      </c>
      <c r="F191" s="525" t="s">
        <v>456</v>
      </c>
      <c r="G191" s="525" t="s">
        <v>956</v>
      </c>
      <c r="H191" s="525" t="s">
        <v>415</v>
      </c>
      <c r="I191" s="525" t="s">
        <v>957</v>
      </c>
      <c r="J191" s="525" t="s">
        <v>958</v>
      </c>
      <c r="K191" s="525" t="s">
        <v>959</v>
      </c>
      <c r="L191" s="528">
        <v>126.59</v>
      </c>
      <c r="M191" s="528">
        <v>126.59</v>
      </c>
      <c r="N191" s="525">
        <v>1</v>
      </c>
      <c r="O191" s="529">
        <v>0.5</v>
      </c>
      <c r="P191" s="528"/>
      <c r="Q191" s="530">
        <v>0</v>
      </c>
      <c r="R191" s="525"/>
      <c r="S191" s="530">
        <v>0</v>
      </c>
      <c r="T191" s="529"/>
      <c r="U191" s="531">
        <v>0</v>
      </c>
    </row>
    <row r="192" spans="1:21" ht="14.4" customHeight="1" x14ac:dyDescent="0.3">
      <c r="A192" s="524">
        <v>27</v>
      </c>
      <c r="B192" s="525" t="s">
        <v>451</v>
      </c>
      <c r="C192" s="525" t="s">
        <v>460</v>
      </c>
      <c r="D192" s="526" t="s">
        <v>1148</v>
      </c>
      <c r="E192" s="527" t="s">
        <v>474</v>
      </c>
      <c r="F192" s="525" t="s">
        <v>456</v>
      </c>
      <c r="G192" s="525" t="s">
        <v>1034</v>
      </c>
      <c r="H192" s="525" t="s">
        <v>415</v>
      </c>
      <c r="I192" s="525" t="s">
        <v>1035</v>
      </c>
      <c r="J192" s="525" t="s">
        <v>1036</v>
      </c>
      <c r="K192" s="525" t="s">
        <v>1037</v>
      </c>
      <c r="L192" s="528">
        <v>0</v>
      </c>
      <c r="M192" s="528">
        <v>0</v>
      </c>
      <c r="N192" s="525">
        <v>1</v>
      </c>
      <c r="O192" s="529">
        <v>1</v>
      </c>
      <c r="P192" s="528">
        <v>0</v>
      </c>
      <c r="Q192" s="530"/>
      <c r="R192" s="525">
        <v>1</v>
      </c>
      <c r="S192" s="530">
        <v>1</v>
      </c>
      <c r="T192" s="529">
        <v>1</v>
      </c>
      <c r="U192" s="531">
        <v>1</v>
      </c>
    </row>
    <row r="193" spans="1:21" ht="14.4" customHeight="1" x14ac:dyDescent="0.3">
      <c r="A193" s="524">
        <v>27</v>
      </c>
      <c r="B193" s="525" t="s">
        <v>451</v>
      </c>
      <c r="C193" s="525" t="s">
        <v>460</v>
      </c>
      <c r="D193" s="526" t="s">
        <v>1148</v>
      </c>
      <c r="E193" s="527" t="s">
        <v>475</v>
      </c>
      <c r="F193" s="525" t="s">
        <v>456</v>
      </c>
      <c r="G193" s="525" t="s">
        <v>1038</v>
      </c>
      <c r="H193" s="525" t="s">
        <v>415</v>
      </c>
      <c r="I193" s="525" t="s">
        <v>1039</v>
      </c>
      <c r="J193" s="525" t="s">
        <v>1040</v>
      </c>
      <c r="K193" s="525" t="s">
        <v>569</v>
      </c>
      <c r="L193" s="528">
        <v>0</v>
      </c>
      <c r="M193" s="528">
        <v>0</v>
      </c>
      <c r="N193" s="525">
        <v>1</v>
      </c>
      <c r="O193" s="529">
        <v>1</v>
      </c>
      <c r="P193" s="528"/>
      <c r="Q193" s="530"/>
      <c r="R193" s="525"/>
      <c r="S193" s="530">
        <v>0</v>
      </c>
      <c r="T193" s="529"/>
      <c r="U193" s="531">
        <v>0</v>
      </c>
    </row>
    <row r="194" spans="1:21" ht="14.4" customHeight="1" x14ac:dyDescent="0.3">
      <c r="A194" s="524">
        <v>27</v>
      </c>
      <c r="B194" s="525" t="s">
        <v>451</v>
      </c>
      <c r="C194" s="525" t="s">
        <v>460</v>
      </c>
      <c r="D194" s="526" t="s">
        <v>1148</v>
      </c>
      <c r="E194" s="527" t="s">
        <v>475</v>
      </c>
      <c r="F194" s="525" t="s">
        <v>456</v>
      </c>
      <c r="G194" s="525" t="s">
        <v>1041</v>
      </c>
      <c r="H194" s="525" t="s">
        <v>415</v>
      </c>
      <c r="I194" s="525" t="s">
        <v>1042</v>
      </c>
      <c r="J194" s="525" t="s">
        <v>1043</v>
      </c>
      <c r="K194" s="525" t="s">
        <v>1044</v>
      </c>
      <c r="L194" s="528">
        <v>0</v>
      </c>
      <c r="M194" s="528">
        <v>0</v>
      </c>
      <c r="N194" s="525">
        <v>1</v>
      </c>
      <c r="O194" s="529">
        <v>1</v>
      </c>
      <c r="P194" s="528"/>
      <c r="Q194" s="530"/>
      <c r="R194" s="525"/>
      <c r="S194" s="530">
        <v>0</v>
      </c>
      <c r="T194" s="529"/>
      <c r="U194" s="531">
        <v>0</v>
      </c>
    </row>
    <row r="195" spans="1:21" ht="14.4" customHeight="1" x14ac:dyDescent="0.3">
      <c r="A195" s="524">
        <v>27</v>
      </c>
      <c r="B195" s="525" t="s">
        <v>451</v>
      </c>
      <c r="C195" s="525" t="s">
        <v>462</v>
      </c>
      <c r="D195" s="526" t="s">
        <v>1149</v>
      </c>
      <c r="E195" s="527" t="s">
        <v>469</v>
      </c>
      <c r="F195" s="525" t="s">
        <v>456</v>
      </c>
      <c r="G195" s="525" t="s">
        <v>476</v>
      </c>
      <c r="H195" s="525" t="s">
        <v>415</v>
      </c>
      <c r="I195" s="525" t="s">
        <v>581</v>
      </c>
      <c r="J195" s="525" t="s">
        <v>478</v>
      </c>
      <c r="K195" s="525" t="s">
        <v>582</v>
      </c>
      <c r="L195" s="528">
        <v>72.55</v>
      </c>
      <c r="M195" s="528">
        <v>72.55</v>
      </c>
      <c r="N195" s="525">
        <v>1</v>
      </c>
      <c r="O195" s="529">
        <v>1</v>
      </c>
      <c r="P195" s="528"/>
      <c r="Q195" s="530">
        <v>0</v>
      </c>
      <c r="R195" s="525"/>
      <c r="S195" s="530">
        <v>0</v>
      </c>
      <c r="T195" s="529"/>
      <c r="U195" s="531">
        <v>0</v>
      </c>
    </row>
    <row r="196" spans="1:21" ht="14.4" customHeight="1" x14ac:dyDescent="0.3">
      <c r="A196" s="524">
        <v>27</v>
      </c>
      <c r="B196" s="525" t="s">
        <v>451</v>
      </c>
      <c r="C196" s="525" t="s">
        <v>462</v>
      </c>
      <c r="D196" s="526" t="s">
        <v>1149</v>
      </c>
      <c r="E196" s="527" t="s">
        <v>469</v>
      </c>
      <c r="F196" s="525" t="s">
        <v>456</v>
      </c>
      <c r="G196" s="525" t="s">
        <v>554</v>
      </c>
      <c r="H196" s="525" t="s">
        <v>415</v>
      </c>
      <c r="I196" s="525" t="s">
        <v>731</v>
      </c>
      <c r="J196" s="525" t="s">
        <v>732</v>
      </c>
      <c r="K196" s="525" t="s">
        <v>733</v>
      </c>
      <c r="L196" s="528">
        <v>0</v>
      </c>
      <c r="M196" s="528">
        <v>0</v>
      </c>
      <c r="N196" s="525">
        <v>2</v>
      </c>
      <c r="O196" s="529">
        <v>0.5</v>
      </c>
      <c r="P196" s="528"/>
      <c r="Q196" s="530"/>
      <c r="R196" s="525"/>
      <c r="S196" s="530">
        <v>0</v>
      </c>
      <c r="T196" s="529"/>
      <c r="U196" s="531">
        <v>0</v>
      </c>
    </row>
    <row r="197" spans="1:21" ht="14.4" customHeight="1" x14ac:dyDescent="0.3">
      <c r="A197" s="524">
        <v>27</v>
      </c>
      <c r="B197" s="525" t="s">
        <v>451</v>
      </c>
      <c r="C197" s="525" t="s">
        <v>462</v>
      </c>
      <c r="D197" s="526" t="s">
        <v>1149</v>
      </c>
      <c r="E197" s="527" t="s">
        <v>469</v>
      </c>
      <c r="F197" s="525" t="s">
        <v>456</v>
      </c>
      <c r="G197" s="525" t="s">
        <v>787</v>
      </c>
      <c r="H197" s="525" t="s">
        <v>415</v>
      </c>
      <c r="I197" s="525" t="s">
        <v>1045</v>
      </c>
      <c r="J197" s="525" t="s">
        <v>1046</v>
      </c>
      <c r="K197" s="525" t="s">
        <v>1047</v>
      </c>
      <c r="L197" s="528">
        <v>35.11</v>
      </c>
      <c r="M197" s="528">
        <v>70.22</v>
      </c>
      <c r="N197" s="525">
        <v>2</v>
      </c>
      <c r="O197" s="529">
        <v>0.5</v>
      </c>
      <c r="P197" s="528"/>
      <c r="Q197" s="530">
        <v>0</v>
      </c>
      <c r="R197" s="525"/>
      <c r="S197" s="530">
        <v>0</v>
      </c>
      <c r="T197" s="529"/>
      <c r="U197" s="531">
        <v>0</v>
      </c>
    </row>
    <row r="198" spans="1:21" ht="14.4" customHeight="1" x14ac:dyDescent="0.3">
      <c r="A198" s="524">
        <v>27</v>
      </c>
      <c r="B198" s="525" t="s">
        <v>451</v>
      </c>
      <c r="C198" s="525" t="s">
        <v>462</v>
      </c>
      <c r="D198" s="526" t="s">
        <v>1149</v>
      </c>
      <c r="E198" s="527" t="s">
        <v>469</v>
      </c>
      <c r="F198" s="525" t="s">
        <v>456</v>
      </c>
      <c r="G198" s="525" t="s">
        <v>787</v>
      </c>
      <c r="H198" s="525" t="s">
        <v>415</v>
      </c>
      <c r="I198" s="525" t="s">
        <v>1048</v>
      </c>
      <c r="J198" s="525" t="s">
        <v>1049</v>
      </c>
      <c r="K198" s="525" t="s">
        <v>1050</v>
      </c>
      <c r="L198" s="528">
        <v>58.52</v>
      </c>
      <c r="M198" s="528">
        <v>117.04</v>
      </c>
      <c r="N198" s="525">
        <v>2</v>
      </c>
      <c r="O198" s="529">
        <v>0.5</v>
      </c>
      <c r="P198" s="528"/>
      <c r="Q198" s="530">
        <v>0</v>
      </c>
      <c r="R198" s="525"/>
      <c r="S198" s="530">
        <v>0</v>
      </c>
      <c r="T198" s="529"/>
      <c r="U198" s="531">
        <v>0</v>
      </c>
    </row>
    <row r="199" spans="1:21" ht="14.4" customHeight="1" x14ac:dyDescent="0.3">
      <c r="A199" s="524">
        <v>27</v>
      </c>
      <c r="B199" s="525" t="s">
        <v>451</v>
      </c>
      <c r="C199" s="525" t="s">
        <v>462</v>
      </c>
      <c r="D199" s="526" t="s">
        <v>1149</v>
      </c>
      <c r="E199" s="527" t="s">
        <v>469</v>
      </c>
      <c r="F199" s="525" t="s">
        <v>456</v>
      </c>
      <c r="G199" s="525" t="s">
        <v>875</v>
      </c>
      <c r="H199" s="525" t="s">
        <v>446</v>
      </c>
      <c r="I199" s="525" t="s">
        <v>1017</v>
      </c>
      <c r="J199" s="525" t="s">
        <v>877</v>
      </c>
      <c r="K199" s="525" t="s">
        <v>883</v>
      </c>
      <c r="L199" s="528">
        <v>181.13</v>
      </c>
      <c r="M199" s="528">
        <v>181.13</v>
      </c>
      <c r="N199" s="525">
        <v>1</v>
      </c>
      <c r="O199" s="529">
        <v>0.5</v>
      </c>
      <c r="P199" s="528"/>
      <c r="Q199" s="530">
        <v>0</v>
      </c>
      <c r="R199" s="525"/>
      <c r="S199" s="530">
        <v>0</v>
      </c>
      <c r="T199" s="529"/>
      <c r="U199" s="531">
        <v>0</v>
      </c>
    </row>
    <row r="200" spans="1:21" ht="14.4" customHeight="1" x14ac:dyDescent="0.3">
      <c r="A200" s="524">
        <v>27</v>
      </c>
      <c r="B200" s="525" t="s">
        <v>451</v>
      </c>
      <c r="C200" s="525" t="s">
        <v>462</v>
      </c>
      <c r="D200" s="526" t="s">
        <v>1149</v>
      </c>
      <c r="E200" s="527" t="s">
        <v>469</v>
      </c>
      <c r="F200" s="525" t="s">
        <v>456</v>
      </c>
      <c r="G200" s="525" t="s">
        <v>875</v>
      </c>
      <c r="H200" s="525" t="s">
        <v>446</v>
      </c>
      <c r="I200" s="525" t="s">
        <v>876</v>
      </c>
      <c r="J200" s="525" t="s">
        <v>877</v>
      </c>
      <c r="K200" s="525" t="s">
        <v>604</v>
      </c>
      <c r="L200" s="528">
        <v>543.36</v>
      </c>
      <c r="M200" s="528">
        <v>543.36</v>
      </c>
      <c r="N200" s="525">
        <v>1</v>
      </c>
      <c r="O200" s="529">
        <v>0.5</v>
      </c>
      <c r="P200" s="528"/>
      <c r="Q200" s="530">
        <v>0</v>
      </c>
      <c r="R200" s="525"/>
      <c r="S200" s="530">
        <v>0</v>
      </c>
      <c r="T200" s="529"/>
      <c r="U200" s="531">
        <v>0</v>
      </c>
    </row>
    <row r="201" spans="1:21" ht="14.4" customHeight="1" x14ac:dyDescent="0.3">
      <c r="A201" s="524">
        <v>27</v>
      </c>
      <c r="B201" s="525" t="s">
        <v>451</v>
      </c>
      <c r="C201" s="525" t="s">
        <v>462</v>
      </c>
      <c r="D201" s="526" t="s">
        <v>1149</v>
      </c>
      <c r="E201" s="527" t="s">
        <v>469</v>
      </c>
      <c r="F201" s="525" t="s">
        <v>456</v>
      </c>
      <c r="G201" s="525" t="s">
        <v>884</v>
      </c>
      <c r="H201" s="525" t="s">
        <v>415</v>
      </c>
      <c r="I201" s="525" t="s">
        <v>888</v>
      </c>
      <c r="J201" s="525" t="s">
        <v>886</v>
      </c>
      <c r="K201" s="525" t="s">
        <v>684</v>
      </c>
      <c r="L201" s="528">
        <v>42.08</v>
      </c>
      <c r="M201" s="528">
        <v>126.24</v>
      </c>
      <c r="N201" s="525">
        <v>3</v>
      </c>
      <c r="O201" s="529">
        <v>1</v>
      </c>
      <c r="P201" s="528">
        <v>126.24</v>
      </c>
      <c r="Q201" s="530">
        <v>1</v>
      </c>
      <c r="R201" s="525">
        <v>3</v>
      </c>
      <c r="S201" s="530">
        <v>1</v>
      </c>
      <c r="T201" s="529">
        <v>1</v>
      </c>
      <c r="U201" s="531">
        <v>1</v>
      </c>
    </row>
    <row r="202" spans="1:21" ht="14.4" customHeight="1" x14ac:dyDescent="0.3">
      <c r="A202" s="524">
        <v>27</v>
      </c>
      <c r="B202" s="525" t="s">
        <v>451</v>
      </c>
      <c r="C202" s="525" t="s">
        <v>462</v>
      </c>
      <c r="D202" s="526" t="s">
        <v>1149</v>
      </c>
      <c r="E202" s="527" t="s">
        <v>469</v>
      </c>
      <c r="F202" s="525" t="s">
        <v>456</v>
      </c>
      <c r="G202" s="525" t="s">
        <v>1051</v>
      </c>
      <c r="H202" s="525" t="s">
        <v>415</v>
      </c>
      <c r="I202" s="525" t="s">
        <v>1052</v>
      </c>
      <c r="J202" s="525" t="s">
        <v>1053</v>
      </c>
      <c r="K202" s="525" t="s">
        <v>1054</v>
      </c>
      <c r="L202" s="528">
        <v>0</v>
      </c>
      <c r="M202" s="528">
        <v>0</v>
      </c>
      <c r="N202" s="525">
        <v>1</v>
      </c>
      <c r="O202" s="529">
        <v>0.5</v>
      </c>
      <c r="P202" s="528"/>
      <c r="Q202" s="530"/>
      <c r="R202" s="525"/>
      <c r="S202" s="530">
        <v>0</v>
      </c>
      <c r="T202" s="529"/>
      <c r="U202" s="531">
        <v>0</v>
      </c>
    </row>
    <row r="203" spans="1:21" ht="14.4" customHeight="1" x14ac:dyDescent="0.3">
      <c r="A203" s="524">
        <v>27</v>
      </c>
      <c r="B203" s="525" t="s">
        <v>451</v>
      </c>
      <c r="C203" s="525" t="s">
        <v>462</v>
      </c>
      <c r="D203" s="526" t="s">
        <v>1149</v>
      </c>
      <c r="E203" s="527" t="s">
        <v>469</v>
      </c>
      <c r="F203" s="525" t="s">
        <v>456</v>
      </c>
      <c r="G203" s="525" t="s">
        <v>1055</v>
      </c>
      <c r="H203" s="525" t="s">
        <v>415</v>
      </c>
      <c r="I203" s="525" t="s">
        <v>1056</v>
      </c>
      <c r="J203" s="525" t="s">
        <v>1057</v>
      </c>
      <c r="K203" s="525" t="s">
        <v>1058</v>
      </c>
      <c r="L203" s="528">
        <v>150.19</v>
      </c>
      <c r="M203" s="528">
        <v>450.57</v>
      </c>
      <c r="N203" s="525">
        <v>3</v>
      </c>
      <c r="O203" s="529">
        <v>0.5</v>
      </c>
      <c r="P203" s="528"/>
      <c r="Q203" s="530">
        <v>0</v>
      </c>
      <c r="R203" s="525"/>
      <c r="S203" s="530">
        <v>0</v>
      </c>
      <c r="T203" s="529"/>
      <c r="U203" s="531">
        <v>0</v>
      </c>
    </row>
    <row r="204" spans="1:21" ht="14.4" customHeight="1" x14ac:dyDescent="0.3">
      <c r="A204" s="524">
        <v>27</v>
      </c>
      <c r="B204" s="525" t="s">
        <v>451</v>
      </c>
      <c r="C204" s="525" t="s">
        <v>462</v>
      </c>
      <c r="D204" s="526" t="s">
        <v>1149</v>
      </c>
      <c r="E204" s="527" t="s">
        <v>469</v>
      </c>
      <c r="F204" s="525" t="s">
        <v>456</v>
      </c>
      <c r="G204" s="525" t="s">
        <v>934</v>
      </c>
      <c r="H204" s="525" t="s">
        <v>415</v>
      </c>
      <c r="I204" s="525" t="s">
        <v>935</v>
      </c>
      <c r="J204" s="525" t="s">
        <v>936</v>
      </c>
      <c r="K204" s="525" t="s">
        <v>937</v>
      </c>
      <c r="L204" s="528">
        <v>0</v>
      </c>
      <c r="M204" s="528">
        <v>0</v>
      </c>
      <c r="N204" s="525">
        <v>1</v>
      </c>
      <c r="O204" s="529">
        <v>0.5</v>
      </c>
      <c r="P204" s="528"/>
      <c r="Q204" s="530"/>
      <c r="R204" s="525"/>
      <c r="S204" s="530">
        <v>0</v>
      </c>
      <c r="T204" s="529"/>
      <c r="U204" s="531">
        <v>0</v>
      </c>
    </row>
    <row r="205" spans="1:21" ht="14.4" customHeight="1" x14ac:dyDescent="0.3">
      <c r="A205" s="524">
        <v>27</v>
      </c>
      <c r="B205" s="525" t="s">
        <v>451</v>
      </c>
      <c r="C205" s="525" t="s">
        <v>462</v>
      </c>
      <c r="D205" s="526" t="s">
        <v>1149</v>
      </c>
      <c r="E205" s="527" t="s">
        <v>471</v>
      </c>
      <c r="F205" s="525" t="s">
        <v>456</v>
      </c>
      <c r="G205" s="525" t="s">
        <v>577</v>
      </c>
      <c r="H205" s="525" t="s">
        <v>415</v>
      </c>
      <c r="I205" s="525" t="s">
        <v>578</v>
      </c>
      <c r="J205" s="525" t="s">
        <v>579</v>
      </c>
      <c r="K205" s="525" t="s">
        <v>580</v>
      </c>
      <c r="L205" s="528">
        <v>35.11</v>
      </c>
      <c r="M205" s="528">
        <v>175.55</v>
      </c>
      <c r="N205" s="525">
        <v>5</v>
      </c>
      <c r="O205" s="529">
        <v>1</v>
      </c>
      <c r="P205" s="528">
        <v>175.55</v>
      </c>
      <c r="Q205" s="530">
        <v>1</v>
      </c>
      <c r="R205" s="525">
        <v>5</v>
      </c>
      <c r="S205" s="530">
        <v>1</v>
      </c>
      <c r="T205" s="529">
        <v>1</v>
      </c>
      <c r="U205" s="531">
        <v>1</v>
      </c>
    </row>
    <row r="206" spans="1:21" ht="14.4" customHeight="1" x14ac:dyDescent="0.3">
      <c r="A206" s="524">
        <v>27</v>
      </c>
      <c r="B206" s="525" t="s">
        <v>451</v>
      </c>
      <c r="C206" s="525" t="s">
        <v>462</v>
      </c>
      <c r="D206" s="526" t="s">
        <v>1149</v>
      </c>
      <c r="E206" s="527" t="s">
        <v>471</v>
      </c>
      <c r="F206" s="525" t="s">
        <v>456</v>
      </c>
      <c r="G206" s="525" t="s">
        <v>1059</v>
      </c>
      <c r="H206" s="525" t="s">
        <v>446</v>
      </c>
      <c r="I206" s="525" t="s">
        <v>1060</v>
      </c>
      <c r="J206" s="525" t="s">
        <v>1061</v>
      </c>
      <c r="K206" s="525" t="s">
        <v>1062</v>
      </c>
      <c r="L206" s="528">
        <v>144.01</v>
      </c>
      <c r="M206" s="528">
        <v>432.03</v>
      </c>
      <c r="N206" s="525">
        <v>3</v>
      </c>
      <c r="O206" s="529">
        <v>0.5</v>
      </c>
      <c r="P206" s="528"/>
      <c r="Q206" s="530">
        <v>0</v>
      </c>
      <c r="R206" s="525"/>
      <c r="S206" s="530">
        <v>0</v>
      </c>
      <c r="T206" s="529"/>
      <c r="U206" s="531">
        <v>0</v>
      </c>
    </row>
    <row r="207" spans="1:21" ht="14.4" customHeight="1" x14ac:dyDescent="0.3">
      <c r="A207" s="524">
        <v>27</v>
      </c>
      <c r="B207" s="525" t="s">
        <v>451</v>
      </c>
      <c r="C207" s="525" t="s">
        <v>462</v>
      </c>
      <c r="D207" s="526" t="s">
        <v>1149</v>
      </c>
      <c r="E207" s="527" t="s">
        <v>471</v>
      </c>
      <c r="F207" s="525" t="s">
        <v>456</v>
      </c>
      <c r="G207" s="525" t="s">
        <v>538</v>
      </c>
      <c r="H207" s="525" t="s">
        <v>415</v>
      </c>
      <c r="I207" s="525" t="s">
        <v>1063</v>
      </c>
      <c r="J207" s="525" t="s">
        <v>540</v>
      </c>
      <c r="K207" s="525" t="s">
        <v>1064</v>
      </c>
      <c r="L207" s="528">
        <v>207.27</v>
      </c>
      <c r="M207" s="528">
        <v>207.27</v>
      </c>
      <c r="N207" s="525">
        <v>1</v>
      </c>
      <c r="O207" s="529">
        <v>1</v>
      </c>
      <c r="P207" s="528">
        <v>207.27</v>
      </c>
      <c r="Q207" s="530">
        <v>1</v>
      </c>
      <c r="R207" s="525">
        <v>1</v>
      </c>
      <c r="S207" s="530">
        <v>1</v>
      </c>
      <c r="T207" s="529">
        <v>1</v>
      </c>
      <c r="U207" s="531">
        <v>1</v>
      </c>
    </row>
    <row r="208" spans="1:21" ht="14.4" customHeight="1" x14ac:dyDescent="0.3">
      <c r="A208" s="524">
        <v>27</v>
      </c>
      <c r="B208" s="525" t="s">
        <v>451</v>
      </c>
      <c r="C208" s="525" t="s">
        <v>462</v>
      </c>
      <c r="D208" s="526" t="s">
        <v>1149</v>
      </c>
      <c r="E208" s="527" t="s">
        <v>471</v>
      </c>
      <c r="F208" s="525" t="s">
        <v>456</v>
      </c>
      <c r="G208" s="525" t="s">
        <v>538</v>
      </c>
      <c r="H208" s="525" t="s">
        <v>415</v>
      </c>
      <c r="I208" s="525" t="s">
        <v>1065</v>
      </c>
      <c r="J208" s="525" t="s">
        <v>540</v>
      </c>
      <c r="K208" s="525" t="s">
        <v>541</v>
      </c>
      <c r="L208" s="528">
        <v>0</v>
      </c>
      <c r="M208" s="528">
        <v>0</v>
      </c>
      <c r="N208" s="525">
        <v>1</v>
      </c>
      <c r="O208" s="529">
        <v>0.5</v>
      </c>
      <c r="P208" s="528"/>
      <c r="Q208" s="530"/>
      <c r="R208" s="525"/>
      <c r="S208" s="530">
        <v>0</v>
      </c>
      <c r="T208" s="529"/>
      <c r="U208" s="531">
        <v>0</v>
      </c>
    </row>
    <row r="209" spans="1:21" ht="14.4" customHeight="1" x14ac:dyDescent="0.3">
      <c r="A209" s="524">
        <v>27</v>
      </c>
      <c r="B209" s="525" t="s">
        <v>451</v>
      </c>
      <c r="C209" s="525" t="s">
        <v>462</v>
      </c>
      <c r="D209" s="526" t="s">
        <v>1149</v>
      </c>
      <c r="E209" s="527" t="s">
        <v>471</v>
      </c>
      <c r="F209" s="525" t="s">
        <v>456</v>
      </c>
      <c r="G209" s="525" t="s">
        <v>598</v>
      </c>
      <c r="H209" s="525" t="s">
        <v>446</v>
      </c>
      <c r="I209" s="525" t="s">
        <v>1066</v>
      </c>
      <c r="J209" s="525" t="s">
        <v>606</v>
      </c>
      <c r="K209" s="525" t="s">
        <v>523</v>
      </c>
      <c r="L209" s="528">
        <v>58.86</v>
      </c>
      <c r="M209" s="528">
        <v>176.57999999999998</v>
      </c>
      <c r="N209" s="525">
        <v>3</v>
      </c>
      <c r="O209" s="529">
        <v>0.5</v>
      </c>
      <c r="P209" s="528">
        <v>176.57999999999998</v>
      </c>
      <c r="Q209" s="530">
        <v>1</v>
      </c>
      <c r="R209" s="525">
        <v>3</v>
      </c>
      <c r="S209" s="530">
        <v>1</v>
      </c>
      <c r="T209" s="529">
        <v>0.5</v>
      </c>
      <c r="U209" s="531">
        <v>1</v>
      </c>
    </row>
    <row r="210" spans="1:21" ht="14.4" customHeight="1" x14ac:dyDescent="0.3">
      <c r="A210" s="524">
        <v>27</v>
      </c>
      <c r="B210" s="525" t="s">
        <v>451</v>
      </c>
      <c r="C210" s="525" t="s">
        <v>462</v>
      </c>
      <c r="D210" s="526" t="s">
        <v>1149</v>
      </c>
      <c r="E210" s="527" t="s">
        <v>471</v>
      </c>
      <c r="F210" s="525" t="s">
        <v>456</v>
      </c>
      <c r="G210" s="525" t="s">
        <v>598</v>
      </c>
      <c r="H210" s="525" t="s">
        <v>446</v>
      </c>
      <c r="I210" s="525" t="s">
        <v>605</v>
      </c>
      <c r="J210" s="525" t="s">
        <v>606</v>
      </c>
      <c r="K210" s="525" t="s">
        <v>607</v>
      </c>
      <c r="L210" s="528">
        <v>196.21</v>
      </c>
      <c r="M210" s="528">
        <v>784.84</v>
      </c>
      <c r="N210" s="525">
        <v>4</v>
      </c>
      <c r="O210" s="529">
        <v>2.5</v>
      </c>
      <c r="P210" s="528">
        <v>392.42</v>
      </c>
      <c r="Q210" s="530">
        <v>0.5</v>
      </c>
      <c r="R210" s="525">
        <v>2</v>
      </c>
      <c r="S210" s="530">
        <v>0.5</v>
      </c>
      <c r="T210" s="529">
        <v>1.5</v>
      </c>
      <c r="U210" s="531">
        <v>0.6</v>
      </c>
    </row>
    <row r="211" spans="1:21" ht="14.4" customHeight="1" x14ac:dyDescent="0.3">
      <c r="A211" s="524">
        <v>27</v>
      </c>
      <c r="B211" s="525" t="s">
        <v>451</v>
      </c>
      <c r="C211" s="525" t="s">
        <v>462</v>
      </c>
      <c r="D211" s="526" t="s">
        <v>1149</v>
      </c>
      <c r="E211" s="527" t="s">
        <v>471</v>
      </c>
      <c r="F211" s="525" t="s">
        <v>456</v>
      </c>
      <c r="G211" s="525" t="s">
        <v>598</v>
      </c>
      <c r="H211" s="525" t="s">
        <v>446</v>
      </c>
      <c r="I211" s="525" t="s">
        <v>953</v>
      </c>
      <c r="J211" s="525" t="s">
        <v>954</v>
      </c>
      <c r="K211" s="525" t="s">
        <v>883</v>
      </c>
      <c r="L211" s="528">
        <v>117.73</v>
      </c>
      <c r="M211" s="528">
        <v>235.46</v>
      </c>
      <c r="N211" s="525">
        <v>2</v>
      </c>
      <c r="O211" s="529">
        <v>0.5</v>
      </c>
      <c r="P211" s="528">
        <v>235.46</v>
      </c>
      <c r="Q211" s="530">
        <v>1</v>
      </c>
      <c r="R211" s="525">
        <v>2</v>
      </c>
      <c r="S211" s="530">
        <v>1</v>
      </c>
      <c r="T211" s="529">
        <v>0.5</v>
      </c>
      <c r="U211" s="531">
        <v>1</v>
      </c>
    </row>
    <row r="212" spans="1:21" ht="14.4" customHeight="1" x14ac:dyDescent="0.3">
      <c r="A212" s="524">
        <v>27</v>
      </c>
      <c r="B212" s="525" t="s">
        <v>451</v>
      </c>
      <c r="C212" s="525" t="s">
        <v>462</v>
      </c>
      <c r="D212" s="526" t="s">
        <v>1149</v>
      </c>
      <c r="E212" s="527" t="s">
        <v>471</v>
      </c>
      <c r="F212" s="525" t="s">
        <v>456</v>
      </c>
      <c r="G212" s="525" t="s">
        <v>598</v>
      </c>
      <c r="H212" s="525" t="s">
        <v>446</v>
      </c>
      <c r="I212" s="525" t="s">
        <v>1067</v>
      </c>
      <c r="J212" s="525" t="s">
        <v>954</v>
      </c>
      <c r="K212" s="525" t="s">
        <v>1068</v>
      </c>
      <c r="L212" s="528">
        <v>392.42</v>
      </c>
      <c r="M212" s="528">
        <v>392.42</v>
      </c>
      <c r="N212" s="525">
        <v>1</v>
      </c>
      <c r="O212" s="529">
        <v>1</v>
      </c>
      <c r="P212" s="528"/>
      <c r="Q212" s="530">
        <v>0</v>
      </c>
      <c r="R212" s="525"/>
      <c r="S212" s="530">
        <v>0</v>
      </c>
      <c r="T212" s="529"/>
      <c r="U212" s="531">
        <v>0</v>
      </c>
    </row>
    <row r="213" spans="1:21" ht="14.4" customHeight="1" x14ac:dyDescent="0.3">
      <c r="A213" s="524">
        <v>27</v>
      </c>
      <c r="B213" s="525" t="s">
        <v>451</v>
      </c>
      <c r="C213" s="525" t="s">
        <v>462</v>
      </c>
      <c r="D213" s="526" t="s">
        <v>1149</v>
      </c>
      <c r="E213" s="527" t="s">
        <v>471</v>
      </c>
      <c r="F213" s="525" t="s">
        <v>456</v>
      </c>
      <c r="G213" s="525" t="s">
        <v>598</v>
      </c>
      <c r="H213" s="525" t="s">
        <v>446</v>
      </c>
      <c r="I213" s="525" t="s">
        <v>1069</v>
      </c>
      <c r="J213" s="525" t="s">
        <v>609</v>
      </c>
      <c r="K213" s="525" t="s">
        <v>1070</v>
      </c>
      <c r="L213" s="528">
        <v>181.13</v>
      </c>
      <c r="M213" s="528">
        <v>543.39</v>
      </c>
      <c r="N213" s="525">
        <v>3</v>
      </c>
      <c r="O213" s="529">
        <v>0.5</v>
      </c>
      <c r="P213" s="528">
        <v>543.39</v>
      </c>
      <c r="Q213" s="530">
        <v>1</v>
      </c>
      <c r="R213" s="525">
        <v>3</v>
      </c>
      <c r="S213" s="530">
        <v>1</v>
      </c>
      <c r="T213" s="529">
        <v>0.5</v>
      </c>
      <c r="U213" s="531">
        <v>1</v>
      </c>
    </row>
    <row r="214" spans="1:21" ht="14.4" customHeight="1" x14ac:dyDescent="0.3">
      <c r="A214" s="524">
        <v>27</v>
      </c>
      <c r="B214" s="525" t="s">
        <v>451</v>
      </c>
      <c r="C214" s="525" t="s">
        <v>462</v>
      </c>
      <c r="D214" s="526" t="s">
        <v>1149</v>
      </c>
      <c r="E214" s="527" t="s">
        <v>471</v>
      </c>
      <c r="F214" s="525" t="s">
        <v>456</v>
      </c>
      <c r="G214" s="525" t="s">
        <v>1071</v>
      </c>
      <c r="H214" s="525" t="s">
        <v>446</v>
      </c>
      <c r="I214" s="525" t="s">
        <v>1072</v>
      </c>
      <c r="J214" s="525" t="s">
        <v>1073</v>
      </c>
      <c r="K214" s="525" t="s">
        <v>523</v>
      </c>
      <c r="L214" s="528">
        <v>65.989999999999995</v>
      </c>
      <c r="M214" s="528">
        <v>197.96999999999997</v>
      </c>
      <c r="N214" s="525">
        <v>3</v>
      </c>
      <c r="O214" s="529">
        <v>1</v>
      </c>
      <c r="P214" s="528"/>
      <c r="Q214" s="530">
        <v>0</v>
      </c>
      <c r="R214" s="525"/>
      <c r="S214" s="530">
        <v>0</v>
      </c>
      <c r="T214" s="529"/>
      <c r="U214" s="531">
        <v>0</v>
      </c>
    </row>
    <row r="215" spans="1:21" ht="14.4" customHeight="1" x14ac:dyDescent="0.3">
      <c r="A215" s="524">
        <v>27</v>
      </c>
      <c r="B215" s="525" t="s">
        <v>451</v>
      </c>
      <c r="C215" s="525" t="s">
        <v>462</v>
      </c>
      <c r="D215" s="526" t="s">
        <v>1149</v>
      </c>
      <c r="E215" s="527" t="s">
        <v>471</v>
      </c>
      <c r="F215" s="525" t="s">
        <v>456</v>
      </c>
      <c r="G215" s="525" t="s">
        <v>644</v>
      </c>
      <c r="H215" s="525" t="s">
        <v>415</v>
      </c>
      <c r="I215" s="525" t="s">
        <v>1074</v>
      </c>
      <c r="J215" s="525" t="s">
        <v>1075</v>
      </c>
      <c r="K215" s="525" t="s">
        <v>1076</v>
      </c>
      <c r="L215" s="528">
        <v>1891.17</v>
      </c>
      <c r="M215" s="528">
        <v>5673.51</v>
      </c>
      <c r="N215" s="525">
        <v>3</v>
      </c>
      <c r="O215" s="529">
        <v>0.5</v>
      </c>
      <c r="P215" s="528"/>
      <c r="Q215" s="530">
        <v>0</v>
      </c>
      <c r="R215" s="525"/>
      <c r="S215" s="530">
        <v>0</v>
      </c>
      <c r="T215" s="529"/>
      <c r="U215" s="531">
        <v>0</v>
      </c>
    </row>
    <row r="216" spans="1:21" ht="14.4" customHeight="1" x14ac:dyDescent="0.3">
      <c r="A216" s="524">
        <v>27</v>
      </c>
      <c r="B216" s="525" t="s">
        <v>451</v>
      </c>
      <c r="C216" s="525" t="s">
        <v>462</v>
      </c>
      <c r="D216" s="526" t="s">
        <v>1149</v>
      </c>
      <c r="E216" s="527" t="s">
        <v>471</v>
      </c>
      <c r="F216" s="525" t="s">
        <v>456</v>
      </c>
      <c r="G216" s="525" t="s">
        <v>644</v>
      </c>
      <c r="H216" s="525" t="s">
        <v>415</v>
      </c>
      <c r="I216" s="525" t="s">
        <v>645</v>
      </c>
      <c r="J216" s="525" t="s">
        <v>646</v>
      </c>
      <c r="K216" s="525" t="s">
        <v>647</v>
      </c>
      <c r="L216" s="528">
        <v>2026.32</v>
      </c>
      <c r="M216" s="528">
        <v>6078.96</v>
      </c>
      <c r="N216" s="525">
        <v>3</v>
      </c>
      <c r="O216" s="529">
        <v>0.5</v>
      </c>
      <c r="P216" s="528">
        <v>6078.96</v>
      </c>
      <c r="Q216" s="530">
        <v>1</v>
      </c>
      <c r="R216" s="525">
        <v>3</v>
      </c>
      <c r="S216" s="530">
        <v>1</v>
      </c>
      <c r="T216" s="529">
        <v>0.5</v>
      </c>
      <c r="U216" s="531">
        <v>1</v>
      </c>
    </row>
    <row r="217" spans="1:21" ht="14.4" customHeight="1" x14ac:dyDescent="0.3">
      <c r="A217" s="524">
        <v>27</v>
      </c>
      <c r="B217" s="525" t="s">
        <v>451</v>
      </c>
      <c r="C217" s="525" t="s">
        <v>462</v>
      </c>
      <c r="D217" s="526" t="s">
        <v>1149</v>
      </c>
      <c r="E217" s="527" t="s">
        <v>471</v>
      </c>
      <c r="F217" s="525" t="s">
        <v>456</v>
      </c>
      <c r="G217" s="525" t="s">
        <v>484</v>
      </c>
      <c r="H217" s="525" t="s">
        <v>415</v>
      </c>
      <c r="I217" s="525" t="s">
        <v>652</v>
      </c>
      <c r="J217" s="525" t="s">
        <v>486</v>
      </c>
      <c r="K217" s="525" t="s">
        <v>653</v>
      </c>
      <c r="L217" s="528">
        <v>182.22</v>
      </c>
      <c r="M217" s="528">
        <v>182.22</v>
      </c>
      <c r="N217" s="525">
        <v>1</v>
      </c>
      <c r="O217" s="529">
        <v>0.5</v>
      </c>
      <c r="P217" s="528">
        <v>182.22</v>
      </c>
      <c r="Q217" s="530">
        <v>1</v>
      </c>
      <c r="R217" s="525">
        <v>1</v>
      </c>
      <c r="S217" s="530">
        <v>1</v>
      </c>
      <c r="T217" s="529">
        <v>0.5</v>
      </c>
      <c r="U217" s="531">
        <v>1</v>
      </c>
    </row>
    <row r="218" spans="1:21" ht="14.4" customHeight="1" x14ac:dyDescent="0.3">
      <c r="A218" s="524">
        <v>27</v>
      </c>
      <c r="B218" s="525" t="s">
        <v>451</v>
      </c>
      <c r="C218" s="525" t="s">
        <v>462</v>
      </c>
      <c r="D218" s="526" t="s">
        <v>1149</v>
      </c>
      <c r="E218" s="527" t="s">
        <v>471</v>
      </c>
      <c r="F218" s="525" t="s">
        <v>456</v>
      </c>
      <c r="G218" s="525" t="s">
        <v>484</v>
      </c>
      <c r="H218" s="525" t="s">
        <v>415</v>
      </c>
      <c r="I218" s="525" t="s">
        <v>1077</v>
      </c>
      <c r="J218" s="525" t="s">
        <v>486</v>
      </c>
      <c r="K218" s="525" t="s">
        <v>653</v>
      </c>
      <c r="L218" s="528">
        <v>0</v>
      </c>
      <c r="M218" s="528">
        <v>0</v>
      </c>
      <c r="N218" s="525">
        <v>1</v>
      </c>
      <c r="O218" s="529">
        <v>1</v>
      </c>
      <c r="P218" s="528"/>
      <c r="Q218" s="530"/>
      <c r="R218" s="525"/>
      <c r="S218" s="530">
        <v>0</v>
      </c>
      <c r="T218" s="529"/>
      <c r="U218" s="531">
        <v>0</v>
      </c>
    </row>
    <row r="219" spans="1:21" ht="14.4" customHeight="1" x14ac:dyDescent="0.3">
      <c r="A219" s="524">
        <v>27</v>
      </c>
      <c r="B219" s="525" t="s">
        <v>451</v>
      </c>
      <c r="C219" s="525" t="s">
        <v>462</v>
      </c>
      <c r="D219" s="526" t="s">
        <v>1149</v>
      </c>
      <c r="E219" s="527" t="s">
        <v>471</v>
      </c>
      <c r="F219" s="525" t="s">
        <v>456</v>
      </c>
      <c r="G219" s="525" t="s">
        <v>654</v>
      </c>
      <c r="H219" s="525" t="s">
        <v>446</v>
      </c>
      <c r="I219" s="525" t="s">
        <v>1078</v>
      </c>
      <c r="J219" s="525" t="s">
        <v>1079</v>
      </c>
      <c r="K219" s="525" t="s">
        <v>786</v>
      </c>
      <c r="L219" s="528">
        <v>131.54</v>
      </c>
      <c r="M219" s="528">
        <v>394.62</v>
      </c>
      <c r="N219" s="525">
        <v>3</v>
      </c>
      <c r="O219" s="529">
        <v>0.5</v>
      </c>
      <c r="P219" s="528">
        <v>394.62</v>
      </c>
      <c r="Q219" s="530">
        <v>1</v>
      </c>
      <c r="R219" s="525">
        <v>3</v>
      </c>
      <c r="S219" s="530">
        <v>1</v>
      </c>
      <c r="T219" s="529">
        <v>0.5</v>
      </c>
      <c r="U219" s="531">
        <v>1</v>
      </c>
    </row>
    <row r="220" spans="1:21" ht="14.4" customHeight="1" x14ac:dyDescent="0.3">
      <c r="A220" s="524">
        <v>27</v>
      </c>
      <c r="B220" s="525" t="s">
        <v>451</v>
      </c>
      <c r="C220" s="525" t="s">
        <v>462</v>
      </c>
      <c r="D220" s="526" t="s">
        <v>1149</v>
      </c>
      <c r="E220" s="527" t="s">
        <v>471</v>
      </c>
      <c r="F220" s="525" t="s">
        <v>456</v>
      </c>
      <c r="G220" s="525" t="s">
        <v>1080</v>
      </c>
      <c r="H220" s="525" t="s">
        <v>415</v>
      </c>
      <c r="I220" s="525" t="s">
        <v>1081</v>
      </c>
      <c r="J220" s="525" t="s">
        <v>1082</v>
      </c>
      <c r="K220" s="525" t="s">
        <v>1083</v>
      </c>
      <c r="L220" s="528">
        <v>0</v>
      </c>
      <c r="M220" s="528">
        <v>0</v>
      </c>
      <c r="N220" s="525">
        <v>2</v>
      </c>
      <c r="O220" s="529">
        <v>0.5</v>
      </c>
      <c r="P220" s="528"/>
      <c r="Q220" s="530"/>
      <c r="R220" s="525"/>
      <c r="S220" s="530">
        <v>0</v>
      </c>
      <c r="T220" s="529"/>
      <c r="U220" s="531">
        <v>0</v>
      </c>
    </row>
    <row r="221" spans="1:21" ht="14.4" customHeight="1" x14ac:dyDescent="0.3">
      <c r="A221" s="524">
        <v>27</v>
      </c>
      <c r="B221" s="525" t="s">
        <v>451</v>
      </c>
      <c r="C221" s="525" t="s">
        <v>462</v>
      </c>
      <c r="D221" s="526" t="s">
        <v>1149</v>
      </c>
      <c r="E221" s="527" t="s">
        <v>471</v>
      </c>
      <c r="F221" s="525" t="s">
        <v>456</v>
      </c>
      <c r="G221" s="525" t="s">
        <v>662</v>
      </c>
      <c r="H221" s="525" t="s">
        <v>415</v>
      </c>
      <c r="I221" s="525" t="s">
        <v>1084</v>
      </c>
      <c r="J221" s="525" t="s">
        <v>664</v>
      </c>
      <c r="K221" s="525" t="s">
        <v>1085</v>
      </c>
      <c r="L221" s="528">
        <v>1065.51</v>
      </c>
      <c r="M221" s="528">
        <v>3196.5299999999997</v>
      </c>
      <c r="N221" s="525">
        <v>3</v>
      </c>
      <c r="O221" s="529">
        <v>0.5</v>
      </c>
      <c r="P221" s="528"/>
      <c r="Q221" s="530">
        <v>0</v>
      </c>
      <c r="R221" s="525"/>
      <c r="S221" s="530">
        <v>0</v>
      </c>
      <c r="T221" s="529"/>
      <c r="U221" s="531">
        <v>0</v>
      </c>
    </row>
    <row r="222" spans="1:21" ht="14.4" customHeight="1" x14ac:dyDescent="0.3">
      <c r="A222" s="524">
        <v>27</v>
      </c>
      <c r="B222" s="525" t="s">
        <v>451</v>
      </c>
      <c r="C222" s="525" t="s">
        <v>462</v>
      </c>
      <c r="D222" s="526" t="s">
        <v>1149</v>
      </c>
      <c r="E222" s="527" t="s">
        <v>471</v>
      </c>
      <c r="F222" s="525" t="s">
        <v>456</v>
      </c>
      <c r="G222" s="525" t="s">
        <v>546</v>
      </c>
      <c r="H222" s="525" t="s">
        <v>415</v>
      </c>
      <c r="I222" s="525" t="s">
        <v>680</v>
      </c>
      <c r="J222" s="525" t="s">
        <v>548</v>
      </c>
      <c r="K222" s="525" t="s">
        <v>549</v>
      </c>
      <c r="L222" s="528">
        <v>107.27</v>
      </c>
      <c r="M222" s="528">
        <v>321.81</v>
      </c>
      <c r="N222" s="525">
        <v>3</v>
      </c>
      <c r="O222" s="529">
        <v>0.5</v>
      </c>
      <c r="P222" s="528"/>
      <c r="Q222" s="530">
        <v>0</v>
      </c>
      <c r="R222" s="525"/>
      <c r="S222" s="530">
        <v>0</v>
      </c>
      <c r="T222" s="529"/>
      <c r="U222" s="531">
        <v>0</v>
      </c>
    </row>
    <row r="223" spans="1:21" ht="14.4" customHeight="1" x14ac:dyDescent="0.3">
      <c r="A223" s="524">
        <v>27</v>
      </c>
      <c r="B223" s="525" t="s">
        <v>451</v>
      </c>
      <c r="C223" s="525" t="s">
        <v>462</v>
      </c>
      <c r="D223" s="526" t="s">
        <v>1149</v>
      </c>
      <c r="E223" s="527" t="s">
        <v>471</v>
      </c>
      <c r="F223" s="525" t="s">
        <v>456</v>
      </c>
      <c r="G223" s="525" t="s">
        <v>681</v>
      </c>
      <c r="H223" s="525" t="s">
        <v>415</v>
      </c>
      <c r="I223" s="525" t="s">
        <v>682</v>
      </c>
      <c r="J223" s="525" t="s">
        <v>683</v>
      </c>
      <c r="K223" s="525" t="s">
        <v>684</v>
      </c>
      <c r="L223" s="528">
        <v>30.56</v>
      </c>
      <c r="M223" s="528">
        <v>244.47999999999996</v>
      </c>
      <c r="N223" s="525">
        <v>8</v>
      </c>
      <c r="O223" s="529">
        <v>1.5</v>
      </c>
      <c r="P223" s="528">
        <v>244.47999999999996</v>
      </c>
      <c r="Q223" s="530">
        <v>1</v>
      </c>
      <c r="R223" s="525">
        <v>8</v>
      </c>
      <c r="S223" s="530">
        <v>1</v>
      </c>
      <c r="T223" s="529">
        <v>1.5</v>
      </c>
      <c r="U223" s="531">
        <v>1</v>
      </c>
    </row>
    <row r="224" spans="1:21" ht="14.4" customHeight="1" x14ac:dyDescent="0.3">
      <c r="A224" s="524">
        <v>27</v>
      </c>
      <c r="B224" s="525" t="s">
        <v>451</v>
      </c>
      <c r="C224" s="525" t="s">
        <v>462</v>
      </c>
      <c r="D224" s="526" t="s">
        <v>1149</v>
      </c>
      <c r="E224" s="527" t="s">
        <v>471</v>
      </c>
      <c r="F224" s="525" t="s">
        <v>456</v>
      </c>
      <c r="G224" s="525" t="s">
        <v>693</v>
      </c>
      <c r="H224" s="525" t="s">
        <v>415</v>
      </c>
      <c r="I224" s="525" t="s">
        <v>1086</v>
      </c>
      <c r="J224" s="525" t="s">
        <v>1087</v>
      </c>
      <c r="K224" s="525" t="s">
        <v>1088</v>
      </c>
      <c r="L224" s="528">
        <v>45.86</v>
      </c>
      <c r="M224" s="528">
        <v>275.15999999999997</v>
      </c>
      <c r="N224" s="525">
        <v>6</v>
      </c>
      <c r="O224" s="529">
        <v>1</v>
      </c>
      <c r="P224" s="528">
        <v>275.15999999999997</v>
      </c>
      <c r="Q224" s="530">
        <v>1</v>
      </c>
      <c r="R224" s="525">
        <v>6</v>
      </c>
      <c r="S224" s="530">
        <v>1</v>
      </c>
      <c r="T224" s="529">
        <v>1</v>
      </c>
      <c r="U224" s="531">
        <v>1</v>
      </c>
    </row>
    <row r="225" spans="1:21" ht="14.4" customHeight="1" x14ac:dyDescent="0.3">
      <c r="A225" s="524">
        <v>27</v>
      </c>
      <c r="B225" s="525" t="s">
        <v>451</v>
      </c>
      <c r="C225" s="525" t="s">
        <v>462</v>
      </c>
      <c r="D225" s="526" t="s">
        <v>1149</v>
      </c>
      <c r="E225" s="527" t="s">
        <v>471</v>
      </c>
      <c r="F225" s="525" t="s">
        <v>456</v>
      </c>
      <c r="G225" s="525" t="s">
        <v>550</v>
      </c>
      <c r="H225" s="525" t="s">
        <v>446</v>
      </c>
      <c r="I225" s="525" t="s">
        <v>1089</v>
      </c>
      <c r="J225" s="525" t="s">
        <v>1090</v>
      </c>
      <c r="K225" s="525" t="s">
        <v>1091</v>
      </c>
      <c r="L225" s="528">
        <v>35.11</v>
      </c>
      <c r="M225" s="528">
        <v>140.44</v>
      </c>
      <c r="N225" s="525">
        <v>4</v>
      </c>
      <c r="O225" s="529">
        <v>0.5</v>
      </c>
      <c r="P225" s="528"/>
      <c r="Q225" s="530">
        <v>0</v>
      </c>
      <c r="R225" s="525"/>
      <c r="S225" s="530">
        <v>0</v>
      </c>
      <c r="T225" s="529"/>
      <c r="U225" s="531">
        <v>0</v>
      </c>
    </row>
    <row r="226" spans="1:21" ht="14.4" customHeight="1" x14ac:dyDescent="0.3">
      <c r="A226" s="524">
        <v>27</v>
      </c>
      <c r="B226" s="525" t="s">
        <v>451</v>
      </c>
      <c r="C226" s="525" t="s">
        <v>462</v>
      </c>
      <c r="D226" s="526" t="s">
        <v>1149</v>
      </c>
      <c r="E226" s="527" t="s">
        <v>471</v>
      </c>
      <c r="F226" s="525" t="s">
        <v>456</v>
      </c>
      <c r="G226" s="525" t="s">
        <v>554</v>
      </c>
      <c r="H226" s="525" t="s">
        <v>415</v>
      </c>
      <c r="I226" s="525" t="s">
        <v>960</v>
      </c>
      <c r="J226" s="525" t="s">
        <v>732</v>
      </c>
      <c r="K226" s="525" t="s">
        <v>537</v>
      </c>
      <c r="L226" s="528">
        <v>0</v>
      </c>
      <c r="M226" s="528">
        <v>0</v>
      </c>
      <c r="N226" s="525">
        <v>6</v>
      </c>
      <c r="O226" s="529">
        <v>1</v>
      </c>
      <c r="P226" s="528">
        <v>0</v>
      </c>
      <c r="Q226" s="530"/>
      <c r="R226" s="525">
        <v>6</v>
      </c>
      <c r="S226" s="530">
        <v>1</v>
      </c>
      <c r="T226" s="529">
        <v>1</v>
      </c>
      <c r="U226" s="531">
        <v>1</v>
      </c>
    </row>
    <row r="227" spans="1:21" ht="14.4" customHeight="1" x14ac:dyDescent="0.3">
      <c r="A227" s="524">
        <v>27</v>
      </c>
      <c r="B227" s="525" t="s">
        <v>451</v>
      </c>
      <c r="C227" s="525" t="s">
        <v>462</v>
      </c>
      <c r="D227" s="526" t="s">
        <v>1149</v>
      </c>
      <c r="E227" s="527" t="s">
        <v>471</v>
      </c>
      <c r="F227" s="525" t="s">
        <v>456</v>
      </c>
      <c r="G227" s="525" t="s">
        <v>554</v>
      </c>
      <c r="H227" s="525" t="s">
        <v>415</v>
      </c>
      <c r="I227" s="525" t="s">
        <v>1092</v>
      </c>
      <c r="J227" s="525" t="s">
        <v>1093</v>
      </c>
      <c r="K227" s="525" t="s">
        <v>1094</v>
      </c>
      <c r="L227" s="528">
        <v>26.37</v>
      </c>
      <c r="M227" s="528">
        <v>52.74</v>
      </c>
      <c r="N227" s="525">
        <v>2</v>
      </c>
      <c r="O227" s="529">
        <v>1</v>
      </c>
      <c r="P227" s="528"/>
      <c r="Q227" s="530">
        <v>0</v>
      </c>
      <c r="R227" s="525"/>
      <c r="S227" s="530">
        <v>0</v>
      </c>
      <c r="T227" s="529"/>
      <c r="U227" s="531">
        <v>0</v>
      </c>
    </row>
    <row r="228" spans="1:21" ht="14.4" customHeight="1" x14ac:dyDescent="0.3">
      <c r="A228" s="524">
        <v>27</v>
      </c>
      <c r="B228" s="525" t="s">
        <v>451</v>
      </c>
      <c r="C228" s="525" t="s">
        <v>462</v>
      </c>
      <c r="D228" s="526" t="s">
        <v>1149</v>
      </c>
      <c r="E228" s="527" t="s">
        <v>471</v>
      </c>
      <c r="F228" s="525" t="s">
        <v>456</v>
      </c>
      <c r="G228" s="525" t="s">
        <v>496</v>
      </c>
      <c r="H228" s="525" t="s">
        <v>446</v>
      </c>
      <c r="I228" s="525" t="s">
        <v>1095</v>
      </c>
      <c r="J228" s="525" t="s">
        <v>1096</v>
      </c>
      <c r="K228" s="525" t="s">
        <v>1097</v>
      </c>
      <c r="L228" s="528">
        <v>86.41</v>
      </c>
      <c r="M228" s="528">
        <v>172.82</v>
      </c>
      <c r="N228" s="525">
        <v>2</v>
      </c>
      <c r="O228" s="529">
        <v>0.5</v>
      </c>
      <c r="P228" s="528">
        <v>172.82</v>
      </c>
      <c r="Q228" s="530">
        <v>1</v>
      </c>
      <c r="R228" s="525">
        <v>2</v>
      </c>
      <c r="S228" s="530">
        <v>1</v>
      </c>
      <c r="T228" s="529">
        <v>0.5</v>
      </c>
      <c r="U228" s="531">
        <v>1</v>
      </c>
    </row>
    <row r="229" spans="1:21" ht="14.4" customHeight="1" x14ac:dyDescent="0.3">
      <c r="A229" s="524">
        <v>27</v>
      </c>
      <c r="B229" s="525" t="s">
        <v>451</v>
      </c>
      <c r="C229" s="525" t="s">
        <v>462</v>
      </c>
      <c r="D229" s="526" t="s">
        <v>1149</v>
      </c>
      <c r="E229" s="527" t="s">
        <v>471</v>
      </c>
      <c r="F229" s="525" t="s">
        <v>456</v>
      </c>
      <c r="G229" s="525" t="s">
        <v>787</v>
      </c>
      <c r="H229" s="525" t="s">
        <v>415</v>
      </c>
      <c r="I229" s="525" t="s">
        <v>1098</v>
      </c>
      <c r="J229" s="525" t="s">
        <v>1099</v>
      </c>
      <c r="K229" s="525" t="s">
        <v>1100</v>
      </c>
      <c r="L229" s="528">
        <v>54.99</v>
      </c>
      <c r="M229" s="528">
        <v>54.99</v>
      </c>
      <c r="N229" s="525">
        <v>1</v>
      </c>
      <c r="O229" s="529">
        <v>1</v>
      </c>
      <c r="P229" s="528"/>
      <c r="Q229" s="530">
        <v>0</v>
      </c>
      <c r="R229" s="525"/>
      <c r="S229" s="530">
        <v>0</v>
      </c>
      <c r="T229" s="529"/>
      <c r="U229" s="531">
        <v>0</v>
      </c>
    </row>
    <row r="230" spans="1:21" ht="14.4" customHeight="1" x14ac:dyDescent="0.3">
      <c r="A230" s="524">
        <v>27</v>
      </c>
      <c r="B230" s="525" t="s">
        <v>451</v>
      </c>
      <c r="C230" s="525" t="s">
        <v>462</v>
      </c>
      <c r="D230" s="526" t="s">
        <v>1149</v>
      </c>
      <c r="E230" s="527" t="s">
        <v>471</v>
      </c>
      <c r="F230" s="525" t="s">
        <v>456</v>
      </c>
      <c r="G230" s="525" t="s">
        <v>787</v>
      </c>
      <c r="H230" s="525" t="s">
        <v>415</v>
      </c>
      <c r="I230" s="525" t="s">
        <v>1101</v>
      </c>
      <c r="J230" s="525" t="s">
        <v>1102</v>
      </c>
      <c r="K230" s="525" t="s">
        <v>1103</v>
      </c>
      <c r="L230" s="528">
        <v>27.5</v>
      </c>
      <c r="M230" s="528">
        <v>82.5</v>
      </c>
      <c r="N230" s="525">
        <v>3</v>
      </c>
      <c r="O230" s="529">
        <v>0.5</v>
      </c>
      <c r="P230" s="528"/>
      <c r="Q230" s="530">
        <v>0</v>
      </c>
      <c r="R230" s="525"/>
      <c r="S230" s="530">
        <v>0</v>
      </c>
      <c r="T230" s="529"/>
      <c r="U230" s="531">
        <v>0</v>
      </c>
    </row>
    <row r="231" spans="1:21" ht="14.4" customHeight="1" x14ac:dyDescent="0.3">
      <c r="A231" s="524">
        <v>27</v>
      </c>
      <c r="B231" s="525" t="s">
        <v>451</v>
      </c>
      <c r="C231" s="525" t="s">
        <v>462</v>
      </c>
      <c r="D231" s="526" t="s">
        <v>1149</v>
      </c>
      <c r="E231" s="527" t="s">
        <v>471</v>
      </c>
      <c r="F231" s="525" t="s">
        <v>456</v>
      </c>
      <c r="G231" s="525" t="s">
        <v>798</v>
      </c>
      <c r="H231" s="525" t="s">
        <v>446</v>
      </c>
      <c r="I231" s="525" t="s">
        <v>1104</v>
      </c>
      <c r="J231" s="525" t="s">
        <v>800</v>
      </c>
      <c r="K231" s="525" t="s">
        <v>1105</v>
      </c>
      <c r="L231" s="528">
        <v>369.5</v>
      </c>
      <c r="M231" s="528">
        <v>1108.5</v>
      </c>
      <c r="N231" s="525">
        <v>3</v>
      </c>
      <c r="O231" s="529">
        <v>1.5</v>
      </c>
      <c r="P231" s="528">
        <v>1108.5</v>
      </c>
      <c r="Q231" s="530">
        <v>1</v>
      </c>
      <c r="R231" s="525">
        <v>3</v>
      </c>
      <c r="S231" s="530">
        <v>1</v>
      </c>
      <c r="T231" s="529">
        <v>1.5</v>
      </c>
      <c r="U231" s="531">
        <v>1</v>
      </c>
    </row>
    <row r="232" spans="1:21" ht="14.4" customHeight="1" x14ac:dyDescent="0.3">
      <c r="A232" s="524">
        <v>27</v>
      </c>
      <c r="B232" s="525" t="s">
        <v>451</v>
      </c>
      <c r="C232" s="525" t="s">
        <v>462</v>
      </c>
      <c r="D232" s="526" t="s">
        <v>1149</v>
      </c>
      <c r="E232" s="527" t="s">
        <v>471</v>
      </c>
      <c r="F232" s="525" t="s">
        <v>456</v>
      </c>
      <c r="G232" s="525" t="s">
        <v>516</v>
      </c>
      <c r="H232" s="525" t="s">
        <v>446</v>
      </c>
      <c r="I232" s="525" t="s">
        <v>1106</v>
      </c>
      <c r="J232" s="525" t="s">
        <v>1107</v>
      </c>
      <c r="K232" s="525" t="s">
        <v>1108</v>
      </c>
      <c r="L232" s="528">
        <v>57.64</v>
      </c>
      <c r="M232" s="528">
        <v>172.92000000000002</v>
      </c>
      <c r="N232" s="525">
        <v>3</v>
      </c>
      <c r="O232" s="529">
        <v>0.5</v>
      </c>
      <c r="P232" s="528">
        <v>172.92000000000002</v>
      </c>
      <c r="Q232" s="530">
        <v>1</v>
      </c>
      <c r="R232" s="525">
        <v>3</v>
      </c>
      <c r="S232" s="530">
        <v>1</v>
      </c>
      <c r="T232" s="529">
        <v>0.5</v>
      </c>
      <c r="U232" s="531">
        <v>1</v>
      </c>
    </row>
    <row r="233" spans="1:21" ht="14.4" customHeight="1" x14ac:dyDescent="0.3">
      <c r="A233" s="524">
        <v>27</v>
      </c>
      <c r="B233" s="525" t="s">
        <v>451</v>
      </c>
      <c r="C233" s="525" t="s">
        <v>462</v>
      </c>
      <c r="D233" s="526" t="s">
        <v>1149</v>
      </c>
      <c r="E233" s="527" t="s">
        <v>471</v>
      </c>
      <c r="F233" s="525" t="s">
        <v>456</v>
      </c>
      <c r="G233" s="525" t="s">
        <v>830</v>
      </c>
      <c r="H233" s="525" t="s">
        <v>446</v>
      </c>
      <c r="I233" s="525" t="s">
        <v>831</v>
      </c>
      <c r="J233" s="525" t="s">
        <v>832</v>
      </c>
      <c r="K233" s="525" t="s">
        <v>631</v>
      </c>
      <c r="L233" s="528">
        <v>48.27</v>
      </c>
      <c r="M233" s="528">
        <v>289.62</v>
      </c>
      <c r="N233" s="525">
        <v>6</v>
      </c>
      <c r="O233" s="529">
        <v>1.5</v>
      </c>
      <c r="P233" s="528">
        <v>144.81</v>
      </c>
      <c r="Q233" s="530">
        <v>0.5</v>
      </c>
      <c r="R233" s="525">
        <v>3</v>
      </c>
      <c r="S233" s="530">
        <v>0.5</v>
      </c>
      <c r="T233" s="529">
        <v>0.5</v>
      </c>
      <c r="U233" s="531">
        <v>0.33333333333333331</v>
      </c>
    </row>
    <row r="234" spans="1:21" ht="14.4" customHeight="1" x14ac:dyDescent="0.3">
      <c r="A234" s="524">
        <v>27</v>
      </c>
      <c r="B234" s="525" t="s">
        <v>451</v>
      </c>
      <c r="C234" s="525" t="s">
        <v>462</v>
      </c>
      <c r="D234" s="526" t="s">
        <v>1149</v>
      </c>
      <c r="E234" s="527" t="s">
        <v>471</v>
      </c>
      <c r="F234" s="525" t="s">
        <v>456</v>
      </c>
      <c r="G234" s="525" t="s">
        <v>830</v>
      </c>
      <c r="H234" s="525" t="s">
        <v>446</v>
      </c>
      <c r="I234" s="525" t="s">
        <v>1109</v>
      </c>
      <c r="J234" s="525" t="s">
        <v>835</v>
      </c>
      <c r="K234" s="525" t="s">
        <v>523</v>
      </c>
      <c r="L234" s="528">
        <v>96.53</v>
      </c>
      <c r="M234" s="528">
        <v>193.06</v>
      </c>
      <c r="N234" s="525">
        <v>2</v>
      </c>
      <c r="O234" s="529">
        <v>0.5</v>
      </c>
      <c r="P234" s="528">
        <v>193.06</v>
      </c>
      <c r="Q234" s="530">
        <v>1</v>
      </c>
      <c r="R234" s="525">
        <v>2</v>
      </c>
      <c r="S234" s="530">
        <v>1</v>
      </c>
      <c r="T234" s="529">
        <v>0.5</v>
      </c>
      <c r="U234" s="531">
        <v>1</v>
      </c>
    </row>
    <row r="235" spans="1:21" ht="14.4" customHeight="1" x14ac:dyDescent="0.3">
      <c r="A235" s="524">
        <v>27</v>
      </c>
      <c r="B235" s="525" t="s">
        <v>451</v>
      </c>
      <c r="C235" s="525" t="s">
        <v>462</v>
      </c>
      <c r="D235" s="526" t="s">
        <v>1149</v>
      </c>
      <c r="E235" s="527" t="s">
        <v>471</v>
      </c>
      <c r="F235" s="525" t="s">
        <v>456</v>
      </c>
      <c r="G235" s="525" t="s">
        <v>840</v>
      </c>
      <c r="H235" s="525" t="s">
        <v>446</v>
      </c>
      <c r="I235" s="525" t="s">
        <v>1110</v>
      </c>
      <c r="J235" s="525" t="s">
        <v>842</v>
      </c>
      <c r="K235" s="525" t="s">
        <v>688</v>
      </c>
      <c r="L235" s="528">
        <v>117.46</v>
      </c>
      <c r="M235" s="528">
        <v>1409.52</v>
      </c>
      <c r="N235" s="525">
        <v>12</v>
      </c>
      <c r="O235" s="529">
        <v>3</v>
      </c>
      <c r="P235" s="528">
        <v>1409.52</v>
      </c>
      <c r="Q235" s="530">
        <v>1</v>
      </c>
      <c r="R235" s="525">
        <v>12</v>
      </c>
      <c r="S235" s="530">
        <v>1</v>
      </c>
      <c r="T235" s="529">
        <v>3</v>
      </c>
      <c r="U235" s="531">
        <v>1</v>
      </c>
    </row>
    <row r="236" spans="1:21" ht="14.4" customHeight="1" x14ac:dyDescent="0.3">
      <c r="A236" s="524">
        <v>27</v>
      </c>
      <c r="B236" s="525" t="s">
        <v>451</v>
      </c>
      <c r="C236" s="525" t="s">
        <v>462</v>
      </c>
      <c r="D236" s="526" t="s">
        <v>1149</v>
      </c>
      <c r="E236" s="527" t="s">
        <v>471</v>
      </c>
      <c r="F236" s="525" t="s">
        <v>456</v>
      </c>
      <c r="G236" s="525" t="s">
        <v>840</v>
      </c>
      <c r="H236" s="525" t="s">
        <v>446</v>
      </c>
      <c r="I236" s="525" t="s">
        <v>841</v>
      </c>
      <c r="J236" s="525" t="s">
        <v>842</v>
      </c>
      <c r="K236" s="525" t="s">
        <v>719</v>
      </c>
      <c r="L236" s="528">
        <v>352.37</v>
      </c>
      <c r="M236" s="528">
        <v>352.37</v>
      </c>
      <c r="N236" s="525">
        <v>1</v>
      </c>
      <c r="O236" s="529">
        <v>1</v>
      </c>
      <c r="P236" s="528">
        <v>352.37</v>
      </c>
      <c r="Q236" s="530">
        <v>1</v>
      </c>
      <c r="R236" s="525">
        <v>1</v>
      </c>
      <c r="S236" s="530">
        <v>1</v>
      </c>
      <c r="T236" s="529">
        <v>1</v>
      </c>
      <c r="U236" s="531">
        <v>1</v>
      </c>
    </row>
    <row r="237" spans="1:21" ht="14.4" customHeight="1" x14ac:dyDescent="0.3">
      <c r="A237" s="524">
        <v>27</v>
      </c>
      <c r="B237" s="525" t="s">
        <v>451</v>
      </c>
      <c r="C237" s="525" t="s">
        <v>462</v>
      </c>
      <c r="D237" s="526" t="s">
        <v>1149</v>
      </c>
      <c r="E237" s="527" t="s">
        <v>471</v>
      </c>
      <c r="F237" s="525" t="s">
        <v>456</v>
      </c>
      <c r="G237" s="525" t="s">
        <v>840</v>
      </c>
      <c r="H237" s="525" t="s">
        <v>446</v>
      </c>
      <c r="I237" s="525" t="s">
        <v>1111</v>
      </c>
      <c r="J237" s="525" t="s">
        <v>1112</v>
      </c>
      <c r="K237" s="525" t="s">
        <v>688</v>
      </c>
      <c r="L237" s="528">
        <v>170.43</v>
      </c>
      <c r="M237" s="528">
        <v>511.29</v>
      </c>
      <c r="N237" s="525">
        <v>3</v>
      </c>
      <c r="O237" s="529">
        <v>0.5</v>
      </c>
      <c r="P237" s="528">
        <v>511.29</v>
      </c>
      <c r="Q237" s="530">
        <v>1</v>
      </c>
      <c r="R237" s="525">
        <v>3</v>
      </c>
      <c r="S237" s="530">
        <v>1</v>
      </c>
      <c r="T237" s="529">
        <v>0.5</v>
      </c>
      <c r="U237" s="531">
        <v>1</v>
      </c>
    </row>
    <row r="238" spans="1:21" ht="14.4" customHeight="1" x14ac:dyDescent="0.3">
      <c r="A238" s="524">
        <v>27</v>
      </c>
      <c r="B238" s="525" t="s">
        <v>451</v>
      </c>
      <c r="C238" s="525" t="s">
        <v>462</v>
      </c>
      <c r="D238" s="526" t="s">
        <v>1149</v>
      </c>
      <c r="E238" s="527" t="s">
        <v>471</v>
      </c>
      <c r="F238" s="525" t="s">
        <v>456</v>
      </c>
      <c r="G238" s="525" t="s">
        <v>840</v>
      </c>
      <c r="H238" s="525" t="s">
        <v>446</v>
      </c>
      <c r="I238" s="525" t="s">
        <v>1113</v>
      </c>
      <c r="J238" s="525" t="s">
        <v>1114</v>
      </c>
      <c r="K238" s="525" t="s">
        <v>688</v>
      </c>
      <c r="L238" s="528">
        <v>181.94</v>
      </c>
      <c r="M238" s="528">
        <v>545.81999999999994</v>
      </c>
      <c r="N238" s="525">
        <v>3</v>
      </c>
      <c r="O238" s="529">
        <v>1</v>
      </c>
      <c r="P238" s="528">
        <v>545.81999999999994</v>
      </c>
      <c r="Q238" s="530">
        <v>1</v>
      </c>
      <c r="R238" s="525">
        <v>3</v>
      </c>
      <c r="S238" s="530">
        <v>1</v>
      </c>
      <c r="T238" s="529">
        <v>1</v>
      </c>
      <c r="U238" s="531">
        <v>1</v>
      </c>
    </row>
    <row r="239" spans="1:21" ht="14.4" customHeight="1" x14ac:dyDescent="0.3">
      <c r="A239" s="524">
        <v>27</v>
      </c>
      <c r="B239" s="525" t="s">
        <v>451</v>
      </c>
      <c r="C239" s="525" t="s">
        <v>462</v>
      </c>
      <c r="D239" s="526" t="s">
        <v>1149</v>
      </c>
      <c r="E239" s="527" t="s">
        <v>471</v>
      </c>
      <c r="F239" s="525" t="s">
        <v>456</v>
      </c>
      <c r="G239" s="525" t="s">
        <v>843</v>
      </c>
      <c r="H239" s="525" t="s">
        <v>446</v>
      </c>
      <c r="I239" s="525" t="s">
        <v>844</v>
      </c>
      <c r="J239" s="525" t="s">
        <v>845</v>
      </c>
      <c r="K239" s="525" t="s">
        <v>767</v>
      </c>
      <c r="L239" s="528">
        <v>87.41</v>
      </c>
      <c r="M239" s="528">
        <v>699.28</v>
      </c>
      <c r="N239" s="525">
        <v>8</v>
      </c>
      <c r="O239" s="529">
        <v>2</v>
      </c>
      <c r="P239" s="528"/>
      <c r="Q239" s="530">
        <v>0</v>
      </c>
      <c r="R239" s="525"/>
      <c r="S239" s="530">
        <v>0</v>
      </c>
      <c r="T239" s="529"/>
      <c r="U239" s="531">
        <v>0</v>
      </c>
    </row>
    <row r="240" spans="1:21" ht="14.4" customHeight="1" x14ac:dyDescent="0.3">
      <c r="A240" s="524">
        <v>27</v>
      </c>
      <c r="B240" s="525" t="s">
        <v>451</v>
      </c>
      <c r="C240" s="525" t="s">
        <v>462</v>
      </c>
      <c r="D240" s="526" t="s">
        <v>1149</v>
      </c>
      <c r="E240" s="527" t="s">
        <v>471</v>
      </c>
      <c r="F240" s="525" t="s">
        <v>456</v>
      </c>
      <c r="G240" s="525" t="s">
        <v>843</v>
      </c>
      <c r="H240" s="525" t="s">
        <v>446</v>
      </c>
      <c r="I240" s="525" t="s">
        <v>846</v>
      </c>
      <c r="J240" s="525" t="s">
        <v>845</v>
      </c>
      <c r="K240" s="525" t="s">
        <v>614</v>
      </c>
      <c r="L240" s="528">
        <v>291.82</v>
      </c>
      <c r="M240" s="528">
        <v>291.82</v>
      </c>
      <c r="N240" s="525">
        <v>1</v>
      </c>
      <c r="O240" s="529">
        <v>0.5</v>
      </c>
      <c r="P240" s="528"/>
      <c r="Q240" s="530">
        <v>0</v>
      </c>
      <c r="R240" s="525"/>
      <c r="S240" s="530">
        <v>0</v>
      </c>
      <c r="T240" s="529"/>
      <c r="U240" s="531">
        <v>0</v>
      </c>
    </row>
    <row r="241" spans="1:21" ht="14.4" customHeight="1" x14ac:dyDescent="0.3">
      <c r="A241" s="524">
        <v>27</v>
      </c>
      <c r="B241" s="525" t="s">
        <v>451</v>
      </c>
      <c r="C241" s="525" t="s">
        <v>462</v>
      </c>
      <c r="D241" s="526" t="s">
        <v>1149</v>
      </c>
      <c r="E241" s="527" t="s">
        <v>471</v>
      </c>
      <c r="F241" s="525" t="s">
        <v>456</v>
      </c>
      <c r="G241" s="525" t="s">
        <v>843</v>
      </c>
      <c r="H241" s="525" t="s">
        <v>446</v>
      </c>
      <c r="I241" s="525" t="s">
        <v>846</v>
      </c>
      <c r="J241" s="525" t="s">
        <v>845</v>
      </c>
      <c r="K241" s="525" t="s">
        <v>614</v>
      </c>
      <c r="L241" s="528">
        <v>262.23</v>
      </c>
      <c r="M241" s="528">
        <v>262.23</v>
      </c>
      <c r="N241" s="525">
        <v>1</v>
      </c>
      <c r="O241" s="529">
        <v>0.5</v>
      </c>
      <c r="P241" s="528"/>
      <c r="Q241" s="530">
        <v>0</v>
      </c>
      <c r="R241" s="525"/>
      <c r="S241" s="530">
        <v>0</v>
      </c>
      <c r="T241" s="529"/>
      <c r="U241" s="531">
        <v>0</v>
      </c>
    </row>
    <row r="242" spans="1:21" ht="14.4" customHeight="1" x14ac:dyDescent="0.3">
      <c r="A242" s="524">
        <v>27</v>
      </c>
      <c r="B242" s="525" t="s">
        <v>451</v>
      </c>
      <c r="C242" s="525" t="s">
        <v>462</v>
      </c>
      <c r="D242" s="526" t="s">
        <v>1149</v>
      </c>
      <c r="E242" s="527" t="s">
        <v>471</v>
      </c>
      <c r="F242" s="525" t="s">
        <v>456</v>
      </c>
      <c r="G242" s="525" t="s">
        <v>843</v>
      </c>
      <c r="H242" s="525" t="s">
        <v>446</v>
      </c>
      <c r="I242" s="525" t="s">
        <v>1115</v>
      </c>
      <c r="J242" s="525" t="s">
        <v>850</v>
      </c>
      <c r="K242" s="525" t="s">
        <v>767</v>
      </c>
      <c r="L242" s="528">
        <v>174.81</v>
      </c>
      <c r="M242" s="528">
        <v>349.62</v>
      </c>
      <c r="N242" s="525">
        <v>2</v>
      </c>
      <c r="O242" s="529">
        <v>1</v>
      </c>
      <c r="P242" s="528"/>
      <c r="Q242" s="530">
        <v>0</v>
      </c>
      <c r="R242" s="525"/>
      <c r="S242" s="530">
        <v>0</v>
      </c>
      <c r="T242" s="529"/>
      <c r="U242" s="531">
        <v>0</v>
      </c>
    </row>
    <row r="243" spans="1:21" ht="14.4" customHeight="1" x14ac:dyDescent="0.3">
      <c r="A243" s="524">
        <v>27</v>
      </c>
      <c r="B243" s="525" t="s">
        <v>451</v>
      </c>
      <c r="C243" s="525" t="s">
        <v>462</v>
      </c>
      <c r="D243" s="526" t="s">
        <v>1149</v>
      </c>
      <c r="E243" s="527" t="s">
        <v>471</v>
      </c>
      <c r="F243" s="525" t="s">
        <v>456</v>
      </c>
      <c r="G243" s="525" t="s">
        <v>851</v>
      </c>
      <c r="H243" s="525" t="s">
        <v>446</v>
      </c>
      <c r="I243" s="525" t="s">
        <v>1116</v>
      </c>
      <c r="J243" s="525" t="s">
        <v>1117</v>
      </c>
      <c r="K243" s="525" t="s">
        <v>1118</v>
      </c>
      <c r="L243" s="528">
        <v>160.1</v>
      </c>
      <c r="M243" s="528">
        <v>320.2</v>
      </c>
      <c r="N243" s="525">
        <v>2</v>
      </c>
      <c r="O243" s="529">
        <v>0.5</v>
      </c>
      <c r="P243" s="528">
        <v>320.2</v>
      </c>
      <c r="Q243" s="530">
        <v>1</v>
      </c>
      <c r="R243" s="525">
        <v>2</v>
      </c>
      <c r="S243" s="530">
        <v>1</v>
      </c>
      <c r="T243" s="529">
        <v>0.5</v>
      </c>
      <c r="U243" s="531">
        <v>1</v>
      </c>
    </row>
    <row r="244" spans="1:21" ht="14.4" customHeight="1" x14ac:dyDescent="0.3">
      <c r="A244" s="524">
        <v>27</v>
      </c>
      <c r="B244" s="525" t="s">
        <v>451</v>
      </c>
      <c r="C244" s="525" t="s">
        <v>462</v>
      </c>
      <c r="D244" s="526" t="s">
        <v>1149</v>
      </c>
      <c r="E244" s="527" t="s">
        <v>471</v>
      </c>
      <c r="F244" s="525" t="s">
        <v>456</v>
      </c>
      <c r="G244" s="525" t="s">
        <v>864</v>
      </c>
      <c r="H244" s="525" t="s">
        <v>415</v>
      </c>
      <c r="I244" s="525" t="s">
        <v>1119</v>
      </c>
      <c r="J244" s="525" t="s">
        <v>1120</v>
      </c>
      <c r="K244" s="525" t="s">
        <v>1121</v>
      </c>
      <c r="L244" s="528">
        <v>105.46</v>
      </c>
      <c r="M244" s="528">
        <v>210.92</v>
      </c>
      <c r="N244" s="525">
        <v>2</v>
      </c>
      <c r="O244" s="529">
        <v>1</v>
      </c>
      <c r="P244" s="528"/>
      <c r="Q244" s="530">
        <v>0</v>
      </c>
      <c r="R244" s="525"/>
      <c r="S244" s="530">
        <v>0</v>
      </c>
      <c r="T244" s="529"/>
      <c r="U244" s="531">
        <v>0</v>
      </c>
    </row>
    <row r="245" spans="1:21" ht="14.4" customHeight="1" x14ac:dyDescent="0.3">
      <c r="A245" s="524">
        <v>27</v>
      </c>
      <c r="B245" s="525" t="s">
        <v>451</v>
      </c>
      <c r="C245" s="525" t="s">
        <v>462</v>
      </c>
      <c r="D245" s="526" t="s">
        <v>1149</v>
      </c>
      <c r="E245" s="527" t="s">
        <v>471</v>
      </c>
      <c r="F245" s="525" t="s">
        <v>456</v>
      </c>
      <c r="G245" s="525" t="s">
        <v>875</v>
      </c>
      <c r="H245" s="525" t="s">
        <v>446</v>
      </c>
      <c r="I245" s="525" t="s">
        <v>1017</v>
      </c>
      <c r="J245" s="525" t="s">
        <v>877</v>
      </c>
      <c r="K245" s="525" t="s">
        <v>883</v>
      </c>
      <c r="L245" s="528">
        <v>181.13</v>
      </c>
      <c r="M245" s="528">
        <v>543.39</v>
      </c>
      <c r="N245" s="525">
        <v>3</v>
      </c>
      <c r="O245" s="529">
        <v>1</v>
      </c>
      <c r="P245" s="528"/>
      <c r="Q245" s="530">
        <v>0</v>
      </c>
      <c r="R245" s="525"/>
      <c r="S245" s="530">
        <v>0</v>
      </c>
      <c r="T245" s="529"/>
      <c r="U245" s="531">
        <v>0</v>
      </c>
    </row>
    <row r="246" spans="1:21" ht="14.4" customHeight="1" x14ac:dyDescent="0.3">
      <c r="A246" s="524">
        <v>27</v>
      </c>
      <c r="B246" s="525" t="s">
        <v>451</v>
      </c>
      <c r="C246" s="525" t="s">
        <v>462</v>
      </c>
      <c r="D246" s="526" t="s">
        <v>1149</v>
      </c>
      <c r="E246" s="527" t="s">
        <v>471</v>
      </c>
      <c r="F246" s="525" t="s">
        <v>456</v>
      </c>
      <c r="G246" s="525" t="s">
        <v>875</v>
      </c>
      <c r="H246" s="525" t="s">
        <v>446</v>
      </c>
      <c r="I246" s="525" t="s">
        <v>878</v>
      </c>
      <c r="J246" s="525" t="s">
        <v>879</v>
      </c>
      <c r="K246" s="525" t="s">
        <v>601</v>
      </c>
      <c r="L246" s="528">
        <v>835.93</v>
      </c>
      <c r="M246" s="528">
        <v>1671.86</v>
      </c>
      <c r="N246" s="525">
        <v>2</v>
      </c>
      <c r="O246" s="529">
        <v>1</v>
      </c>
      <c r="P246" s="528"/>
      <c r="Q246" s="530">
        <v>0</v>
      </c>
      <c r="R246" s="525"/>
      <c r="S246" s="530">
        <v>0</v>
      </c>
      <c r="T246" s="529"/>
      <c r="U246" s="531">
        <v>0</v>
      </c>
    </row>
    <row r="247" spans="1:21" ht="14.4" customHeight="1" x14ac:dyDescent="0.3">
      <c r="A247" s="524">
        <v>27</v>
      </c>
      <c r="B247" s="525" t="s">
        <v>451</v>
      </c>
      <c r="C247" s="525" t="s">
        <v>462</v>
      </c>
      <c r="D247" s="526" t="s">
        <v>1149</v>
      </c>
      <c r="E247" s="527" t="s">
        <v>471</v>
      </c>
      <c r="F247" s="525" t="s">
        <v>456</v>
      </c>
      <c r="G247" s="525" t="s">
        <v>1122</v>
      </c>
      <c r="H247" s="525" t="s">
        <v>415</v>
      </c>
      <c r="I247" s="525" t="s">
        <v>1123</v>
      </c>
      <c r="J247" s="525" t="s">
        <v>1124</v>
      </c>
      <c r="K247" s="525" t="s">
        <v>1125</v>
      </c>
      <c r="L247" s="528">
        <v>0</v>
      </c>
      <c r="M247" s="528">
        <v>0</v>
      </c>
      <c r="N247" s="525">
        <v>2</v>
      </c>
      <c r="O247" s="529">
        <v>1</v>
      </c>
      <c r="P247" s="528"/>
      <c r="Q247" s="530"/>
      <c r="R247" s="525"/>
      <c r="S247" s="530">
        <v>0</v>
      </c>
      <c r="T247" s="529"/>
      <c r="U247" s="531">
        <v>0</v>
      </c>
    </row>
    <row r="248" spans="1:21" ht="14.4" customHeight="1" x14ac:dyDescent="0.3">
      <c r="A248" s="524">
        <v>27</v>
      </c>
      <c r="B248" s="525" t="s">
        <v>451</v>
      </c>
      <c r="C248" s="525" t="s">
        <v>462</v>
      </c>
      <c r="D248" s="526" t="s">
        <v>1149</v>
      </c>
      <c r="E248" s="527" t="s">
        <v>471</v>
      </c>
      <c r="F248" s="525" t="s">
        <v>456</v>
      </c>
      <c r="G248" s="525" t="s">
        <v>1126</v>
      </c>
      <c r="H248" s="525" t="s">
        <v>415</v>
      </c>
      <c r="I248" s="525" t="s">
        <v>1127</v>
      </c>
      <c r="J248" s="525" t="s">
        <v>1128</v>
      </c>
      <c r="K248" s="525" t="s">
        <v>1129</v>
      </c>
      <c r="L248" s="528">
        <v>60.07</v>
      </c>
      <c r="M248" s="528">
        <v>180.21</v>
      </c>
      <c r="N248" s="525">
        <v>3</v>
      </c>
      <c r="O248" s="529">
        <v>0.5</v>
      </c>
      <c r="P248" s="528"/>
      <c r="Q248" s="530">
        <v>0</v>
      </c>
      <c r="R248" s="525"/>
      <c r="S248" s="530">
        <v>0</v>
      </c>
      <c r="T248" s="529"/>
      <c r="U248" s="531">
        <v>0</v>
      </c>
    </row>
    <row r="249" spans="1:21" ht="14.4" customHeight="1" x14ac:dyDescent="0.3">
      <c r="A249" s="524">
        <v>27</v>
      </c>
      <c r="B249" s="525" t="s">
        <v>451</v>
      </c>
      <c r="C249" s="525" t="s">
        <v>462</v>
      </c>
      <c r="D249" s="526" t="s">
        <v>1149</v>
      </c>
      <c r="E249" s="527" t="s">
        <v>471</v>
      </c>
      <c r="F249" s="525" t="s">
        <v>456</v>
      </c>
      <c r="G249" s="525" t="s">
        <v>972</v>
      </c>
      <c r="H249" s="525" t="s">
        <v>415</v>
      </c>
      <c r="I249" s="525" t="s">
        <v>1130</v>
      </c>
      <c r="J249" s="525" t="s">
        <v>974</v>
      </c>
      <c r="K249" s="525" t="s">
        <v>1054</v>
      </c>
      <c r="L249" s="528">
        <v>0</v>
      </c>
      <c r="M249" s="528">
        <v>0</v>
      </c>
      <c r="N249" s="525">
        <v>1</v>
      </c>
      <c r="O249" s="529">
        <v>0.5</v>
      </c>
      <c r="P249" s="528">
        <v>0</v>
      </c>
      <c r="Q249" s="530"/>
      <c r="R249" s="525">
        <v>1</v>
      </c>
      <c r="S249" s="530">
        <v>1</v>
      </c>
      <c r="T249" s="529">
        <v>0.5</v>
      </c>
      <c r="U249" s="531">
        <v>1</v>
      </c>
    </row>
    <row r="250" spans="1:21" ht="14.4" customHeight="1" x14ac:dyDescent="0.3">
      <c r="A250" s="524">
        <v>27</v>
      </c>
      <c r="B250" s="525" t="s">
        <v>451</v>
      </c>
      <c r="C250" s="525" t="s">
        <v>462</v>
      </c>
      <c r="D250" s="526" t="s">
        <v>1149</v>
      </c>
      <c r="E250" s="527" t="s">
        <v>471</v>
      </c>
      <c r="F250" s="525" t="s">
        <v>456</v>
      </c>
      <c r="G250" s="525" t="s">
        <v>972</v>
      </c>
      <c r="H250" s="525" t="s">
        <v>415</v>
      </c>
      <c r="I250" s="525" t="s">
        <v>1131</v>
      </c>
      <c r="J250" s="525" t="s">
        <v>1132</v>
      </c>
      <c r="K250" s="525" t="s">
        <v>975</v>
      </c>
      <c r="L250" s="528">
        <v>0</v>
      </c>
      <c r="M250" s="528">
        <v>0</v>
      </c>
      <c r="N250" s="525">
        <v>2</v>
      </c>
      <c r="O250" s="529">
        <v>1</v>
      </c>
      <c r="P250" s="528">
        <v>0</v>
      </c>
      <c r="Q250" s="530"/>
      <c r="R250" s="525">
        <v>2</v>
      </c>
      <c r="S250" s="530">
        <v>1</v>
      </c>
      <c r="T250" s="529">
        <v>1</v>
      </c>
      <c r="U250" s="531">
        <v>1</v>
      </c>
    </row>
    <row r="251" spans="1:21" ht="14.4" customHeight="1" x14ac:dyDescent="0.3">
      <c r="A251" s="524">
        <v>27</v>
      </c>
      <c r="B251" s="525" t="s">
        <v>451</v>
      </c>
      <c r="C251" s="525" t="s">
        <v>462</v>
      </c>
      <c r="D251" s="526" t="s">
        <v>1149</v>
      </c>
      <c r="E251" s="527" t="s">
        <v>471</v>
      </c>
      <c r="F251" s="525" t="s">
        <v>456</v>
      </c>
      <c r="G251" s="525" t="s">
        <v>1051</v>
      </c>
      <c r="H251" s="525" t="s">
        <v>415</v>
      </c>
      <c r="I251" s="525" t="s">
        <v>1133</v>
      </c>
      <c r="J251" s="525" t="s">
        <v>1134</v>
      </c>
      <c r="K251" s="525" t="s">
        <v>716</v>
      </c>
      <c r="L251" s="528">
        <v>0</v>
      </c>
      <c r="M251" s="528">
        <v>0</v>
      </c>
      <c r="N251" s="525">
        <v>3</v>
      </c>
      <c r="O251" s="529">
        <v>0.5</v>
      </c>
      <c r="P251" s="528"/>
      <c r="Q251" s="530"/>
      <c r="R251" s="525"/>
      <c r="S251" s="530">
        <v>0</v>
      </c>
      <c r="T251" s="529"/>
      <c r="U251" s="531">
        <v>0</v>
      </c>
    </row>
    <row r="252" spans="1:21" ht="14.4" customHeight="1" x14ac:dyDescent="0.3">
      <c r="A252" s="524">
        <v>27</v>
      </c>
      <c r="B252" s="525" t="s">
        <v>451</v>
      </c>
      <c r="C252" s="525" t="s">
        <v>462</v>
      </c>
      <c r="D252" s="526" t="s">
        <v>1149</v>
      </c>
      <c r="E252" s="527" t="s">
        <v>471</v>
      </c>
      <c r="F252" s="525" t="s">
        <v>456</v>
      </c>
      <c r="G252" s="525" t="s">
        <v>922</v>
      </c>
      <c r="H252" s="525" t="s">
        <v>415</v>
      </c>
      <c r="I252" s="525" t="s">
        <v>1135</v>
      </c>
      <c r="J252" s="525" t="s">
        <v>1136</v>
      </c>
      <c r="K252" s="525" t="s">
        <v>1137</v>
      </c>
      <c r="L252" s="528">
        <v>0</v>
      </c>
      <c r="M252" s="528">
        <v>0</v>
      </c>
      <c r="N252" s="525">
        <v>3</v>
      </c>
      <c r="O252" s="529">
        <v>0.5</v>
      </c>
      <c r="P252" s="528"/>
      <c r="Q252" s="530"/>
      <c r="R252" s="525"/>
      <c r="S252" s="530">
        <v>0</v>
      </c>
      <c r="T252" s="529"/>
      <c r="U252" s="531">
        <v>0</v>
      </c>
    </row>
    <row r="253" spans="1:21" ht="14.4" customHeight="1" x14ac:dyDescent="0.3">
      <c r="A253" s="524">
        <v>27</v>
      </c>
      <c r="B253" s="525" t="s">
        <v>451</v>
      </c>
      <c r="C253" s="525" t="s">
        <v>462</v>
      </c>
      <c r="D253" s="526" t="s">
        <v>1149</v>
      </c>
      <c r="E253" s="527" t="s">
        <v>471</v>
      </c>
      <c r="F253" s="525" t="s">
        <v>456</v>
      </c>
      <c r="G253" s="525" t="s">
        <v>1138</v>
      </c>
      <c r="H253" s="525" t="s">
        <v>446</v>
      </c>
      <c r="I253" s="525" t="s">
        <v>1139</v>
      </c>
      <c r="J253" s="525" t="s">
        <v>1140</v>
      </c>
      <c r="K253" s="525" t="s">
        <v>1141</v>
      </c>
      <c r="L253" s="528">
        <v>0</v>
      </c>
      <c r="M253" s="528">
        <v>0</v>
      </c>
      <c r="N253" s="525">
        <v>3</v>
      </c>
      <c r="O253" s="529">
        <v>0.5</v>
      </c>
      <c r="P253" s="528"/>
      <c r="Q253" s="530"/>
      <c r="R253" s="525"/>
      <c r="S253" s="530">
        <v>0</v>
      </c>
      <c r="T253" s="529"/>
      <c r="U253" s="531">
        <v>0</v>
      </c>
    </row>
    <row r="254" spans="1:21" ht="14.4" customHeight="1" x14ac:dyDescent="0.3">
      <c r="A254" s="524">
        <v>27</v>
      </c>
      <c r="B254" s="525" t="s">
        <v>451</v>
      </c>
      <c r="C254" s="525" t="s">
        <v>462</v>
      </c>
      <c r="D254" s="526" t="s">
        <v>1149</v>
      </c>
      <c r="E254" s="527" t="s">
        <v>471</v>
      </c>
      <c r="F254" s="525" t="s">
        <v>456</v>
      </c>
      <c r="G254" s="525" t="s">
        <v>926</v>
      </c>
      <c r="H254" s="525" t="s">
        <v>446</v>
      </c>
      <c r="I254" s="525" t="s">
        <v>927</v>
      </c>
      <c r="J254" s="525" t="s">
        <v>928</v>
      </c>
      <c r="K254" s="525" t="s">
        <v>929</v>
      </c>
      <c r="L254" s="528">
        <v>184.74</v>
      </c>
      <c r="M254" s="528">
        <v>184.74</v>
      </c>
      <c r="N254" s="525">
        <v>1</v>
      </c>
      <c r="O254" s="529">
        <v>0.5</v>
      </c>
      <c r="P254" s="528">
        <v>184.74</v>
      </c>
      <c r="Q254" s="530">
        <v>1</v>
      </c>
      <c r="R254" s="525">
        <v>1</v>
      </c>
      <c r="S254" s="530">
        <v>1</v>
      </c>
      <c r="T254" s="529">
        <v>0.5</v>
      </c>
      <c r="U254" s="531">
        <v>1</v>
      </c>
    </row>
    <row r="255" spans="1:21" ht="14.4" customHeight="1" x14ac:dyDescent="0.3">
      <c r="A255" s="524">
        <v>27</v>
      </c>
      <c r="B255" s="525" t="s">
        <v>451</v>
      </c>
      <c r="C255" s="525" t="s">
        <v>462</v>
      </c>
      <c r="D255" s="526" t="s">
        <v>1149</v>
      </c>
      <c r="E255" s="527" t="s">
        <v>471</v>
      </c>
      <c r="F255" s="525" t="s">
        <v>456</v>
      </c>
      <c r="G255" s="525" t="s">
        <v>934</v>
      </c>
      <c r="H255" s="525" t="s">
        <v>415</v>
      </c>
      <c r="I255" s="525" t="s">
        <v>1142</v>
      </c>
      <c r="J255" s="525" t="s">
        <v>1143</v>
      </c>
      <c r="K255" s="525" t="s">
        <v>1144</v>
      </c>
      <c r="L255" s="528">
        <v>0</v>
      </c>
      <c r="M255" s="528">
        <v>0</v>
      </c>
      <c r="N255" s="525">
        <v>1</v>
      </c>
      <c r="O255" s="529">
        <v>0.5</v>
      </c>
      <c r="P255" s="528">
        <v>0</v>
      </c>
      <c r="Q255" s="530"/>
      <c r="R255" s="525">
        <v>1</v>
      </c>
      <c r="S255" s="530">
        <v>1</v>
      </c>
      <c r="T255" s="529">
        <v>0.5</v>
      </c>
      <c r="U255" s="531">
        <v>1</v>
      </c>
    </row>
    <row r="256" spans="1:21" ht="14.4" customHeight="1" x14ac:dyDescent="0.3">
      <c r="A256" s="524">
        <v>27</v>
      </c>
      <c r="B256" s="525" t="s">
        <v>451</v>
      </c>
      <c r="C256" s="525" t="s">
        <v>462</v>
      </c>
      <c r="D256" s="526" t="s">
        <v>1149</v>
      </c>
      <c r="E256" s="527" t="s">
        <v>471</v>
      </c>
      <c r="F256" s="525" t="s">
        <v>456</v>
      </c>
      <c r="G256" s="525" t="s">
        <v>934</v>
      </c>
      <c r="H256" s="525" t="s">
        <v>415</v>
      </c>
      <c r="I256" s="525" t="s">
        <v>1145</v>
      </c>
      <c r="J256" s="525" t="s">
        <v>936</v>
      </c>
      <c r="K256" s="525" t="s">
        <v>1146</v>
      </c>
      <c r="L256" s="528">
        <v>140.38</v>
      </c>
      <c r="M256" s="528">
        <v>561.52</v>
      </c>
      <c r="N256" s="525">
        <v>4</v>
      </c>
      <c r="O256" s="529">
        <v>2</v>
      </c>
      <c r="P256" s="528">
        <v>280.76</v>
      </c>
      <c r="Q256" s="530">
        <v>0.5</v>
      </c>
      <c r="R256" s="525">
        <v>2</v>
      </c>
      <c r="S256" s="530">
        <v>0.5</v>
      </c>
      <c r="T256" s="529">
        <v>1</v>
      </c>
      <c r="U256" s="531">
        <v>0.5</v>
      </c>
    </row>
    <row r="257" spans="1:21" ht="14.4" customHeight="1" thickBot="1" x14ac:dyDescent="0.35">
      <c r="A257" s="532">
        <v>27</v>
      </c>
      <c r="B257" s="533" t="s">
        <v>451</v>
      </c>
      <c r="C257" s="533" t="s">
        <v>462</v>
      </c>
      <c r="D257" s="534" t="s">
        <v>1149</v>
      </c>
      <c r="E257" s="535" t="s">
        <v>471</v>
      </c>
      <c r="F257" s="533" t="s">
        <v>456</v>
      </c>
      <c r="G257" s="533" t="s">
        <v>934</v>
      </c>
      <c r="H257" s="533" t="s">
        <v>415</v>
      </c>
      <c r="I257" s="533" t="s">
        <v>938</v>
      </c>
      <c r="J257" s="533" t="s">
        <v>936</v>
      </c>
      <c r="K257" s="533" t="s">
        <v>939</v>
      </c>
      <c r="L257" s="536">
        <v>421.13</v>
      </c>
      <c r="M257" s="536">
        <v>421.13</v>
      </c>
      <c r="N257" s="533">
        <v>1</v>
      </c>
      <c r="O257" s="537">
        <v>1</v>
      </c>
      <c r="P257" s="536">
        <v>421.13</v>
      </c>
      <c r="Q257" s="538">
        <v>1</v>
      </c>
      <c r="R257" s="533">
        <v>1</v>
      </c>
      <c r="S257" s="538">
        <v>1</v>
      </c>
      <c r="T257" s="537">
        <v>1</v>
      </c>
      <c r="U257" s="539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5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1151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250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540" t="s">
        <v>161</v>
      </c>
      <c r="B4" s="541" t="s">
        <v>14</v>
      </c>
      <c r="C4" s="542" t="s">
        <v>2</v>
      </c>
      <c r="D4" s="541" t="s">
        <v>14</v>
      </c>
      <c r="E4" s="542" t="s">
        <v>2</v>
      </c>
      <c r="F4" s="543" t="s">
        <v>14</v>
      </c>
    </row>
    <row r="5" spans="1:6" ht="14.4" customHeight="1" x14ac:dyDescent="0.3">
      <c r="A5" s="556" t="s">
        <v>469</v>
      </c>
      <c r="B5" s="116">
        <v>1739.1800000000003</v>
      </c>
      <c r="C5" s="523">
        <v>6.6046724645562521E-2</v>
      </c>
      <c r="D5" s="116">
        <v>24593.39</v>
      </c>
      <c r="E5" s="523">
        <v>0.93395327535443751</v>
      </c>
      <c r="F5" s="544">
        <v>26332.57</v>
      </c>
    </row>
    <row r="6" spans="1:6" ht="14.4" customHeight="1" x14ac:dyDescent="0.3">
      <c r="A6" s="557" t="s">
        <v>468</v>
      </c>
      <c r="B6" s="545">
        <v>72.260000000000005</v>
      </c>
      <c r="C6" s="530">
        <v>0.22019075479172381</v>
      </c>
      <c r="D6" s="545">
        <v>255.91</v>
      </c>
      <c r="E6" s="530">
        <v>0.7798092452082761</v>
      </c>
      <c r="F6" s="546">
        <v>328.17</v>
      </c>
    </row>
    <row r="7" spans="1:6" ht="14.4" customHeight="1" x14ac:dyDescent="0.3">
      <c r="A7" s="557" t="s">
        <v>472</v>
      </c>
      <c r="B7" s="545">
        <v>52.739999999999995</v>
      </c>
      <c r="C7" s="530">
        <v>7.1108354624941864E-3</v>
      </c>
      <c r="D7" s="545">
        <v>7364.1099999999988</v>
      </c>
      <c r="E7" s="530">
        <v>0.99288916453750586</v>
      </c>
      <c r="F7" s="546">
        <v>7416.8499999999985</v>
      </c>
    </row>
    <row r="8" spans="1:6" ht="14.4" customHeight="1" x14ac:dyDescent="0.3">
      <c r="A8" s="557" t="s">
        <v>473</v>
      </c>
      <c r="B8" s="545"/>
      <c r="C8" s="530">
        <v>0</v>
      </c>
      <c r="D8" s="545">
        <v>48.27</v>
      </c>
      <c r="E8" s="530">
        <v>1</v>
      </c>
      <c r="F8" s="546">
        <v>48.27</v>
      </c>
    </row>
    <row r="9" spans="1:6" ht="14.4" customHeight="1" x14ac:dyDescent="0.3">
      <c r="A9" s="557" t="s">
        <v>471</v>
      </c>
      <c r="B9" s="545">
        <v>0</v>
      </c>
      <c r="C9" s="530">
        <v>0</v>
      </c>
      <c r="D9" s="545">
        <v>13029.140000000001</v>
      </c>
      <c r="E9" s="530">
        <v>1</v>
      </c>
      <c r="F9" s="546">
        <v>13029.140000000001</v>
      </c>
    </row>
    <row r="10" spans="1:6" ht="14.4" customHeight="1" thickBot="1" x14ac:dyDescent="0.35">
      <c r="A10" s="558" t="s">
        <v>470</v>
      </c>
      <c r="B10" s="549"/>
      <c r="C10" s="550">
        <v>0</v>
      </c>
      <c r="D10" s="549">
        <v>36.54</v>
      </c>
      <c r="E10" s="550">
        <v>1</v>
      </c>
      <c r="F10" s="551">
        <v>36.54</v>
      </c>
    </row>
    <row r="11" spans="1:6" ht="14.4" customHeight="1" thickBot="1" x14ac:dyDescent="0.35">
      <c r="A11" s="552" t="s">
        <v>3</v>
      </c>
      <c r="B11" s="553">
        <v>1864.1800000000003</v>
      </c>
      <c r="C11" s="554">
        <v>3.9502419289559117E-2</v>
      </c>
      <c r="D11" s="553">
        <v>45327.360000000001</v>
      </c>
      <c r="E11" s="554">
        <v>0.960497580710441</v>
      </c>
      <c r="F11" s="555">
        <v>47191.539999999994</v>
      </c>
    </row>
    <row r="12" spans="1:6" ht="14.4" customHeight="1" thickBot="1" x14ac:dyDescent="0.35"/>
    <row r="13" spans="1:6" ht="14.4" customHeight="1" x14ac:dyDescent="0.3">
      <c r="A13" s="556" t="s">
        <v>1152</v>
      </c>
      <c r="B13" s="116">
        <v>353.18</v>
      </c>
      <c r="C13" s="523">
        <v>5.4659642432646587E-2</v>
      </c>
      <c r="D13" s="116">
        <v>6108.26</v>
      </c>
      <c r="E13" s="523">
        <v>0.94534035756735335</v>
      </c>
      <c r="F13" s="544">
        <v>6461.4400000000005</v>
      </c>
    </row>
    <row r="14" spans="1:6" ht="14.4" customHeight="1" x14ac:dyDescent="0.3">
      <c r="A14" s="557" t="s">
        <v>1153</v>
      </c>
      <c r="B14" s="545">
        <v>330.06</v>
      </c>
      <c r="C14" s="530">
        <v>0.65280854430379742</v>
      </c>
      <c r="D14" s="545">
        <v>175.54</v>
      </c>
      <c r="E14" s="530">
        <v>0.34719145569620252</v>
      </c>
      <c r="F14" s="546">
        <v>505.6</v>
      </c>
    </row>
    <row r="15" spans="1:6" ht="14.4" customHeight="1" x14ac:dyDescent="0.3">
      <c r="A15" s="557" t="s">
        <v>1154</v>
      </c>
      <c r="B15" s="545">
        <v>320.20999999999998</v>
      </c>
      <c r="C15" s="530">
        <v>0.50000780749832141</v>
      </c>
      <c r="D15" s="545">
        <v>320.2</v>
      </c>
      <c r="E15" s="530">
        <v>0.49999219250167865</v>
      </c>
      <c r="F15" s="546">
        <v>640.41</v>
      </c>
    </row>
    <row r="16" spans="1:6" ht="14.4" customHeight="1" x14ac:dyDescent="0.3">
      <c r="A16" s="557" t="s">
        <v>1155</v>
      </c>
      <c r="B16" s="545">
        <v>300.33</v>
      </c>
      <c r="C16" s="530">
        <v>1</v>
      </c>
      <c r="D16" s="545"/>
      <c r="E16" s="530">
        <v>0</v>
      </c>
      <c r="F16" s="546">
        <v>300.33</v>
      </c>
    </row>
    <row r="17" spans="1:6" ht="14.4" customHeight="1" x14ac:dyDescent="0.3">
      <c r="A17" s="557" t="s">
        <v>1156</v>
      </c>
      <c r="B17" s="545">
        <v>263.24</v>
      </c>
      <c r="C17" s="530">
        <v>1</v>
      </c>
      <c r="D17" s="545"/>
      <c r="E17" s="530">
        <v>0</v>
      </c>
      <c r="F17" s="546">
        <v>263.24</v>
      </c>
    </row>
    <row r="18" spans="1:6" ht="14.4" customHeight="1" x14ac:dyDescent="0.3">
      <c r="A18" s="557" t="s">
        <v>1157</v>
      </c>
      <c r="B18" s="545">
        <v>158.06</v>
      </c>
      <c r="C18" s="530">
        <v>0.28919057377049179</v>
      </c>
      <c r="D18" s="545">
        <v>388.50000000000006</v>
      </c>
      <c r="E18" s="530">
        <v>0.71080942622950827</v>
      </c>
      <c r="F18" s="546">
        <v>546.56000000000006</v>
      </c>
    </row>
    <row r="19" spans="1:6" ht="14.4" customHeight="1" x14ac:dyDescent="0.3">
      <c r="A19" s="557" t="s">
        <v>1158</v>
      </c>
      <c r="B19" s="545">
        <v>72.260000000000005</v>
      </c>
      <c r="C19" s="530">
        <v>0.11884086573251762</v>
      </c>
      <c r="D19" s="545">
        <v>535.78</v>
      </c>
      <c r="E19" s="530">
        <v>0.88115913426748238</v>
      </c>
      <c r="F19" s="546">
        <v>608.04</v>
      </c>
    </row>
    <row r="20" spans="1:6" ht="14.4" customHeight="1" x14ac:dyDescent="0.3">
      <c r="A20" s="557" t="s">
        <v>1159</v>
      </c>
      <c r="B20" s="545">
        <v>52.739999999999995</v>
      </c>
      <c r="C20" s="530">
        <v>0.27300962832591363</v>
      </c>
      <c r="D20" s="545">
        <v>140.44</v>
      </c>
      <c r="E20" s="530">
        <v>0.72699037167408631</v>
      </c>
      <c r="F20" s="546">
        <v>193.18</v>
      </c>
    </row>
    <row r="21" spans="1:6" ht="14.4" customHeight="1" x14ac:dyDescent="0.3">
      <c r="A21" s="557" t="s">
        <v>1160</v>
      </c>
      <c r="B21" s="545">
        <v>14.100000000000001</v>
      </c>
      <c r="C21" s="530">
        <v>1</v>
      </c>
      <c r="D21" s="545"/>
      <c r="E21" s="530">
        <v>0</v>
      </c>
      <c r="F21" s="546">
        <v>14.100000000000001</v>
      </c>
    </row>
    <row r="22" spans="1:6" ht="14.4" customHeight="1" x14ac:dyDescent="0.3">
      <c r="A22" s="557" t="s">
        <v>1161</v>
      </c>
      <c r="B22" s="545"/>
      <c r="C22" s="530">
        <v>0</v>
      </c>
      <c r="D22" s="545">
        <v>432.03</v>
      </c>
      <c r="E22" s="530">
        <v>1</v>
      </c>
      <c r="F22" s="546">
        <v>432.03</v>
      </c>
    </row>
    <row r="23" spans="1:6" ht="14.4" customHeight="1" x14ac:dyDescent="0.3">
      <c r="A23" s="557" t="s">
        <v>1162</v>
      </c>
      <c r="B23" s="545"/>
      <c r="C23" s="530">
        <v>0</v>
      </c>
      <c r="D23" s="545">
        <v>36.54</v>
      </c>
      <c r="E23" s="530">
        <v>1</v>
      </c>
      <c r="F23" s="546">
        <v>36.54</v>
      </c>
    </row>
    <row r="24" spans="1:6" ht="14.4" customHeight="1" x14ac:dyDescent="0.3">
      <c r="A24" s="557" t="s">
        <v>1163</v>
      </c>
      <c r="B24" s="545">
        <v>0</v>
      </c>
      <c r="C24" s="530"/>
      <c r="D24" s="545"/>
      <c r="E24" s="530"/>
      <c r="F24" s="546">
        <v>0</v>
      </c>
    </row>
    <row r="25" spans="1:6" ht="14.4" customHeight="1" x14ac:dyDescent="0.3">
      <c r="A25" s="557" t="s">
        <v>1164</v>
      </c>
      <c r="B25" s="545"/>
      <c r="C25" s="530">
        <v>0</v>
      </c>
      <c r="D25" s="545">
        <v>229.38</v>
      </c>
      <c r="E25" s="530">
        <v>1</v>
      </c>
      <c r="F25" s="546">
        <v>229.38</v>
      </c>
    </row>
    <row r="26" spans="1:6" ht="14.4" customHeight="1" x14ac:dyDescent="0.3">
      <c r="A26" s="557" t="s">
        <v>1165</v>
      </c>
      <c r="B26" s="545"/>
      <c r="C26" s="530">
        <v>0</v>
      </c>
      <c r="D26" s="545">
        <v>242.79</v>
      </c>
      <c r="E26" s="530">
        <v>1</v>
      </c>
      <c r="F26" s="546">
        <v>242.79</v>
      </c>
    </row>
    <row r="27" spans="1:6" ht="14.4" customHeight="1" x14ac:dyDescent="0.3">
      <c r="A27" s="557" t="s">
        <v>1166</v>
      </c>
      <c r="B27" s="545"/>
      <c r="C27" s="530">
        <v>0</v>
      </c>
      <c r="D27" s="545">
        <v>11731.58</v>
      </c>
      <c r="E27" s="530">
        <v>1</v>
      </c>
      <c r="F27" s="546">
        <v>11731.58</v>
      </c>
    </row>
    <row r="28" spans="1:6" ht="14.4" customHeight="1" x14ac:dyDescent="0.3">
      <c r="A28" s="557" t="s">
        <v>1167</v>
      </c>
      <c r="B28" s="545"/>
      <c r="C28" s="530">
        <v>0</v>
      </c>
      <c r="D28" s="545">
        <v>556.04</v>
      </c>
      <c r="E28" s="530">
        <v>1</v>
      </c>
      <c r="F28" s="546">
        <v>556.04</v>
      </c>
    </row>
    <row r="29" spans="1:6" ht="14.4" customHeight="1" x14ac:dyDescent="0.3">
      <c r="A29" s="557" t="s">
        <v>1168</v>
      </c>
      <c r="B29" s="545"/>
      <c r="C29" s="530">
        <v>0</v>
      </c>
      <c r="D29" s="545">
        <v>138.75</v>
      </c>
      <c r="E29" s="530">
        <v>1</v>
      </c>
      <c r="F29" s="546">
        <v>138.75</v>
      </c>
    </row>
    <row r="30" spans="1:6" ht="14.4" customHeight="1" x14ac:dyDescent="0.3">
      <c r="A30" s="557" t="s">
        <v>1169</v>
      </c>
      <c r="B30" s="545"/>
      <c r="C30" s="530">
        <v>0</v>
      </c>
      <c r="D30" s="545">
        <v>820.19</v>
      </c>
      <c r="E30" s="530">
        <v>1</v>
      </c>
      <c r="F30" s="546">
        <v>820.19</v>
      </c>
    </row>
    <row r="31" spans="1:6" ht="14.4" customHeight="1" x14ac:dyDescent="0.3">
      <c r="A31" s="557" t="s">
        <v>1170</v>
      </c>
      <c r="B31" s="545"/>
      <c r="C31" s="530">
        <v>0</v>
      </c>
      <c r="D31" s="545">
        <v>369.48</v>
      </c>
      <c r="E31" s="530">
        <v>1</v>
      </c>
      <c r="F31" s="546">
        <v>369.48</v>
      </c>
    </row>
    <row r="32" spans="1:6" ht="14.4" customHeight="1" x14ac:dyDescent="0.3">
      <c r="A32" s="557" t="s">
        <v>1171</v>
      </c>
      <c r="B32" s="545">
        <v>0</v>
      </c>
      <c r="C32" s="530"/>
      <c r="D32" s="545"/>
      <c r="E32" s="530"/>
      <c r="F32" s="546">
        <v>0</v>
      </c>
    </row>
    <row r="33" spans="1:6" ht="14.4" customHeight="1" x14ac:dyDescent="0.3">
      <c r="A33" s="557" t="s">
        <v>1172</v>
      </c>
      <c r="B33" s="545">
        <v>0</v>
      </c>
      <c r="C33" s="530"/>
      <c r="D33" s="545"/>
      <c r="E33" s="530"/>
      <c r="F33" s="546">
        <v>0</v>
      </c>
    </row>
    <row r="34" spans="1:6" ht="14.4" customHeight="1" x14ac:dyDescent="0.3">
      <c r="A34" s="557" t="s">
        <v>1173</v>
      </c>
      <c r="B34" s="545"/>
      <c r="C34" s="530">
        <v>0</v>
      </c>
      <c r="D34" s="545">
        <v>176.57999999999998</v>
      </c>
      <c r="E34" s="530">
        <v>1</v>
      </c>
      <c r="F34" s="546">
        <v>176.57999999999998</v>
      </c>
    </row>
    <row r="35" spans="1:6" ht="14.4" customHeight="1" x14ac:dyDescent="0.3">
      <c r="A35" s="557" t="s">
        <v>1174</v>
      </c>
      <c r="B35" s="545"/>
      <c r="C35" s="530">
        <v>0</v>
      </c>
      <c r="D35" s="545">
        <v>1625.0499999999997</v>
      </c>
      <c r="E35" s="530">
        <v>1</v>
      </c>
      <c r="F35" s="546">
        <v>1625.0499999999997</v>
      </c>
    </row>
    <row r="36" spans="1:6" ht="14.4" customHeight="1" x14ac:dyDescent="0.3">
      <c r="A36" s="557" t="s">
        <v>1175</v>
      </c>
      <c r="B36" s="545"/>
      <c r="C36" s="530">
        <v>0</v>
      </c>
      <c r="D36" s="545">
        <v>7871.7900000000018</v>
      </c>
      <c r="E36" s="530">
        <v>1</v>
      </c>
      <c r="F36" s="546">
        <v>7871.7900000000018</v>
      </c>
    </row>
    <row r="37" spans="1:6" ht="14.4" customHeight="1" x14ac:dyDescent="0.3">
      <c r="A37" s="557" t="s">
        <v>1176</v>
      </c>
      <c r="B37" s="545"/>
      <c r="C37" s="530">
        <v>0</v>
      </c>
      <c r="D37" s="545">
        <v>537.12</v>
      </c>
      <c r="E37" s="530">
        <v>1</v>
      </c>
      <c r="F37" s="546">
        <v>537.12</v>
      </c>
    </row>
    <row r="38" spans="1:6" ht="14.4" customHeight="1" x14ac:dyDescent="0.3">
      <c r="A38" s="557" t="s">
        <v>1177</v>
      </c>
      <c r="B38" s="545"/>
      <c r="C38" s="530">
        <v>0</v>
      </c>
      <c r="D38" s="545">
        <v>739.33</v>
      </c>
      <c r="E38" s="530">
        <v>1</v>
      </c>
      <c r="F38" s="546">
        <v>739.33</v>
      </c>
    </row>
    <row r="39" spans="1:6" ht="14.4" customHeight="1" x14ac:dyDescent="0.3">
      <c r="A39" s="557" t="s">
        <v>1178</v>
      </c>
      <c r="B39" s="545"/>
      <c r="C39" s="530">
        <v>0</v>
      </c>
      <c r="D39" s="545">
        <v>197.96999999999997</v>
      </c>
      <c r="E39" s="530">
        <v>1</v>
      </c>
      <c r="F39" s="546">
        <v>197.96999999999997</v>
      </c>
    </row>
    <row r="40" spans="1:6" ht="14.4" customHeight="1" x14ac:dyDescent="0.3">
      <c r="A40" s="557" t="s">
        <v>1179</v>
      </c>
      <c r="B40" s="545"/>
      <c r="C40" s="530">
        <v>0</v>
      </c>
      <c r="D40" s="545">
        <v>111.47999999999999</v>
      </c>
      <c r="E40" s="530">
        <v>1</v>
      </c>
      <c r="F40" s="546">
        <v>111.47999999999999</v>
      </c>
    </row>
    <row r="41" spans="1:6" ht="14.4" customHeight="1" x14ac:dyDescent="0.3">
      <c r="A41" s="557" t="s">
        <v>1180</v>
      </c>
      <c r="B41" s="545"/>
      <c r="C41" s="530"/>
      <c r="D41" s="545">
        <v>0</v>
      </c>
      <c r="E41" s="530"/>
      <c r="F41" s="546">
        <v>0</v>
      </c>
    </row>
    <row r="42" spans="1:6" ht="14.4" customHeight="1" x14ac:dyDescent="0.3">
      <c r="A42" s="557" t="s">
        <v>1181</v>
      </c>
      <c r="B42" s="545"/>
      <c r="C42" s="530">
        <v>0</v>
      </c>
      <c r="D42" s="545">
        <v>141.08000000000001</v>
      </c>
      <c r="E42" s="530">
        <v>1</v>
      </c>
      <c r="F42" s="546">
        <v>141.08000000000001</v>
      </c>
    </row>
    <row r="43" spans="1:6" ht="14.4" customHeight="1" x14ac:dyDescent="0.3">
      <c r="A43" s="557" t="s">
        <v>1182</v>
      </c>
      <c r="B43" s="545"/>
      <c r="C43" s="530">
        <v>0</v>
      </c>
      <c r="D43" s="545">
        <v>2669.75</v>
      </c>
      <c r="E43" s="530">
        <v>1</v>
      </c>
      <c r="F43" s="546">
        <v>2669.75</v>
      </c>
    </row>
    <row r="44" spans="1:6" ht="14.4" customHeight="1" x14ac:dyDescent="0.3">
      <c r="A44" s="557" t="s">
        <v>1183</v>
      </c>
      <c r="B44" s="545"/>
      <c r="C44" s="530">
        <v>0</v>
      </c>
      <c r="D44" s="545">
        <v>591.93000000000006</v>
      </c>
      <c r="E44" s="530">
        <v>1</v>
      </c>
      <c r="F44" s="546">
        <v>591.93000000000006</v>
      </c>
    </row>
    <row r="45" spans="1:6" ht="14.4" customHeight="1" x14ac:dyDescent="0.3">
      <c r="A45" s="557" t="s">
        <v>1184</v>
      </c>
      <c r="B45" s="545">
        <v>0</v>
      </c>
      <c r="C45" s="530">
        <v>0</v>
      </c>
      <c r="D45" s="545">
        <v>164.94</v>
      </c>
      <c r="E45" s="530">
        <v>1</v>
      </c>
      <c r="F45" s="546">
        <v>164.94</v>
      </c>
    </row>
    <row r="46" spans="1:6" ht="14.4" customHeight="1" x14ac:dyDescent="0.3">
      <c r="A46" s="557" t="s">
        <v>1185</v>
      </c>
      <c r="B46" s="545"/>
      <c r="C46" s="530"/>
      <c r="D46" s="545">
        <v>0</v>
      </c>
      <c r="E46" s="530"/>
      <c r="F46" s="546">
        <v>0</v>
      </c>
    </row>
    <row r="47" spans="1:6" ht="14.4" customHeight="1" x14ac:dyDescent="0.3">
      <c r="A47" s="557" t="s">
        <v>1186</v>
      </c>
      <c r="B47" s="545">
        <v>0</v>
      </c>
      <c r="C47" s="530"/>
      <c r="D47" s="545"/>
      <c r="E47" s="530"/>
      <c r="F47" s="546">
        <v>0</v>
      </c>
    </row>
    <row r="48" spans="1:6" ht="14.4" customHeight="1" x14ac:dyDescent="0.3">
      <c r="A48" s="557" t="s">
        <v>1187</v>
      </c>
      <c r="B48" s="545"/>
      <c r="C48" s="530">
        <v>0</v>
      </c>
      <c r="D48" s="545">
        <v>3022.55</v>
      </c>
      <c r="E48" s="530">
        <v>1</v>
      </c>
      <c r="F48" s="546">
        <v>3022.55</v>
      </c>
    </row>
    <row r="49" spans="1:6" ht="14.4" customHeight="1" x14ac:dyDescent="0.3">
      <c r="A49" s="557" t="s">
        <v>1188</v>
      </c>
      <c r="B49" s="545"/>
      <c r="C49" s="530">
        <v>0</v>
      </c>
      <c r="D49" s="545">
        <v>259.5</v>
      </c>
      <c r="E49" s="530">
        <v>1</v>
      </c>
      <c r="F49" s="546">
        <v>259.5</v>
      </c>
    </row>
    <row r="50" spans="1:6" ht="14.4" customHeight="1" x14ac:dyDescent="0.3">
      <c r="A50" s="557" t="s">
        <v>1189</v>
      </c>
      <c r="B50" s="545"/>
      <c r="C50" s="530">
        <v>0</v>
      </c>
      <c r="D50" s="545">
        <v>389.07</v>
      </c>
      <c r="E50" s="530">
        <v>1</v>
      </c>
      <c r="F50" s="546">
        <v>389.07</v>
      </c>
    </row>
    <row r="51" spans="1:6" ht="14.4" customHeight="1" x14ac:dyDescent="0.3">
      <c r="A51" s="557" t="s">
        <v>1190</v>
      </c>
      <c r="B51" s="545"/>
      <c r="C51" s="530">
        <v>0</v>
      </c>
      <c r="D51" s="545">
        <v>727.62000000000012</v>
      </c>
      <c r="E51" s="530">
        <v>1</v>
      </c>
      <c r="F51" s="546">
        <v>727.62000000000012</v>
      </c>
    </row>
    <row r="52" spans="1:6" ht="14.4" customHeight="1" thickBot="1" x14ac:dyDescent="0.35">
      <c r="A52" s="558" t="s">
        <v>1191</v>
      </c>
      <c r="B52" s="549"/>
      <c r="C52" s="550">
        <v>0</v>
      </c>
      <c r="D52" s="549">
        <v>3876.0999999999995</v>
      </c>
      <c r="E52" s="550">
        <v>1</v>
      </c>
      <c r="F52" s="551">
        <v>3876.0999999999995</v>
      </c>
    </row>
    <row r="53" spans="1:6" ht="14.4" customHeight="1" thickBot="1" x14ac:dyDescent="0.35">
      <c r="A53" s="552" t="s">
        <v>3</v>
      </c>
      <c r="B53" s="553">
        <v>1864.1799999999998</v>
      </c>
      <c r="C53" s="554">
        <v>3.9502419289559096E-2</v>
      </c>
      <c r="D53" s="553">
        <v>45327.360000000015</v>
      </c>
      <c r="E53" s="554">
        <v>0.960497580710441</v>
      </c>
      <c r="F53" s="555">
        <v>47191.540000000008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{B2DC4B16-C7AA-4407-94B1-6BFB29B22CF4}</x14:id>
        </ext>
      </extLst>
    </cfRule>
  </conditionalFormatting>
  <conditionalFormatting sqref="F13:F5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{5ED67A65-807F-40E1-81F6-0F0122A04FDF}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2DC4B16-C7AA-4407-94B1-6BFB29B22CF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5ED67A65-807F-40E1-81F6-0F0122A04FD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F13:F52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0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1232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250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45</v>
      </c>
      <c r="G3" s="43">
        <f>SUBTOTAL(9,G6:G1048576)</f>
        <v>1864.18</v>
      </c>
      <c r="H3" s="44">
        <f>IF(M3=0,0,G3/M3)</f>
        <v>3.9502419289559096E-2</v>
      </c>
      <c r="I3" s="43">
        <f>SUBTOTAL(9,I6:I1048576)</f>
        <v>194</v>
      </c>
      <c r="J3" s="43">
        <f>SUBTOTAL(9,J6:J1048576)</f>
        <v>45327.360000000015</v>
      </c>
      <c r="K3" s="44">
        <f>IF(M3=0,0,J3/M3)</f>
        <v>0.960497580710441</v>
      </c>
      <c r="L3" s="43">
        <f>SUBTOTAL(9,L6:L1048576)</f>
        <v>239</v>
      </c>
      <c r="M3" s="45">
        <f>SUBTOTAL(9,M6:M1048576)</f>
        <v>47191.540000000008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540" t="s">
        <v>135</v>
      </c>
      <c r="B5" s="560" t="s">
        <v>131</v>
      </c>
      <c r="C5" s="560" t="s">
        <v>71</v>
      </c>
      <c r="D5" s="560" t="s">
        <v>132</v>
      </c>
      <c r="E5" s="560" t="s">
        <v>133</v>
      </c>
      <c r="F5" s="561" t="s">
        <v>28</v>
      </c>
      <c r="G5" s="561" t="s">
        <v>14</v>
      </c>
      <c r="H5" s="542" t="s">
        <v>134</v>
      </c>
      <c r="I5" s="541" t="s">
        <v>28</v>
      </c>
      <c r="J5" s="561" t="s">
        <v>14</v>
      </c>
      <c r="K5" s="542" t="s">
        <v>134</v>
      </c>
      <c r="L5" s="541" t="s">
        <v>28</v>
      </c>
      <c r="M5" s="562" t="s">
        <v>14</v>
      </c>
    </row>
    <row r="6" spans="1:13" ht="14.4" customHeight="1" x14ac:dyDescent="0.3">
      <c r="A6" s="517" t="s">
        <v>468</v>
      </c>
      <c r="B6" s="518" t="s">
        <v>1192</v>
      </c>
      <c r="C6" s="518" t="s">
        <v>517</v>
      </c>
      <c r="D6" s="518" t="s">
        <v>518</v>
      </c>
      <c r="E6" s="518" t="s">
        <v>519</v>
      </c>
      <c r="F6" s="116"/>
      <c r="G6" s="116"/>
      <c r="H6" s="523">
        <v>0</v>
      </c>
      <c r="I6" s="116">
        <v>1</v>
      </c>
      <c r="J6" s="116">
        <v>150.59</v>
      </c>
      <c r="K6" s="523">
        <v>1</v>
      </c>
      <c r="L6" s="116">
        <v>1</v>
      </c>
      <c r="M6" s="544">
        <v>150.59</v>
      </c>
    </row>
    <row r="7" spans="1:13" ht="14.4" customHeight="1" x14ac:dyDescent="0.3">
      <c r="A7" s="524" t="s">
        <v>468</v>
      </c>
      <c r="B7" s="525" t="s">
        <v>1193</v>
      </c>
      <c r="C7" s="525" t="s">
        <v>497</v>
      </c>
      <c r="D7" s="525" t="s">
        <v>498</v>
      </c>
      <c r="E7" s="525" t="s">
        <v>499</v>
      </c>
      <c r="F7" s="545">
        <v>1</v>
      </c>
      <c r="G7" s="545">
        <v>0</v>
      </c>
      <c r="H7" s="530"/>
      <c r="I7" s="545"/>
      <c r="J7" s="545"/>
      <c r="K7" s="530"/>
      <c r="L7" s="545">
        <v>1</v>
      </c>
      <c r="M7" s="546">
        <v>0</v>
      </c>
    </row>
    <row r="8" spans="1:13" ht="14.4" customHeight="1" x14ac:dyDescent="0.3">
      <c r="A8" s="524" t="s">
        <v>468</v>
      </c>
      <c r="B8" s="525" t="s">
        <v>1193</v>
      </c>
      <c r="C8" s="525" t="s">
        <v>500</v>
      </c>
      <c r="D8" s="525" t="s">
        <v>498</v>
      </c>
      <c r="E8" s="525" t="s">
        <v>501</v>
      </c>
      <c r="F8" s="545">
        <v>1</v>
      </c>
      <c r="G8" s="545">
        <v>72.260000000000005</v>
      </c>
      <c r="H8" s="530">
        <v>1</v>
      </c>
      <c r="I8" s="545"/>
      <c r="J8" s="545"/>
      <c r="K8" s="530">
        <v>0</v>
      </c>
      <c r="L8" s="545">
        <v>1</v>
      </c>
      <c r="M8" s="546">
        <v>72.260000000000005</v>
      </c>
    </row>
    <row r="9" spans="1:13" ht="14.4" customHeight="1" x14ac:dyDescent="0.3">
      <c r="A9" s="524" t="s">
        <v>468</v>
      </c>
      <c r="B9" s="525" t="s">
        <v>1194</v>
      </c>
      <c r="C9" s="525" t="s">
        <v>481</v>
      </c>
      <c r="D9" s="525" t="s">
        <v>482</v>
      </c>
      <c r="E9" s="525" t="s">
        <v>483</v>
      </c>
      <c r="F9" s="545"/>
      <c r="G9" s="545"/>
      <c r="H9" s="530">
        <v>0</v>
      </c>
      <c r="I9" s="545">
        <v>1</v>
      </c>
      <c r="J9" s="545">
        <v>105.32</v>
      </c>
      <c r="K9" s="530">
        <v>1</v>
      </c>
      <c r="L9" s="545">
        <v>1</v>
      </c>
      <c r="M9" s="546">
        <v>105.32</v>
      </c>
    </row>
    <row r="10" spans="1:13" ht="14.4" customHeight="1" x14ac:dyDescent="0.3">
      <c r="A10" s="524" t="s">
        <v>468</v>
      </c>
      <c r="B10" s="525" t="s">
        <v>1195</v>
      </c>
      <c r="C10" s="525" t="s">
        <v>507</v>
      </c>
      <c r="D10" s="525" t="s">
        <v>508</v>
      </c>
      <c r="E10" s="525" t="s">
        <v>509</v>
      </c>
      <c r="F10" s="545"/>
      <c r="G10" s="545"/>
      <c r="H10" s="530"/>
      <c r="I10" s="545">
        <v>1</v>
      </c>
      <c r="J10" s="545">
        <v>0</v>
      </c>
      <c r="K10" s="530"/>
      <c r="L10" s="545">
        <v>1</v>
      </c>
      <c r="M10" s="546">
        <v>0</v>
      </c>
    </row>
    <row r="11" spans="1:13" ht="14.4" customHeight="1" x14ac:dyDescent="0.3">
      <c r="A11" s="524" t="s">
        <v>469</v>
      </c>
      <c r="B11" s="525" t="s">
        <v>1193</v>
      </c>
      <c r="C11" s="525" t="s">
        <v>777</v>
      </c>
      <c r="D11" s="525" t="s">
        <v>778</v>
      </c>
      <c r="E11" s="525" t="s">
        <v>653</v>
      </c>
      <c r="F11" s="545"/>
      <c r="G11" s="545"/>
      <c r="H11" s="530">
        <v>0</v>
      </c>
      <c r="I11" s="545">
        <v>1</v>
      </c>
      <c r="J11" s="545">
        <v>86.43</v>
      </c>
      <c r="K11" s="530">
        <v>1</v>
      </c>
      <c r="L11" s="545">
        <v>1</v>
      </c>
      <c r="M11" s="546">
        <v>86.43</v>
      </c>
    </row>
    <row r="12" spans="1:13" ht="14.4" customHeight="1" x14ac:dyDescent="0.3">
      <c r="A12" s="524" t="s">
        <v>469</v>
      </c>
      <c r="B12" s="525" t="s">
        <v>1193</v>
      </c>
      <c r="C12" s="525" t="s">
        <v>779</v>
      </c>
      <c r="D12" s="525" t="s">
        <v>778</v>
      </c>
      <c r="E12" s="525" t="s">
        <v>487</v>
      </c>
      <c r="F12" s="545"/>
      <c r="G12" s="545"/>
      <c r="H12" s="530">
        <v>0</v>
      </c>
      <c r="I12" s="545">
        <v>3</v>
      </c>
      <c r="J12" s="545">
        <v>129.63</v>
      </c>
      <c r="K12" s="530">
        <v>1</v>
      </c>
      <c r="L12" s="545">
        <v>3</v>
      </c>
      <c r="M12" s="546">
        <v>129.63</v>
      </c>
    </row>
    <row r="13" spans="1:13" ht="14.4" customHeight="1" x14ac:dyDescent="0.3">
      <c r="A13" s="524" t="s">
        <v>469</v>
      </c>
      <c r="B13" s="525" t="s">
        <v>1193</v>
      </c>
      <c r="C13" s="525" t="s">
        <v>780</v>
      </c>
      <c r="D13" s="525" t="s">
        <v>781</v>
      </c>
      <c r="E13" s="525" t="s">
        <v>782</v>
      </c>
      <c r="F13" s="545"/>
      <c r="G13" s="545"/>
      <c r="H13" s="530">
        <v>0</v>
      </c>
      <c r="I13" s="545">
        <v>2</v>
      </c>
      <c r="J13" s="545">
        <v>146.9</v>
      </c>
      <c r="K13" s="530">
        <v>1</v>
      </c>
      <c r="L13" s="545">
        <v>2</v>
      </c>
      <c r="M13" s="546">
        <v>146.9</v>
      </c>
    </row>
    <row r="14" spans="1:13" ht="14.4" customHeight="1" x14ac:dyDescent="0.3">
      <c r="A14" s="524" t="s">
        <v>469</v>
      </c>
      <c r="B14" s="525" t="s">
        <v>1196</v>
      </c>
      <c r="C14" s="525" t="s">
        <v>927</v>
      </c>
      <c r="D14" s="525" t="s">
        <v>928</v>
      </c>
      <c r="E14" s="525" t="s">
        <v>929</v>
      </c>
      <c r="F14" s="545"/>
      <c r="G14" s="545"/>
      <c r="H14" s="530">
        <v>0</v>
      </c>
      <c r="I14" s="545">
        <v>1</v>
      </c>
      <c r="J14" s="545">
        <v>184.74</v>
      </c>
      <c r="K14" s="530">
        <v>1</v>
      </c>
      <c r="L14" s="545">
        <v>1</v>
      </c>
      <c r="M14" s="546">
        <v>184.74</v>
      </c>
    </row>
    <row r="15" spans="1:13" ht="14.4" customHeight="1" x14ac:dyDescent="0.3">
      <c r="A15" s="524" t="s">
        <v>469</v>
      </c>
      <c r="B15" s="525" t="s">
        <v>1197</v>
      </c>
      <c r="C15" s="525" t="s">
        <v>799</v>
      </c>
      <c r="D15" s="525" t="s">
        <v>800</v>
      </c>
      <c r="E15" s="525" t="s">
        <v>801</v>
      </c>
      <c r="F15" s="545"/>
      <c r="G15" s="545"/>
      <c r="H15" s="530">
        <v>0</v>
      </c>
      <c r="I15" s="545">
        <v>6</v>
      </c>
      <c r="J15" s="545">
        <v>8313.7199999999993</v>
      </c>
      <c r="K15" s="530">
        <v>1</v>
      </c>
      <c r="L15" s="545">
        <v>6</v>
      </c>
      <c r="M15" s="546">
        <v>8313.7199999999993</v>
      </c>
    </row>
    <row r="16" spans="1:13" ht="14.4" customHeight="1" x14ac:dyDescent="0.3">
      <c r="A16" s="524" t="s">
        <v>469</v>
      </c>
      <c r="B16" s="525" t="s">
        <v>1197</v>
      </c>
      <c r="C16" s="525" t="s">
        <v>802</v>
      </c>
      <c r="D16" s="525" t="s">
        <v>800</v>
      </c>
      <c r="E16" s="525" t="s">
        <v>803</v>
      </c>
      <c r="F16" s="545"/>
      <c r="G16" s="545"/>
      <c r="H16" s="530">
        <v>0</v>
      </c>
      <c r="I16" s="545">
        <v>1</v>
      </c>
      <c r="J16" s="545">
        <v>2309.36</v>
      </c>
      <c r="K16" s="530">
        <v>1</v>
      </c>
      <c r="L16" s="545">
        <v>1</v>
      </c>
      <c r="M16" s="546">
        <v>2309.36</v>
      </c>
    </row>
    <row r="17" spans="1:13" ht="14.4" customHeight="1" x14ac:dyDescent="0.3">
      <c r="A17" s="524" t="s">
        <v>469</v>
      </c>
      <c r="B17" s="525" t="s">
        <v>1198</v>
      </c>
      <c r="C17" s="525" t="s">
        <v>725</v>
      </c>
      <c r="D17" s="525" t="s">
        <v>726</v>
      </c>
      <c r="E17" s="525" t="s">
        <v>727</v>
      </c>
      <c r="F17" s="545">
        <v>1</v>
      </c>
      <c r="G17" s="545">
        <v>300.33</v>
      </c>
      <c r="H17" s="530">
        <v>1</v>
      </c>
      <c r="I17" s="545"/>
      <c r="J17" s="545"/>
      <c r="K17" s="530">
        <v>0</v>
      </c>
      <c r="L17" s="545">
        <v>1</v>
      </c>
      <c r="M17" s="546">
        <v>300.33</v>
      </c>
    </row>
    <row r="18" spans="1:13" ht="14.4" customHeight="1" x14ac:dyDescent="0.3">
      <c r="A18" s="524" t="s">
        <v>469</v>
      </c>
      <c r="B18" s="525" t="s">
        <v>1199</v>
      </c>
      <c r="C18" s="525" t="s">
        <v>852</v>
      </c>
      <c r="D18" s="525" t="s">
        <v>853</v>
      </c>
      <c r="E18" s="525" t="s">
        <v>854</v>
      </c>
      <c r="F18" s="545">
        <v>1</v>
      </c>
      <c r="G18" s="545">
        <v>320.20999999999998</v>
      </c>
      <c r="H18" s="530">
        <v>1</v>
      </c>
      <c r="I18" s="545"/>
      <c r="J18" s="545"/>
      <c r="K18" s="530">
        <v>0</v>
      </c>
      <c r="L18" s="545">
        <v>1</v>
      </c>
      <c r="M18" s="546">
        <v>320.20999999999998</v>
      </c>
    </row>
    <row r="19" spans="1:13" ht="14.4" customHeight="1" x14ac:dyDescent="0.3">
      <c r="A19" s="524" t="s">
        <v>469</v>
      </c>
      <c r="B19" s="525" t="s">
        <v>1200</v>
      </c>
      <c r="C19" s="525" t="s">
        <v>655</v>
      </c>
      <c r="D19" s="525" t="s">
        <v>656</v>
      </c>
      <c r="E19" s="525" t="s">
        <v>657</v>
      </c>
      <c r="F19" s="545"/>
      <c r="G19" s="545"/>
      <c r="H19" s="530">
        <v>0</v>
      </c>
      <c r="I19" s="545">
        <v>3</v>
      </c>
      <c r="J19" s="545">
        <v>197.31</v>
      </c>
      <c r="K19" s="530">
        <v>1</v>
      </c>
      <c r="L19" s="545">
        <v>3</v>
      </c>
      <c r="M19" s="546">
        <v>197.31</v>
      </c>
    </row>
    <row r="20" spans="1:13" ht="14.4" customHeight="1" x14ac:dyDescent="0.3">
      <c r="A20" s="524" t="s">
        <v>469</v>
      </c>
      <c r="B20" s="525" t="s">
        <v>1201</v>
      </c>
      <c r="C20" s="525" t="s">
        <v>624</v>
      </c>
      <c r="D20" s="525" t="s">
        <v>625</v>
      </c>
      <c r="E20" s="525" t="s">
        <v>626</v>
      </c>
      <c r="F20" s="545"/>
      <c r="G20" s="545"/>
      <c r="H20" s="530">
        <v>0</v>
      </c>
      <c r="I20" s="545">
        <v>1</v>
      </c>
      <c r="J20" s="545">
        <v>229.38</v>
      </c>
      <c r="K20" s="530">
        <v>1</v>
      </c>
      <c r="L20" s="545">
        <v>1</v>
      </c>
      <c r="M20" s="546">
        <v>229.38</v>
      </c>
    </row>
    <row r="21" spans="1:13" ht="14.4" customHeight="1" x14ac:dyDescent="0.3">
      <c r="A21" s="524" t="s">
        <v>469</v>
      </c>
      <c r="B21" s="525" t="s">
        <v>1194</v>
      </c>
      <c r="C21" s="525" t="s">
        <v>627</v>
      </c>
      <c r="D21" s="525" t="s">
        <v>628</v>
      </c>
      <c r="E21" s="525" t="s">
        <v>629</v>
      </c>
      <c r="F21" s="545">
        <v>3</v>
      </c>
      <c r="G21" s="545">
        <v>49.14</v>
      </c>
      <c r="H21" s="530">
        <v>1</v>
      </c>
      <c r="I21" s="545"/>
      <c r="J21" s="545"/>
      <c r="K21" s="530">
        <v>0</v>
      </c>
      <c r="L21" s="545">
        <v>3</v>
      </c>
      <c r="M21" s="546">
        <v>49.14</v>
      </c>
    </row>
    <row r="22" spans="1:13" ht="14.4" customHeight="1" x14ac:dyDescent="0.3">
      <c r="A22" s="524" t="s">
        <v>469</v>
      </c>
      <c r="B22" s="525" t="s">
        <v>1194</v>
      </c>
      <c r="C22" s="525" t="s">
        <v>630</v>
      </c>
      <c r="D22" s="525" t="s">
        <v>482</v>
      </c>
      <c r="E22" s="525" t="s">
        <v>631</v>
      </c>
      <c r="F22" s="545"/>
      <c r="G22" s="545"/>
      <c r="H22" s="530">
        <v>0</v>
      </c>
      <c r="I22" s="545">
        <v>2</v>
      </c>
      <c r="J22" s="545">
        <v>70.22</v>
      </c>
      <c r="K22" s="530">
        <v>1</v>
      </c>
      <c r="L22" s="545">
        <v>2</v>
      </c>
      <c r="M22" s="546">
        <v>70.22</v>
      </c>
    </row>
    <row r="23" spans="1:13" ht="14.4" customHeight="1" x14ac:dyDescent="0.3">
      <c r="A23" s="524" t="s">
        <v>469</v>
      </c>
      <c r="B23" s="525" t="s">
        <v>1194</v>
      </c>
      <c r="C23" s="525" t="s">
        <v>632</v>
      </c>
      <c r="D23" s="525" t="s">
        <v>633</v>
      </c>
      <c r="E23" s="525" t="s">
        <v>523</v>
      </c>
      <c r="F23" s="545">
        <v>2</v>
      </c>
      <c r="G23" s="545">
        <v>140.46</v>
      </c>
      <c r="H23" s="530">
        <v>1</v>
      </c>
      <c r="I23" s="545"/>
      <c r="J23" s="545"/>
      <c r="K23" s="530">
        <v>0</v>
      </c>
      <c r="L23" s="545">
        <v>2</v>
      </c>
      <c r="M23" s="546">
        <v>140.46</v>
      </c>
    </row>
    <row r="24" spans="1:13" ht="14.4" customHeight="1" x14ac:dyDescent="0.3">
      <c r="A24" s="524" t="s">
        <v>469</v>
      </c>
      <c r="B24" s="525" t="s">
        <v>1194</v>
      </c>
      <c r="C24" s="525" t="s">
        <v>634</v>
      </c>
      <c r="D24" s="525" t="s">
        <v>635</v>
      </c>
      <c r="E24" s="525" t="s">
        <v>523</v>
      </c>
      <c r="F24" s="545">
        <v>2</v>
      </c>
      <c r="G24" s="545">
        <v>140.46</v>
      </c>
      <c r="H24" s="530">
        <v>1</v>
      </c>
      <c r="I24" s="545"/>
      <c r="J24" s="545"/>
      <c r="K24" s="530">
        <v>0</v>
      </c>
      <c r="L24" s="545">
        <v>2</v>
      </c>
      <c r="M24" s="546">
        <v>140.46</v>
      </c>
    </row>
    <row r="25" spans="1:13" ht="14.4" customHeight="1" x14ac:dyDescent="0.3">
      <c r="A25" s="524" t="s">
        <v>469</v>
      </c>
      <c r="B25" s="525" t="s">
        <v>1202</v>
      </c>
      <c r="C25" s="525" t="s">
        <v>813</v>
      </c>
      <c r="D25" s="525" t="s">
        <v>814</v>
      </c>
      <c r="E25" s="525" t="s">
        <v>815</v>
      </c>
      <c r="F25" s="545">
        <v>1</v>
      </c>
      <c r="G25" s="545">
        <v>101.56</v>
      </c>
      <c r="H25" s="530">
        <v>1</v>
      </c>
      <c r="I25" s="545"/>
      <c r="J25" s="545"/>
      <c r="K25" s="530">
        <v>0</v>
      </c>
      <c r="L25" s="545">
        <v>1</v>
      </c>
      <c r="M25" s="546">
        <v>101.56</v>
      </c>
    </row>
    <row r="26" spans="1:13" ht="14.4" customHeight="1" x14ac:dyDescent="0.3">
      <c r="A26" s="524" t="s">
        <v>469</v>
      </c>
      <c r="B26" s="525" t="s">
        <v>1202</v>
      </c>
      <c r="C26" s="525" t="s">
        <v>816</v>
      </c>
      <c r="D26" s="525" t="s">
        <v>814</v>
      </c>
      <c r="E26" s="525" t="s">
        <v>817</v>
      </c>
      <c r="F26" s="545">
        <v>2</v>
      </c>
      <c r="G26" s="545">
        <v>58.04</v>
      </c>
      <c r="H26" s="530">
        <v>1</v>
      </c>
      <c r="I26" s="545"/>
      <c r="J26" s="545"/>
      <c r="K26" s="530">
        <v>0</v>
      </c>
      <c r="L26" s="545">
        <v>2</v>
      </c>
      <c r="M26" s="546">
        <v>58.04</v>
      </c>
    </row>
    <row r="27" spans="1:13" ht="14.4" customHeight="1" x14ac:dyDescent="0.3">
      <c r="A27" s="524" t="s">
        <v>469</v>
      </c>
      <c r="B27" s="525" t="s">
        <v>1202</v>
      </c>
      <c r="C27" s="525" t="s">
        <v>818</v>
      </c>
      <c r="D27" s="525" t="s">
        <v>819</v>
      </c>
      <c r="E27" s="525" t="s">
        <v>820</v>
      </c>
      <c r="F27" s="545">
        <v>1</v>
      </c>
      <c r="G27" s="545">
        <v>103.64</v>
      </c>
      <c r="H27" s="530">
        <v>1</v>
      </c>
      <c r="I27" s="545"/>
      <c r="J27" s="545"/>
      <c r="K27" s="530">
        <v>0</v>
      </c>
      <c r="L27" s="545">
        <v>1</v>
      </c>
      <c r="M27" s="546">
        <v>103.64</v>
      </c>
    </row>
    <row r="28" spans="1:13" ht="14.4" customHeight="1" x14ac:dyDescent="0.3">
      <c r="A28" s="524" t="s">
        <v>469</v>
      </c>
      <c r="B28" s="525" t="s">
        <v>1203</v>
      </c>
      <c r="C28" s="525" t="s">
        <v>831</v>
      </c>
      <c r="D28" s="525" t="s">
        <v>832</v>
      </c>
      <c r="E28" s="525" t="s">
        <v>631</v>
      </c>
      <c r="F28" s="545"/>
      <c r="G28" s="545"/>
      <c r="H28" s="530">
        <v>0</v>
      </c>
      <c r="I28" s="545">
        <v>4</v>
      </c>
      <c r="J28" s="545">
        <v>193.08</v>
      </c>
      <c r="K28" s="530">
        <v>1</v>
      </c>
      <c r="L28" s="545">
        <v>4</v>
      </c>
      <c r="M28" s="546">
        <v>193.08</v>
      </c>
    </row>
    <row r="29" spans="1:13" ht="14.4" customHeight="1" x14ac:dyDescent="0.3">
      <c r="A29" s="524" t="s">
        <v>469</v>
      </c>
      <c r="B29" s="525" t="s">
        <v>1203</v>
      </c>
      <c r="C29" s="525" t="s">
        <v>833</v>
      </c>
      <c r="D29" s="525" t="s">
        <v>832</v>
      </c>
      <c r="E29" s="525" t="s">
        <v>483</v>
      </c>
      <c r="F29" s="545"/>
      <c r="G29" s="545"/>
      <c r="H29" s="530">
        <v>0</v>
      </c>
      <c r="I29" s="545">
        <v>2</v>
      </c>
      <c r="J29" s="545">
        <v>289.62</v>
      </c>
      <c r="K29" s="530">
        <v>1</v>
      </c>
      <c r="L29" s="545">
        <v>2</v>
      </c>
      <c r="M29" s="546">
        <v>289.62</v>
      </c>
    </row>
    <row r="30" spans="1:13" ht="14.4" customHeight="1" x14ac:dyDescent="0.3">
      <c r="A30" s="524" t="s">
        <v>469</v>
      </c>
      <c r="B30" s="525" t="s">
        <v>1203</v>
      </c>
      <c r="C30" s="525" t="s">
        <v>834</v>
      </c>
      <c r="D30" s="525" t="s">
        <v>835</v>
      </c>
      <c r="E30" s="525" t="s">
        <v>836</v>
      </c>
      <c r="F30" s="545"/>
      <c r="G30" s="545"/>
      <c r="H30" s="530">
        <v>0</v>
      </c>
      <c r="I30" s="545">
        <v>1</v>
      </c>
      <c r="J30" s="545">
        <v>289.62</v>
      </c>
      <c r="K30" s="530">
        <v>1</v>
      </c>
      <c r="L30" s="545">
        <v>1</v>
      </c>
      <c r="M30" s="546">
        <v>289.62</v>
      </c>
    </row>
    <row r="31" spans="1:13" ht="14.4" customHeight="1" x14ac:dyDescent="0.3">
      <c r="A31" s="524" t="s">
        <v>469</v>
      </c>
      <c r="B31" s="525" t="s">
        <v>1203</v>
      </c>
      <c r="C31" s="525" t="s">
        <v>837</v>
      </c>
      <c r="D31" s="525" t="s">
        <v>838</v>
      </c>
      <c r="E31" s="525" t="s">
        <v>839</v>
      </c>
      <c r="F31" s="545"/>
      <c r="G31" s="545"/>
      <c r="H31" s="530">
        <v>0</v>
      </c>
      <c r="I31" s="545">
        <v>2</v>
      </c>
      <c r="J31" s="545">
        <v>321.77999999999997</v>
      </c>
      <c r="K31" s="530">
        <v>1</v>
      </c>
      <c r="L31" s="545">
        <v>2</v>
      </c>
      <c r="M31" s="546">
        <v>321.77999999999997</v>
      </c>
    </row>
    <row r="32" spans="1:13" ht="14.4" customHeight="1" x14ac:dyDescent="0.3">
      <c r="A32" s="524" t="s">
        <v>469</v>
      </c>
      <c r="B32" s="525" t="s">
        <v>1204</v>
      </c>
      <c r="C32" s="525" t="s">
        <v>856</v>
      </c>
      <c r="D32" s="525" t="s">
        <v>857</v>
      </c>
      <c r="E32" s="525" t="s">
        <v>704</v>
      </c>
      <c r="F32" s="545"/>
      <c r="G32" s="545"/>
      <c r="H32" s="530"/>
      <c r="I32" s="545">
        <v>4</v>
      </c>
      <c r="J32" s="545">
        <v>0</v>
      </c>
      <c r="K32" s="530"/>
      <c r="L32" s="545">
        <v>4</v>
      </c>
      <c r="M32" s="546">
        <v>0</v>
      </c>
    </row>
    <row r="33" spans="1:13" ht="14.4" customHeight="1" x14ac:dyDescent="0.3">
      <c r="A33" s="524" t="s">
        <v>469</v>
      </c>
      <c r="B33" s="525" t="s">
        <v>1204</v>
      </c>
      <c r="C33" s="525" t="s">
        <v>858</v>
      </c>
      <c r="D33" s="525" t="s">
        <v>859</v>
      </c>
      <c r="E33" s="525" t="s">
        <v>860</v>
      </c>
      <c r="F33" s="545"/>
      <c r="G33" s="545"/>
      <c r="H33" s="530"/>
      <c r="I33" s="545">
        <v>2</v>
      </c>
      <c r="J33" s="545">
        <v>0</v>
      </c>
      <c r="K33" s="530"/>
      <c r="L33" s="545">
        <v>2</v>
      </c>
      <c r="M33" s="546">
        <v>0</v>
      </c>
    </row>
    <row r="34" spans="1:13" ht="14.4" customHeight="1" x14ac:dyDescent="0.3">
      <c r="A34" s="524" t="s">
        <v>469</v>
      </c>
      <c r="B34" s="525" t="s">
        <v>1205</v>
      </c>
      <c r="C34" s="525" t="s">
        <v>844</v>
      </c>
      <c r="D34" s="525" t="s">
        <v>845</v>
      </c>
      <c r="E34" s="525" t="s">
        <v>767</v>
      </c>
      <c r="F34" s="545"/>
      <c r="G34" s="545"/>
      <c r="H34" s="530">
        <v>0</v>
      </c>
      <c r="I34" s="545">
        <v>1</v>
      </c>
      <c r="J34" s="545">
        <v>87.41</v>
      </c>
      <c r="K34" s="530">
        <v>1</v>
      </c>
      <c r="L34" s="545">
        <v>1</v>
      </c>
      <c r="M34" s="546">
        <v>87.41</v>
      </c>
    </row>
    <row r="35" spans="1:13" ht="14.4" customHeight="1" x14ac:dyDescent="0.3">
      <c r="A35" s="524" t="s">
        <v>469</v>
      </c>
      <c r="B35" s="525" t="s">
        <v>1205</v>
      </c>
      <c r="C35" s="525" t="s">
        <v>846</v>
      </c>
      <c r="D35" s="525" t="s">
        <v>845</v>
      </c>
      <c r="E35" s="525" t="s">
        <v>614</v>
      </c>
      <c r="F35" s="545"/>
      <c r="G35" s="545"/>
      <c r="H35" s="530">
        <v>0</v>
      </c>
      <c r="I35" s="545">
        <v>2</v>
      </c>
      <c r="J35" s="545">
        <v>554.04999999999995</v>
      </c>
      <c r="K35" s="530">
        <v>1</v>
      </c>
      <c r="L35" s="545">
        <v>2</v>
      </c>
      <c r="M35" s="546">
        <v>554.04999999999995</v>
      </c>
    </row>
    <row r="36" spans="1:13" ht="14.4" customHeight="1" x14ac:dyDescent="0.3">
      <c r="A36" s="524" t="s">
        <v>469</v>
      </c>
      <c r="B36" s="525" t="s">
        <v>1205</v>
      </c>
      <c r="C36" s="525" t="s">
        <v>847</v>
      </c>
      <c r="D36" s="525" t="s">
        <v>848</v>
      </c>
      <c r="E36" s="525" t="s">
        <v>688</v>
      </c>
      <c r="F36" s="545"/>
      <c r="G36" s="545"/>
      <c r="H36" s="530">
        <v>0</v>
      </c>
      <c r="I36" s="545">
        <v>2</v>
      </c>
      <c r="J36" s="545">
        <v>194.52</v>
      </c>
      <c r="K36" s="530">
        <v>1</v>
      </c>
      <c r="L36" s="545">
        <v>2</v>
      </c>
      <c r="M36" s="546">
        <v>194.52</v>
      </c>
    </row>
    <row r="37" spans="1:13" ht="14.4" customHeight="1" x14ac:dyDescent="0.3">
      <c r="A37" s="524" t="s">
        <v>469</v>
      </c>
      <c r="B37" s="525" t="s">
        <v>1205</v>
      </c>
      <c r="C37" s="525" t="s">
        <v>849</v>
      </c>
      <c r="D37" s="525" t="s">
        <v>850</v>
      </c>
      <c r="E37" s="525" t="s">
        <v>614</v>
      </c>
      <c r="F37" s="545"/>
      <c r="G37" s="545"/>
      <c r="H37" s="530">
        <v>0</v>
      </c>
      <c r="I37" s="545">
        <v>1</v>
      </c>
      <c r="J37" s="545">
        <v>583.62</v>
      </c>
      <c r="K37" s="530">
        <v>1</v>
      </c>
      <c r="L37" s="545">
        <v>1</v>
      </c>
      <c r="M37" s="546">
        <v>583.62</v>
      </c>
    </row>
    <row r="38" spans="1:13" ht="14.4" customHeight="1" x14ac:dyDescent="0.3">
      <c r="A38" s="524" t="s">
        <v>469</v>
      </c>
      <c r="B38" s="525" t="s">
        <v>1206</v>
      </c>
      <c r="C38" s="525" t="s">
        <v>862</v>
      </c>
      <c r="D38" s="525" t="s">
        <v>863</v>
      </c>
      <c r="E38" s="525" t="s">
        <v>688</v>
      </c>
      <c r="F38" s="545"/>
      <c r="G38" s="545"/>
      <c r="H38" s="530">
        <v>0</v>
      </c>
      <c r="I38" s="545">
        <v>3</v>
      </c>
      <c r="J38" s="545">
        <v>389.07</v>
      </c>
      <c r="K38" s="530">
        <v>1</v>
      </c>
      <c r="L38" s="545">
        <v>3</v>
      </c>
      <c r="M38" s="546">
        <v>389.07</v>
      </c>
    </row>
    <row r="39" spans="1:13" ht="14.4" customHeight="1" x14ac:dyDescent="0.3">
      <c r="A39" s="524" t="s">
        <v>469</v>
      </c>
      <c r="B39" s="525" t="s">
        <v>1207</v>
      </c>
      <c r="C39" s="525" t="s">
        <v>841</v>
      </c>
      <c r="D39" s="525" t="s">
        <v>842</v>
      </c>
      <c r="E39" s="525" t="s">
        <v>719</v>
      </c>
      <c r="F39" s="545"/>
      <c r="G39" s="545"/>
      <c r="H39" s="530">
        <v>0</v>
      </c>
      <c r="I39" s="545">
        <v>1</v>
      </c>
      <c r="J39" s="545">
        <v>352.37</v>
      </c>
      <c r="K39" s="530">
        <v>1</v>
      </c>
      <c r="L39" s="545">
        <v>1</v>
      </c>
      <c r="M39" s="546">
        <v>352.37</v>
      </c>
    </row>
    <row r="40" spans="1:13" ht="14.4" customHeight="1" x14ac:dyDescent="0.3">
      <c r="A40" s="524" t="s">
        <v>469</v>
      </c>
      <c r="B40" s="525" t="s">
        <v>1208</v>
      </c>
      <c r="C40" s="525" t="s">
        <v>758</v>
      </c>
      <c r="D40" s="525" t="s">
        <v>759</v>
      </c>
      <c r="E40" s="525" t="s">
        <v>760</v>
      </c>
      <c r="F40" s="545">
        <v>1</v>
      </c>
      <c r="G40" s="545">
        <v>0</v>
      </c>
      <c r="H40" s="530"/>
      <c r="I40" s="545"/>
      <c r="J40" s="545"/>
      <c r="K40" s="530"/>
      <c r="L40" s="545">
        <v>1</v>
      </c>
      <c r="M40" s="546">
        <v>0</v>
      </c>
    </row>
    <row r="41" spans="1:13" ht="14.4" customHeight="1" x14ac:dyDescent="0.3">
      <c r="A41" s="524" t="s">
        <v>469</v>
      </c>
      <c r="B41" s="525" t="s">
        <v>1208</v>
      </c>
      <c r="C41" s="525" t="s">
        <v>761</v>
      </c>
      <c r="D41" s="525" t="s">
        <v>762</v>
      </c>
      <c r="E41" s="525" t="s">
        <v>763</v>
      </c>
      <c r="F41" s="545"/>
      <c r="G41" s="545"/>
      <c r="H41" s="530">
        <v>0</v>
      </c>
      <c r="I41" s="545">
        <v>1</v>
      </c>
      <c r="J41" s="545">
        <v>164.94</v>
      </c>
      <c r="K41" s="530">
        <v>1</v>
      </c>
      <c r="L41" s="545">
        <v>1</v>
      </c>
      <c r="M41" s="546">
        <v>164.94</v>
      </c>
    </row>
    <row r="42" spans="1:13" ht="14.4" customHeight="1" x14ac:dyDescent="0.3">
      <c r="A42" s="524" t="s">
        <v>469</v>
      </c>
      <c r="B42" s="525" t="s">
        <v>1209</v>
      </c>
      <c r="C42" s="525" t="s">
        <v>894</v>
      </c>
      <c r="D42" s="525" t="s">
        <v>895</v>
      </c>
      <c r="E42" s="525" t="s">
        <v>896</v>
      </c>
      <c r="F42" s="545">
        <v>7</v>
      </c>
      <c r="G42" s="545">
        <v>0</v>
      </c>
      <c r="H42" s="530"/>
      <c r="I42" s="545"/>
      <c r="J42" s="545"/>
      <c r="K42" s="530"/>
      <c r="L42" s="545">
        <v>7</v>
      </c>
      <c r="M42" s="546">
        <v>0</v>
      </c>
    </row>
    <row r="43" spans="1:13" ht="14.4" customHeight="1" x14ac:dyDescent="0.3">
      <c r="A43" s="524" t="s">
        <v>469</v>
      </c>
      <c r="B43" s="525" t="s">
        <v>1210</v>
      </c>
      <c r="C43" s="525" t="s">
        <v>765</v>
      </c>
      <c r="D43" s="525" t="s">
        <v>766</v>
      </c>
      <c r="E43" s="525" t="s">
        <v>767</v>
      </c>
      <c r="F43" s="545"/>
      <c r="G43" s="545"/>
      <c r="H43" s="530">
        <v>0</v>
      </c>
      <c r="I43" s="545">
        <v>2</v>
      </c>
      <c r="J43" s="545">
        <v>97.12</v>
      </c>
      <c r="K43" s="530">
        <v>1</v>
      </c>
      <c r="L43" s="545">
        <v>2</v>
      </c>
      <c r="M43" s="546">
        <v>97.12</v>
      </c>
    </row>
    <row r="44" spans="1:13" ht="14.4" customHeight="1" x14ac:dyDescent="0.3">
      <c r="A44" s="524" t="s">
        <v>469</v>
      </c>
      <c r="B44" s="525" t="s">
        <v>1210</v>
      </c>
      <c r="C44" s="525" t="s">
        <v>768</v>
      </c>
      <c r="D44" s="525" t="s">
        <v>766</v>
      </c>
      <c r="E44" s="525" t="s">
        <v>614</v>
      </c>
      <c r="F44" s="545"/>
      <c r="G44" s="545"/>
      <c r="H44" s="530">
        <v>0</v>
      </c>
      <c r="I44" s="545">
        <v>1</v>
      </c>
      <c r="J44" s="545">
        <v>145.66999999999999</v>
      </c>
      <c r="K44" s="530">
        <v>1</v>
      </c>
      <c r="L44" s="545">
        <v>1</v>
      </c>
      <c r="M44" s="546">
        <v>145.66999999999999</v>
      </c>
    </row>
    <row r="45" spans="1:13" ht="14.4" customHeight="1" x14ac:dyDescent="0.3">
      <c r="A45" s="524" t="s">
        <v>469</v>
      </c>
      <c r="B45" s="525" t="s">
        <v>1211</v>
      </c>
      <c r="C45" s="525" t="s">
        <v>881</v>
      </c>
      <c r="D45" s="525" t="s">
        <v>882</v>
      </c>
      <c r="E45" s="525" t="s">
        <v>883</v>
      </c>
      <c r="F45" s="545"/>
      <c r="G45" s="545"/>
      <c r="H45" s="530">
        <v>0</v>
      </c>
      <c r="I45" s="545">
        <v>3</v>
      </c>
      <c r="J45" s="545">
        <v>176.57999999999998</v>
      </c>
      <c r="K45" s="530">
        <v>1</v>
      </c>
      <c r="L45" s="545">
        <v>3</v>
      </c>
      <c r="M45" s="546">
        <v>176.57999999999998</v>
      </c>
    </row>
    <row r="46" spans="1:13" ht="14.4" customHeight="1" x14ac:dyDescent="0.3">
      <c r="A46" s="524" t="s">
        <v>469</v>
      </c>
      <c r="B46" s="525" t="s">
        <v>1212</v>
      </c>
      <c r="C46" s="525" t="s">
        <v>599</v>
      </c>
      <c r="D46" s="525" t="s">
        <v>600</v>
      </c>
      <c r="E46" s="525" t="s">
        <v>601</v>
      </c>
      <c r="F46" s="545"/>
      <c r="G46" s="545"/>
      <c r="H46" s="530">
        <v>0</v>
      </c>
      <c r="I46" s="545">
        <v>3</v>
      </c>
      <c r="J46" s="545">
        <v>1630.08</v>
      </c>
      <c r="K46" s="530">
        <v>1</v>
      </c>
      <c r="L46" s="545">
        <v>3</v>
      </c>
      <c r="M46" s="546">
        <v>1630.08</v>
      </c>
    </row>
    <row r="47" spans="1:13" ht="14.4" customHeight="1" x14ac:dyDescent="0.3">
      <c r="A47" s="524" t="s">
        <v>469</v>
      </c>
      <c r="B47" s="525" t="s">
        <v>1212</v>
      </c>
      <c r="C47" s="525" t="s">
        <v>602</v>
      </c>
      <c r="D47" s="525" t="s">
        <v>603</v>
      </c>
      <c r="E47" s="525" t="s">
        <v>604</v>
      </c>
      <c r="F47" s="545">
        <v>1</v>
      </c>
      <c r="G47" s="545">
        <v>353.18</v>
      </c>
      <c r="H47" s="530">
        <v>1</v>
      </c>
      <c r="I47" s="545"/>
      <c r="J47" s="545"/>
      <c r="K47" s="530">
        <v>0</v>
      </c>
      <c r="L47" s="545">
        <v>1</v>
      </c>
      <c r="M47" s="546">
        <v>353.18</v>
      </c>
    </row>
    <row r="48" spans="1:13" ht="14.4" customHeight="1" x14ac:dyDescent="0.3">
      <c r="A48" s="524" t="s">
        <v>469</v>
      </c>
      <c r="B48" s="525" t="s">
        <v>1212</v>
      </c>
      <c r="C48" s="525" t="s">
        <v>605</v>
      </c>
      <c r="D48" s="525" t="s">
        <v>606</v>
      </c>
      <c r="E48" s="525" t="s">
        <v>607</v>
      </c>
      <c r="F48" s="545"/>
      <c r="G48" s="545"/>
      <c r="H48" s="530">
        <v>0</v>
      </c>
      <c r="I48" s="545">
        <v>3</v>
      </c>
      <c r="J48" s="545">
        <v>588.63</v>
      </c>
      <c r="K48" s="530">
        <v>1</v>
      </c>
      <c r="L48" s="545">
        <v>3</v>
      </c>
      <c r="M48" s="546">
        <v>588.63</v>
      </c>
    </row>
    <row r="49" spans="1:13" ht="14.4" customHeight="1" x14ac:dyDescent="0.3">
      <c r="A49" s="524" t="s">
        <v>469</v>
      </c>
      <c r="B49" s="525" t="s">
        <v>1212</v>
      </c>
      <c r="C49" s="525" t="s">
        <v>608</v>
      </c>
      <c r="D49" s="525" t="s">
        <v>609</v>
      </c>
      <c r="E49" s="525" t="s">
        <v>610</v>
      </c>
      <c r="F49" s="545"/>
      <c r="G49" s="545"/>
      <c r="H49" s="530">
        <v>0</v>
      </c>
      <c r="I49" s="545">
        <v>2</v>
      </c>
      <c r="J49" s="545">
        <v>1207.46</v>
      </c>
      <c r="K49" s="530">
        <v>1</v>
      </c>
      <c r="L49" s="545">
        <v>2</v>
      </c>
      <c r="M49" s="546">
        <v>1207.46</v>
      </c>
    </row>
    <row r="50" spans="1:13" ht="14.4" customHeight="1" x14ac:dyDescent="0.3">
      <c r="A50" s="524" t="s">
        <v>469</v>
      </c>
      <c r="B50" s="525" t="s">
        <v>1213</v>
      </c>
      <c r="C50" s="525" t="s">
        <v>1017</v>
      </c>
      <c r="D50" s="525" t="s">
        <v>877</v>
      </c>
      <c r="E50" s="525" t="s">
        <v>883</v>
      </c>
      <c r="F50" s="545"/>
      <c r="G50" s="545"/>
      <c r="H50" s="530">
        <v>0</v>
      </c>
      <c r="I50" s="545">
        <v>1</v>
      </c>
      <c r="J50" s="545">
        <v>181.13</v>
      </c>
      <c r="K50" s="530">
        <v>1</v>
      </c>
      <c r="L50" s="545">
        <v>1</v>
      </c>
      <c r="M50" s="546">
        <v>181.13</v>
      </c>
    </row>
    <row r="51" spans="1:13" ht="14.4" customHeight="1" x14ac:dyDescent="0.3">
      <c r="A51" s="524" t="s">
        <v>469</v>
      </c>
      <c r="B51" s="525" t="s">
        <v>1213</v>
      </c>
      <c r="C51" s="525" t="s">
        <v>876</v>
      </c>
      <c r="D51" s="525" t="s">
        <v>877</v>
      </c>
      <c r="E51" s="525" t="s">
        <v>604</v>
      </c>
      <c r="F51" s="545"/>
      <c r="G51" s="545"/>
      <c r="H51" s="530">
        <v>0</v>
      </c>
      <c r="I51" s="545">
        <v>3</v>
      </c>
      <c r="J51" s="545">
        <v>1630.08</v>
      </c>
      <c r="K51" s="530">
        <v>1</v>
      </c>
      <c r="L51" s="545">
        <v>3</v>
      </c>
      <c r="M51" s="546">
        <v>1630.08</v>
      </c>
    </row>
    <row r="52" spans="1:13" ht="14.4" customHeight="1" x14ac:dyDescent="0.3">
      <c r="A52" s="524" t="s">
        <v>469</v>
      </c>
      <c r="B52" s="525" t="s">
        <v>1213</v>
      </c>
      <c r="C52" s="525" t="s">
        <v>878</v>
      </c>
      <c r="D52" s="525" t="s">
        <v>879</v>
      </c>
      <c r="E52" s="525" t="s">
        <v>601</v>
      </c>
      <c r="F52" s="545"/>
      <c r="G52" s="545"/>
      <c r="H52" s="530">
        <v>0</v>
      </c>
      <c r="I52" s="545">
        <v>2</v>
      </c>
      <c r="J52" s="545">
        <v>1671.86</v>
      </c>
      <c r="K52" s="530">
        <v>1</v>
      </c>
      <c r="L52" s="545">
        <v>2</v>
      </c>
      <c r="M52" s="546">
        <v>1671.86</v>
      </c>
    </row>
    <row r="53" spans="1:13" ht="14.4" customHeight="1" x14ac:dyDescent="0.3">
      <c r="A53" s="524" t="s">
        <v>469</v>
      </c>
      <c r="B53" s="525" t="s">
        <v>1214</v>
      </c>
      <c r="C53" s="525" t="s">
        <v>612</v>
      </c>
      <c r="D53" s="525" t="s">
        <v>613</v>
      </c>
      <c r="E53" s="525" t="s">
        <v>614</v>
      </c>
      <c r="F53" s="545"/>
      <c r="G53" s="545"/>
      <c r="H53" s="530">
        <v>0</v>
      </c>
      <c r="I53" s="545">
        <v>1</v>
      </c>
      <c r="J53" s="545">
        <v>739.33</v>
      </c>
      <c r="K53" s="530">
        <v>1</v>
      </c>
      <c r="L53" s="545">
        <v>1</v>
      </c>
      <c r="M53" s="546">
        <v>739.33</v>
      </c>
    </row>
    <row r="54" spans="1:13" ht="14.4" customHeight="1" x14ac:dyDescent="0.3">
      <c r="A54" s="524" t="s">
        <v>469</v>
      </c>
      <c r="B54" s="525" t="s">
        <v>1215</v>
      </c>
      <c r="C54" s="525" t="s">
        <v>890</v>
      </c>
      <c r="D54" s="525" t="s">
        <v>891</v>
      </c>
      <c r="E54" s="525" t="s">
        <v>892</v>
      </c>
      <c r="F54" s="545">
        <v>1</v>
      </c>
      <c r="G54" s="545">
        <v>0</v>
      </c>
      <c r="H54" s="530"/>
      <c r="I54" s="545"/>
      <c r="J54" s="545"/>
      <c r="K54" s="530"/>
      <c r="L54" s="545">
        <v>1</v>
      </c>
      <c r="M54" s="546">
        <v>0</v>
      </c>
    </row>
    <row r="55" spans="1:13" ht="14.4" customHeight="1" x14ac:dyDescent="0.3">
      <c r="A55" s="524" t="s">
        <v>469</v>
      </c>
      <c r="B55" s="525" t="s">
        <v>1216</v>
      </c>
      <c r="C55" s="525" t="s">
        <v>784</v>
      </c>
      <c r="D55" s="525" t="s">
        <v>785</v>
      </c>
      <c r="E55" s="525" t="s">
        <v>786</v>
      </c>
      <c r="F55" s="545"/>
      <c r="G55" s="545"/>
      <c r="H55" s="530">
        <v>0</v>
      </c>
      <c r="I55" s="545">
        <v>3</v>
      </c>
      <c r="J55" s="545">
        <v>111.47999999999999</v>
      </c>
      <c r="K55" s="530">
        <v>1</v>
      </c>
      <c r="L55" s="545">
        <v>3</v>
      </c>
      <c r="M55" s="546">
        <v>111.47999999999999</v>
      </c>
    </row>
    <row r="56" spans="1:13" ht="14.4" customHeight="1" x14ac:dyDescent="0.3">
      <c r="A56" s="524" t="s">
        <v>469</v>
      </c>
      <c r="B56" s="525" t="s">
        <v>1217</v>
      </c>
      <c r="C56" s="525" t="s">
        <v>746</v>
      </c>
      <c r="D56" s="525" t="s">
        <v>747</v>
      </c>
      <c r="E56" s="525" t="s">
        <v>748</v>
      </c>
      <c r="F56" s="545"/>
      <c r="G56" s="545"/>
      <c r="H56" s="530">
        <v>0</v>
      </c>
      <c r="I56" s="545">
        <v>3</v>
      </c>
      <c r="J56" s="545">
        <v>237.09</v>
      </c>
      <c r="K56" s="530">
        <v>1</v>
      </c>
      <c r="L56" s="545">
        <v>3</v>
      </c>
      <c r="M56" s="546">
        <v>237.09</v>
      </c>
    </row>
    <row r="57" spans="1:13" ht="14.4" customHeight="1" x14ac:dyDescent="0.3">
      <c r="A57" s="524" t="s">
        <v>469</v>
      </c>
      <c r="B57" s="525" t="s">
        <v>1217</v>
      </c>
      <c r="C57" s="525" t="s">
        <v>749</v>
      </c>
      <c r="D57" s="525" t="s">
        <v>750</v>
      </c>
      <c r="E57" s="525" t="s">
        <v>751</v>
      </c>
      <c r="F57" s="545"/>
      <c r="G57" s="545"/>
      <c r="H57" s="530">
        <v>0</v>
      </c>
      <c r="I57" s="545">
        <v>1</v>
      </c>
      <c r="J57" s="545">
        <v>46.07</v>
      </c>
      <c r="K57" s="530">
        <v>1</v>
      </c>
      <c r="L57" s="545">
        <v>1</v>
      </c>
      <c r="M57" s="546">
        <v>46.07</v>
      </c>
    </row>
    <row r="58" spans="1:13" ht="14.4" customHeight="1" x14ac:dyDescent="0.3">
      <c r="A58" s="524" t="s">
        <v>469</v>
      </c>
      <c r="B58" s="525" t="s">
        <v>1217</v>
      </c>
      <c r="C58" s="525" t="s">
        <v>752</v>
      </c>
      <c r="D58" s="525" t="s">
        <v>753</v>
      </c>
      <c r="E58" s="525" t="s">
        <v>754</v>
      </c>
      <c r="F58" s="545">
        <v>2</v>
      </c>
      <c r="G58" s="545">
        <v>158.06</v>
      </c>
      <c r="H58" s="530">
        <v>1</v>
      </c>
      <c r="I58" s="545"/>
      <c r="J58" s="545"/>
      <c r="K58" s="530">
        <v>0</v>
      </c>
      <c r="L58" s="545">
        <v>2</v>
      </c>
      <c r="M58" s="546">
        <v>158.06</v>
      </c>
    </row>
    <row r="59" spans="1:13" ht="14.4" customHeight="1" x14ac:dyDescent="0.3">
      <c r="A59" s="524" t="s">
        <v>469</v>
      </c>
      <c r="B59" s="525" t="s">
        <v>1217</v>
      </c>
      <c r="C59" s="525" t="s">
        <v>743</v>
      </c>
      <c r="D59" s="525" t="s">
        <v>744</v>
      </c>
      <c r="E59" s="525" t="s">
        <v>745</v>
      </c>
      <c r="F59" s="545"/>
      <c r="G59" s="545"/>
      <c r="H59" s="530">
        <v>0</v>
      </c>
      <c r="I59" s="545">
        <v>1</v>
      </c>
      <c r="J59" s="545">
        <v>59.27</v>
      </c>
      <c r="K59" s="530">
        <v>1</v>
      </c>
      <c r="L59" s="545">
        <v>1</v>
      </c>
      <c r="M59" s="546">
        <v>59.27</v>
      </c>
    </row>
    <row r="60" spans="1:13" ht="14.4" customHeight="1" x14ac:dyDescent="0.3">
      <c r="A60" s="524" t="s">
        <v>469</v>
      </c>
      <c r="B60" s="525" t="s">
        <v>1217</v>
      </c>
      <c r="C60" s="525" t="s">
        <v>755</v>
      </c>
      <c r="D60" s="525" t="s">
        <v>750</v>
      </c>
      <c r="E60" s="525" t="s">
        <v>756</v>
      </c>
      <c r="F60" s="545"/>
      <c r="G60" s="545"/>
      <c r="H60" s="530">
        <v>0</v>
      </c>
      <c r="I60" s="545">
        <v>1</v>
      </c>
      <c r="J60" s="545">
        <v>46.07</v>
      </c>
      <c r="K60" s="530">
        <v>1</v>
      </c>
      <c r="L60" s="545">
        <v>1</v>
      </c>
      <c r="M60" s="546">
        <v>46.07</v>
      </c>
    </row>
    <row r="61" spans="1:13" ht="14.4" customHeight="1" x14ac:dyDescent="0.3">
      <c r="A61" s="524" t="s">
        <v>469</v>
      </c>
      <c r="B61" s="525" t="s">
        <v>1218</v>
      </c>
      <c r="C61" s="525" t="s">
        <v>616</v>
      </c>
      <c r="D61" s="525" t="s">
        <v>617</v>
      </c>
      <c r="E61" s="525" t="s">
        <v>618</v>
      </c>
      <c r="F61" s="545"/>
      <c r="G61" s="545"/>
      <c r="H61" s="530">
        <v>0</v>
      </c>
      <c r="I61" s="545">
        <v>2</v>
      </c>
      <c r="J61" s="545">
        <v>141.08000000000001</v>
      </c>
      <c r="K61" s="530">
        <v>1</v>
      </c>
      <c r="L61" s="545">
        <v>2</v>
      </c>
      <c r="M61" s="546">
        <v>141.08000000000001</v>
      </c>
    </row>
    <row r="62" spans="1:13" ht="14.4" customHeight="1" x14ac:dyDescent="0.3">
      <c r="A62" s="524" t="s">
        <v>469</v>
      </c>
      <c r="B62" s="525" t="s">
        <v>1219</v>
      </c>
      <c r="C62" s="525" t="s">
        <v>525</v>
      </c>
      <c r="D62" s="525" t="s">
        <v>526</v>
      </c>
      <c r="E62" s="525" t="s">
        <v>527</v>
      </c>
      <c r="F62" s="545"/>
      <c r="G62" s="545"/>
      <c r="H62" s="530">
        <v>0</v>
      </c>
      <c r="I62" s="545">
        <v>1</v>
      </c>
      <c r="J62" s="545">
        <v>537.12</v>
      </c>
      <c r="K62" s="530">
        <v>1</v>
      </c>
      <c r="L62" s="545">
        <v>1</v>
      </c>
      <c r="M62" s="546">
        <v>537.12</v>
      </c>
    </row>
    <row r="63" spans="1:13" ht="14.4" customHeight="1" x14ac:dyDescent="0.3">
      <c r="A63" s="524" t="s">
        <v>469</v>
      </c>
      <c r="B63" s="525" t="s">
        <v>1220</v>
      </c>
      <c r="C63" s="525" t="s">
        <v>588</v>
      </c>
      <c r="D63" s="525" t="s">
        <v>589</v>
      </c>
      <c r="E63" s="525" t="s">
        <v>590</v>
      </c>
      <c r="F63" s="545">
        <v>3</v>
      </c>
      <c r="G63" s="545">
        <v>14.100000000000001</v>
      </c>
      <c r="H63" s="530">
        <v>1</v>
      </c>
      <c r="I63" s="545"/>
      <c r="J63" s="545"/>
      <c r="K63" s="530">
        <v>0</v>
      </c>
      <c r="L63" s="545">
        <v>3</v>
      </c>
      <c r="M63" s="546">
        <v>14.100000000000001</v>
      </c>
    </row>
    <row r="64" spans="1:13" ht="14.4" customHeight="1" x14ac:dyDescent="0.3">
      <c r="A64" s="524" t="s">
        <v>469</v>
      </c>
      <c r="B64" s="525" t="s">
        <v>1221</v>
      </c>
      <c r="C64" s="525" t="s">
        <v>659</v>
      </c>
      <c r="D64" s="525" t="s">
        <v>660</v>
      </c>
      <c r="E64" s="525" t="s">
        <v>661</v>
      </c>
      <c r="F64" s="545">
        <v>1</v>
      </c>
      <c r="G64" s="545">
        <v>0</v>
      </c>
      <c r="H64" s="530"/>
      <c r="I64" s="545"/>
      <c r="J64" s="545"/>
      <c r="K64" s="530"/>
      <c r="L64" s="545">
        <v>1</v>
      </c>
      <c r="M64" s="546">
        <v>0</v>
      </c>
    </row>
    <row r="65" spans="1:13" ht="14.4" customHeight="1" x14ac:dyDescent="0.3">
      <c r="A65" s="524" t="s">
        <v>469</v>
      </c>
      <c r="B65" s="525" t="s">
        <v>1222</v>
      </c>
      <c r="C65" s="525" t="s">
        <v>620</v>
      </c>
      <c r="D65" s="525" t="s">
        <v>621</v>
      </c>
      <c r="E65" s="525" t="s">
        <v>622</v>
      </c>
      <c r="F65" s="545"/>
      <c r="G65" s="545"/>
      <c r="H65" s="530">
        <v>0</v>
      </c>
      <c r="I65" s="545">
        <v>3</v>
      </c>
      <c r="J65" s="545">
        <v>259.5</v>
      </c>
      <c r="K65" s="530">
        <v>1</v>
      </c>
      <c r="L65" s="545">
        <v>3</v>
      </c>
      <c r="M65" s="546">
        <v>259.5</v>
      </c>
    </row>
    <row r="66" spans="1:13" ht="14.4" customHeight="1" x14ac:dyDescent="0.3">
      <c r="A66" s="524" t="s">
        <v>470</v>
      </c>
      <c r="B66" s="525" t="s">
        <v>1195</v>
      </c>
      <c r="C66" s="525" t="s">
        <v>536</v>
      </c>
      <c r="D66" s="525" t="s">
        <v>508</v>
      </c>
      <c r="E66" s="525" t="s">
        <v>537</v>
      </c>
      <c r="F66" s="545"/>
      <c r="G66" s="545"/>
      <c r="H66" s="530">
        <v>0</v>
      </c>
      <c r="I66" s="545">
        <v>1</v>
      </c>
      <c r="J66" s="545">
        <v>36.54</v>
      </c>
      <c r="K66" s="530">
        <v>1</v>
      </c>
      <c r="L66" s="545">
        <v>1</v>
      </c>
      <c r="M66" s="546">
        <v>36.54</v>
      </c>
    </row>
    <row r="67" spans="1:13" ht="14.4" customHeight="1" x14ac:dyDescent="0.3">
      <c r="A67" s="524" t="s">
        <v>471</v>
      </c>
      <c r="B67" s="525" t="s">
        <v>1192</v>
      </c>
      <c r="C67" s="525" t="s">
        <v>967</v>
      </c>
      <c r="D67" s="525" t="s">
        <v>518</v>
      </c>
      <c r="E67" s="525" t="s">
        <v>968</v>
      </c>
      <c r="F67" s="545"/>
      <c r="G67" s="545"/>
      <c r="H67" s="530">
        <v>0</v>
      </c>
      <c r="I67" s="545">
        <v>1</v>
      </c>
      <c r="J67" s="545">
        <v>102.93</v>
      </c>
      <c r="K67" s="530">
        <v>1</v>
      </c>
      <c r="L67" s="545">
        <v>1</v>
      </c>
      <c r="M67" s="546">
        <v>102.93</v>
      </c>
    </row>
    <row r="68" spans="1:13" ht="14.4" customHeight="1" x14ac:dyDescent="0.3">
      <c r="A68" s="524" t="s">
        <v>471</v>
      </c>
      <c r="B68" s="525" t="s">
        <v>1192</v>
      </c>
      <c r="C68" s="525" t="s">
        <v>1106</v>
      </c>
      <c r="D68" s="525" t="s">
        <v>1107</v>
      </c>
      <c r="E68" s="525" t="s">
        <v>1108</v>
      </c>
      <c r="F68" s="545"/>
      <c r="G68" s="545"/>
      <c r="H68" s="530">
        <v>0</v>
      </c>
      <c r="I68" s="545">
        <v>3</v>
      </c>
      <c r="J68" s="545">
        <v>172.92000000000002</v>
      </c>
      <c r="K68" s="530">
        <v>1</v>
      </c>
      <c r="L68" s="545">
        <v>3</v>
      </c>
      <c r="M68" s="546">
        <v>172.92000000000002</v>
      </c>
    </row>
    <row r="69" spans="1:13" ht="14.4" customHeight="1" x14ac:dyDescent="0.3">
      <c r="A69" s="524" t="s">
        <v>471</v>
      </c>
      <c r="B69" s="525" t="s">
        <v>1193</v>
      </c>
      <c r="C69" s="525" t="s">
        <v>1095</v>
      </c>
      <c r="D69" s="525" t="s">
        <v>1096</v>
      </c>
      <c r="E69" s="525" t="s">
        <v>1097</v>
      </c>
      <c r="F69" s="545"/>
      <c r="G69" s="545"/>
      <c r="H69" s="530">
        <v>0</v>
      </c>
      <c r="I69" s="545">
        <v>2</v>
      </c>
      <c r="J69" s="545">
        <v>172.82</v>
      </c>
      <c r="K69" s="530">
        <v>1</v>
      </c>
      <c r="L69" s="545">
        <v>2</v>
      </c>
      <c r="M69" s="546">
        <v>172.82</v>
      </c>
    </row>
    <row r="70" spans="1:13" ht="14.4" customHeight="1" x14ac:dyDescent="0.3">
      <c r="A70" s="524" t="s">
        <v>471</v>
      </c>
      <c r="B70" s="525" t="s">
        <v>1196</v>
      </c>
      <c r="C70" s="525" t="s">
        <v>927</v>
      </c>
      <c r="D70" s="525" t="s">
        <v>928</v>
      </c>
      <c r="E70" s="525" t="s">
        <v>929</v>
      </c>
      <c r="F70" s="545"/>
      <c r="G70" s="545"/>
      <c r="H70" s="530">
        <v>0</v>
      </c>
      <c r="I70" s="545">
        <v>1</v>
      </c>
      <c r="J70" s="545">
        <v>184.74</v>
      </c>
      <c r="K70" s="530">
        <v>1</v>
      </c>
      <c r="L70" s="545">
        <v>1</v>
      </c>
      <c r="M70" s="546">
        <v>184.74</v>
      </c>
    </row>
    <row r="71" spans="1:13" ht="14.4" customHeight="1" x14ac:dyDescent="0.3">
      <c r="A71" s="524" t="s">
        <v>471</v>
      </c>
      <c r="B71" s="525" t="s">
        <v>1197</v>
      </c>
      <c r="C71" s="525" t="s">
        <v>1104</v>
      </c>
      <c r="D71" s="525" t="s">
        <v>800</v>
      </c>
      <c r="E71" s="525" t="s">
        <v>1105</v>
      </c>
      <c r="F71" s="545"/>
      <c r="G71" s="545"/>
      <c r="H71" s="530">
        <v>0</v>
      </c>
      <c r="I71" s="545">
        <v>3</v>
      </c>
      <c r="J71" s="545">
        <v>1108.5</v>
      </c>
      <c r="K71" s="530">
        <v>1</v>
      </c>
      <c r="L71" s="545">
        <v>3</v>
      </c>
      <c r="M71" s="546">
        <v>1108.5</v>
      </c>
    </row>
    <row r="72" spans="1:13" ht="14.4" customHeight="1" x14ac:dyDescent="0.3">
      <c r="A72" s="524" t="s">
        <v>471</v>
      </c>
      <c r="B72" s="525" t="s">
        <v>1199</v>
      </c>
      <c r="C72" s="525" t="s">
        <v>1116</v>
      </c>
      <c r="D72" s="525" t="s">
        <v>1117</v>
      </c>
      <c r="E72" s="525" t="s">
        <v>1118</v>
      </c>
      <c r="F72" s="545"/>
      <c r="G72" s="545"/>
      <c r="H72" s="530">
        <v>0</v>
      </c>
      <c r="I72" s="545">
        <v>2</v>
      </c>
      <c r="J72" s="545">
        <v>320.2</v>
      </c>
      <c r="K72" s="530">
        <v>1</v>
      </c>
      <c r="L72" s="545">
        <v>2</v>
      </c>
      <c r="M72" s="546">
        <v>320.2</v>
      </c>
    </row>
    <row r="73" spans="1:13" ht="14.4" customHeight="1" x14ac:dyDescent="0.3">
      <c r="A73" s="524" t="s">
        <v>471</v>
      </c>
      <c r="B73" s="525" t="s">
        <v>1223</v>
      </c>
      <c r="C73" s="525" t="s">
        <v>1060</v>
      </c>
      <c r="D73" s="525" t="s">
        <v>1061</v>
      </c>
      <c r="E73" s="525" t="s">
        <v>1062</v>
      </c>
      <c r="F73" s="545"/>
      <c r="G73" s="545"/>
      <c r="H73" s="530">
        <v>0</v>
      </c>
      <c r="I73" s="545">
        <v>3</v>
      </c>
      <c r="J73" s="545">
        <v>432.03</v>
      </c>
      <c r="K73" s="530">
        <v>1</v>
      </c>
      <c r="L73" s="545">
        <v>3</v>
      </c>
      <c r="M73" s="546">
        <v>432.03</v>
      </c>
    </row>
    <row r="74" spans="1:13" ht="14.4" customHeight="1" x14ac:dyDescent="0.3">
      <c r="A74" s="524" t="s">
        <v>471</v>
      </c>
      <c r="B74" s="525" t="s">
        <v>1200</v>
      </c>
      <c r="C74" s="525" t="s">
        <v>1078</v>
      </c>
      <c r="D74" s="525" t="s">
        <v>1079</v>
      </c>
      <c r="E74" s="525" t="s">
        <v>786</v>
      </c>
      <c r="F74" s="545"/>
      <c r="G74" s="545"/>
      <c r="H74" s="530">
        <v>0</v>
      </c>
      <c r="I74" s="545">
        <v>3</v>
      </c>
      <c r="J74" s="545">
        <v>394.62</v>
      </c>
      <c r="K74" s="530">
        <v>1</v>
      </c>
      <c r="L74" s="545">
        <v>3</v>
      </c>
      <c r="M74" s="546">
        <v>394.62</v>
      </c>
    </row>
    <row r="75" spans="1:13" ht="14.4" customHeight="1" x14ac:dyDescent="0.3">
      <c r="A75" s="524" t="s">
        <v>471</v>
      </c>
      <c r="B75" s="525" t="s">
        <v>1224</v>
      </c>
      <c r="C75" s="525" t="s">
        <v>1089</v>
      </c>
      <c r="D75" s="525" t="s">
        <v>1090</v>
      </c>
      <c r="E75" s="525" t="s">
        <v>1091</v>
      </c>
      <c r="F75" s="545"/>
      <c r="G75" s="545"/>
      <c r="H75" s="530">
        <v>0</v>
      </c>
      <c r="I75" s="545">
        <v>4</v>
      </c>
      <c r="J75" s="545">
        <v>140.44</v>
      </c>
      <c r="K75" s="530">
        <v>1</v>
      </c>
      <c r="L75" s="545">
        <v>4</v>
      </c>
      <c r="M75" s="546">
        <v>140.44</v>
      </c>
    </row>
    <row r="76" spans="1:13" ht="14.4" customHeight="1" x14ac:dyDescent="0.3">
      <c r="A76" s="524" t="s">
        <v>471</v>
      </c>
      <c r="B76" s="525" t="s">
        <v>1225</v>
      </c>
      <c r="C76" s="525" t="s">
        <v>1135</v>
      </c>
      <c r="D76" s="525" t="s">
        <v>1136</v>
      </c>
      <c r="E76" s="525" t="s">
        <v>1137</v>
      </c>
      <c r="F76" s="545">
        <v>3</v>
      </c>
      <c r="G76" s="545">
        <v>0</v>
      </c>
      <c r="H76" s="530"/>
      <c r="I76" s="545"/>
      <c r="J76" s="545"/>
      <c r="K76" s="530"/>
      <c r="L76" s="545">
        <v>3</v>
      </c>
      <c r="M76" s="546">
        <v>0</v>
      </c>
    </row>
    <row r="77" spans="1:13" ht="14.4" customHeight="1" x14ac:dyDescent="0.3">
      <c r="A77" s="524" t="s">
        <v>471</v>
      </c>
      <c r="B77" s="525" t="s">
        <v>1203</v>
      </c>
      <c r="C77" s="525" t="s">
        <v>831</v>
      </c>
      <c r="D77" s="525" t="s">
        <v>832</v>
      </c>
      <c r="E77" s="525" t="s">
        <v>631</v>
      </c>
      <c r="F77" s="545"/>
      <c r="G77" s="545"/>
      <c r="H77" s="530">
        <v>0</v>
      </c>
      <c r="I77" s="545">
        <v>6</v>
      </c>
      <c r="J77" s="545">
        <v>289.62</v>
      </c>
      <c r="K77" s="530">
        <v>1</v>
      </c>
      <c r="L77" s="545">
        <v>6</v>
      </c>
      <c r="M77" s="546">
        <v>289.62</v>
      </c>
    </row>
    <row r="78" spans="1:13" ht="14.4" customHeight="1" x14ac:dyDescent="0.3">
      <c r="A78" s="524" t="s">
        <v>471</v>
      </c>
      <c r="B78" s="525" t="s">
        <v>1203</v>
      </c>
      <c r="C78" s="525" t="s">
        <v>1109</v>
      </c>
      <c r="D78" s="525" t="s">
        <v>835</v>
      </c>
      <c r="E78" s="525" t="s">
        <v>523</v>
      </c>
      <c r="F78" s="545"/>
      <c r="G78" s="545"/>
      <c r="H78" s="530">
        <v>0</v>
      </c>
      <c r="I78" s="545">
        <v>2</v>
      </c>
      <c r="J78" s="545">
        <v>193.06</v>
      </c>
      <c r="K78" s="530">
        <v>1</v>
      </c>
      <c r="L78" s="545">
        <v>2</v>
      </c>
      <c r="M78" s="546">
        <v>193.06</v>
      </c>
    </row>
    <row r="79" spans="1:13" ht="14.4" customHeight="1" x14ac:dyDescent="0.3">
      <c r="A79" s="524" t="s">
        <v>471</v>
      </c>
      <c r="B79" s="525" t="s">
        <v>1205</v>
      </c>
      <c r="C79" s="525" t="s">
        <v>844</v>
      </c>
      <c r="D79" s="525" t="s">
        <v>845</v>
      </c>
      <c r="E79" s="525" t="s">
        <v>767</v>
      </c>
      <c r="F79" s="545"/>
      <c r="G79" s="545"/>
      <c r="H79" s="530">
        <v>0</v>
      </c>
      <c r="I79" s="545">
        <v>8</v>
      </c>
      <c r="J79" s="545">
        <v>699.28</v>
      </c>
      <c r="K79" s="530">
        <v>1</v>
      </c>
      <c r="L79" s="545">
        <v>8</v>
      </c>
      <c r="M79" s="546">
        <v>699.28</v>
      </c>
    </row>
    <row r="80" spans="1:13" ht="14.4" customHeight="1" x14ac:dyDescent="0.3">
      <c r="A80" s="524" t="s">
        <v>471</v>
      </c>
      <c r="B80" s="525" t="s">
        <v>1205</v>
      </c>
      <c r="C80" s="525" t="s">
        <v>846</v>
      </c>
      <c r="D80" s="525" t="s">
        <v>845</v>
      </c>
      <c r="E80" s="525" t="s">
        <v>614</v>
      </c>
      <c r="F80" s="545"/>
      <c r="G80" s="545"/>
      <c r="H80" s="530">
        <v>0</v>
      </c>
      <c r="I80" s="545">
        <v>2</v>
      </c>
      <c r="J80" s="545">
        <v>554.04999999999995</v>
      </c>
      <c r="K80" s="530">
        <v>1</v>
      </c>
      <c r="L80" s="545">
        <v>2</v>
      </c>
      <c r="M80" s="546">
        <v>554.04999999999995</v>
      </c>
    </row>
    <row r="81" spans="1:13" ht="14.4" customHeight="1" x14ac:dyDescent="0.3">
      <c r="A81" s="524" t="s">
        <v>471</v>
      </c>
      <c r="B81" s="525" t="s">
        <v>1205</v>
      </c>
      <c r="C81" s="525" t="s">
        <v>1115</v>
      </c>
      <c r="D81" s="525" t="s">
        <v>850</v>
      </c>
      <c r="E81" s="525" t="s">
        <v>767</v>
      </c>
      <c r="F81" s="545"/>
      <c r="G81" s="545"/>
      <c r="H81" s="530">
        <v>0</v>
      </c>
      <c r="I81" s="545">
        <v>2</v>
      </c>
      <c r="J81" s="545">
        <v>349.62</v>
      </c>
      <c r="K81" s="530">
        <v>1</v>
      </c>
      <c r="L81" s="545">
        <v>2</v>
      </c>
      <c r="M81" s="546">
        <v>349.62</v>
      </c>
    </row>
    <row r="82" spans="1:13" ht="14.4" customHeight="1" x14ac:dyDescent="0.3">
      <c r="A82" s="524" t="s">
        <v>471</v>
      </c>
      <c r="B82" s="525" t="s">
        <v>1207</v>
      </c>
      <c r="C82" s="525" t="s">
        <v>1110</v>
      </c>
      <c r="D82" s="525" t="s">
        <v>842</v>
      </c>
      <c r="E82" s="525" t="s">
        <v>688</v>
      </c>
      <c r="F82" s="545"/>
      <c r="G82" s="545"/>
      <c r="H82" s="530">
        <v>0</v>
      </c>
      <c r="I82" s="545">
        <v>12</v>
      </c>
      <c r="J82" s="545">
        <v>1409.52</v>
      </c>
      <c r="K82" s="530">
        <v>1</v>
      </c>
      <c r="L82" s="545">
        <v>12</v>
      </c>
      <c r="M82" s="546">
        <v>1409.52</v>
      </c>
    </row>
    <row r="83" spans="1:13" ht="14.4" customHeight="1" x14ac:dyDescent="0.3">
      <c r="A83" s="524" t="s">
        <v>471</v>
      </c>
      <c r="B83" s="525" t="s">
        <v>1207</v>
      </c>
      <c r="C83" s="525" t="s">
        <v>841</v>
      </c>
      <c r="D83" s="525" t="s">
        <v>842</v>
      </c>
      <c r="E83" s="525" t="s">
        <v>719</v>
      </c>
      <c r="F83" s="545"/>
      <c r="G83" s="545"/>
      <c r="H83" s="530">
        <v>0</v>
      </c>
      <c r="I83" s="545">
        <v>1</v>
      </c>
      <c r="J83" s="545">
        <v>352.37</v>
      </c>
      <c r="K83" s="530">
        <v>1</v>
      </c>
      <c r="L83" s="545">
        <v>1</v>
      </c>
      <c r="M83" s="546">
        <v>352.37</v>
      </c>
    </row>
    <row r="84" spans="1:13" ht="14.4" customHeight="1" x14ac:dyDescent="0.3">
      <c r="A84" s="524" t="s">
        <v>471</v>
      </c>
      <c r="B84" s="525" t="s">
        <v>1207</v>
      </c>
      <c r="C84" s="525" t="s">
        <v>1111</v>
      </c>
      <c r="D84" s="525" t="s">
        <v>1112</v>
      </c>
      <c r="E84" s="525" t="s">
        <v>688</v>
      </c>
      <c r="F84" s="545"/>
      <c r="G84" s="545"/>
      <c r="H84" s="530">
        <v>0</v>
      </c>
      <c r="I84" s="545">
        <v>3</v>
      </c>
      <c r="J84" s="545">
        <v>511.29</v>
      </c>
      <c r="K84" s="530">
        <v>1</v>
      </c>
      <c r="L84" s="545">
        <v>3</v>
      </c>
      <c r="M84" s="546">
        <v>511.29</v>
      </c>
    </row>
    <row r="85" spans="1:13" ht="14.4" customHeight="1" x14ac:dyDescent="0.3">
      <c r="A85" s="524" t="s">
        <v>471</v>
      </c>
      <c r="B85" s="525" t="s">
        <v>1207</v>
      </c>
      <c r="C85" s="525" t="s">
        <v>1113</v>
      </c>
      <c r="D85" s="525" t="s">
        <v>1114</v>
      </c>
      <c r="E85" s="525" t="s">
        <v>688</v>
      </c>
      <c r="F85" s="545"/>
      <c r="G85" s="545"/>
      <c r="H85" s="530">
        <v>0</v>
      </c>
      <c r="I85" s="545">
        <v>3</v>
      </c>
      <c r="J85" s="545">
        <v>545.81999999999994</v>
      </c>
      <c r="K85" s="530">
        <v>1</v>
      </c>
      <c r="L85" s="545">
        <v>3</v>
      </c>
      <c r="M85" s="546">
        <v>545.81999999999994</v>
      </c>
    </row>
    <row r="86" spans="1:13" ht="14.4" customHeight="1" x14ac:dyDescent="0.3">
      <c r="A86" s="524" t="s">
        <v>471</v>
      </c>
      <c r="B86" s="525" t="s">
        <v>1209</v>
      </c>
      <c r="C86" s="525" t="s">
        <v>969</v>
      </c>
      <c r="D86" s="525" t="s">
        <v>970</v>
      </c>
      <c r="E86" s="525" t="s">
        <v>971</v>
      </c>
      <c r="F86" s="545">
        <v>2</v>
      </c>
      <c r="G86" s="545">
        <v>0</v>
      </c>
      <c r="H86" s="530"/>
      <c r="I86" s="545"/>
      <c r="J86" s="545"/>
      <c r="K86" s="530"/>
      <c r="L86" s="545">
        <v>2</v>
      </c>
      <c r="M86" s="546">
        <v>0</v>
      </c>
    </row>
    <row r="87" spans="1:13" ht="14.4" customHeight="1" x14ac:dyDescent="0.3">
      <c r="A87" s="524" t="s">
        <v>471</v>
      </c>
      <c r="B87" s="525" t="s">
        <v>1212</v>
      </c>
      <c r="C87" s="525" t="s">
        <v>1066</v>
      </c>
      <c r="D87" s="525" t="s">
        <v>606</v>
      </c>
      <c r="E87" s="525" t="s">
        <v>523</v>
      </c>
      <c r="F87" s="545"/>
      <c r="G87" s="545"/>
      <c r="H87" s="530">
        <v>0</v>
      </c>
      <c r="I87" s="545">
        <v>3</v>
      </c>
      <c r="J87" s="545">
        <v>176.57999999999998</v>
      </c>
      <c r="K87" s="530">
        <v>1</v>
      </c>
      <c r="L87" s="545">
        <v>3</v>
      </c>
      <c r="M87" s="546">
        <v>176.57999999999998</v>
      </c>
    </row>
    <row r="88" spans="1:13" ht="14.4" customHeight="1" x14ac:dyDescent="0.3">
      <c r="A88" s="524" t="s">
        <v>471</v>
      </c>
      <c r="B88" s="525" t="s">
        <v>1212</v>
      </c>
      <c r="C88" s="525" t="s">
        <v>605</v>
      </c>
      <c r="D88" s="525" t="s">
        <v>606</v>
      </c>
      <c r="E88" s="525" t="s">
        <v>607</v>
      </c>
      <c r="F88" s="545"/>
      <c r="G88" s="545"/>
      <c r="H88" s="530">
        <v>0</v>
      </c>
      <c r="I88" s="545">
        <v>5</v>
      </c>
      <c r="J88" s="545">
        <v>981.05</v>
      </c>
      <c r="K88" s="530">
        <v>1</v>
      </c>
      <c r="L88" s="545">
        <v>5</v>
      </c>
      <c r="M88" s="546">
        <v>981.05</v>
      </c>
    </row>
    <row r="89" spans="1:13" ht="14.4" customHeight="1" x14ac:dyDescent="0.3">
      <c r="A89" s="524" t="s">
        <v>471</v>
      </c>
      <c r="B89" s="525" t="s">
        <v>1212</v>
      </c>
      <c r="C89" s="525" t="s">
        <v>953</v>
      </c>
      <c r="D89" s="525" t="s">
        <v>954</v>
      </c>
      <c r="E89" s="525" t="s">
        <v>883</v>
      </c>
      <c r="F89" s="545"/>
      <c r="G89" s="545"/>
      <c r="H89" s="530">
        <v>0</v>
      </c>
      <c r="I89" s="545">
        <v>5</v>
      </c>
      <c r="J89" s="545">
        <v>588.65</v>
      </c>
      <c r="K89" s="530">
        <v>1</v>
      </c>
      <c r="L89" s="545">
        <v>5</v>
      </c>
      <c r="M89" s="546">
        <v>588.65</v>
      </c>
    </row>
    <row r="90" spans="1:13" ht="14.4" customHeight="1" x14ac:dyDescent="0.3">
      <c r="A90" s="524" t="s">
        <v>471</v>
      </c>
      <c r="B90" s="525" t="s">
        <v>1212</v>
      </c>
      <c r="C90" s="525" t="s">
        <v>1067</v>
      </c>
      <c r="D90" s="525" t="s">
        <v>954</v>
      </c>
      <c r="E90" s="525" t="s">
        <v>1068</v>
      </c>
      <c r="F90" s="545"/>
      <c r="G90" s="545"/>
      <c r="H90" s="530">
        <v>0</v>
      </c>
      <c r="I90" s="545">
        <v>1</v>
      </c>
      <c r="J90" s="545">
        <v>392.42</v>
      </c>
      <c r="K90" s="530">
        <v>1</v>
      </c>
      <c r="L90" s="545">
        <v>1</v>
      </c>
      <c r="M90" s="546">
        <v>392.42</v>
      </c>
    </row>
    <row r="91" spans="1:13" ht="14.4" customHeight="1" x14ac:dyDescent="0.3">
      <c r="A91" s="524" t="s">
        <v>471</v>
      </c>
      <c r="B91" s="525" t="s">
        <v>1212</v>
      </c>
      <c r="C91" s="525" t="s">
        <v>1069</v>
      </c>
      <c r="D91" s="525" t="s">
        <v>609</v>
      </c>
      <c r="E91" s="525" t="s">
        <v>1070</v>
      </c>
      <c r="F91" s="545"/>
      <c r="G91" s="545"/>
      <c r="H91" s="530">
        <v>0</v>
      </c>
      <c r="I91" s="545">
        <v>3</v>
      </c>
      <c r="J91" s="545">
        <v>543.39</v>
      </c>
      <c r="K91" s="530">
        <v>1</v>
      </c>
      <c r="L91" s="545">
        <v>3</v>
      </c>
      <c r="M91" s="546">
        <v>543.39</v>
      </c>
    </row>
    <row r="92" spans="1:13" ht="14.4" customHeight="1" x14ac:dyDescent="0.3">
      <c r="A92" s="524" t="s">
        <v>471</v>
      </c>
      <c r="B92" s="525" t="s">
        <v>1213</v>
      </c>
      <c r="C92" s="525" t="s">
        <v>1017</v>
      </c>
      <c r="D92" s="525" t="s">
        <v>877</v>
      </c>
      <c r="E92" s="525" t="s">
        <v>883</v>
      </c>
      <c r="F92" s="545"/>
      <c r="G92" s="545"/>
      <c r="H92" s="530">
        <v>0</v>
      </c>
      <c r="I92" s="545">
        <v>3</v>
      </c>
      <c r="J92" s="545">
        <v>543.39</v>
      </c>
      <c r="K92" s="530">
        <v>1</v>
      </c>
      <c r="L92" s="545">
        <v>3</v>
      </c>
      <c r="M92" s="546">
        <v>543.39</v>
      </c>
    </row>
    <row r="93" spans="1:13" ht="14.4" customHeight="1" x14ac:dyDescent="0.3">
      <c r="A93" s="524" t="s">
        <v>471</v>
      </c>
      <c r="B93" s="525" t="s">
        <v>1213</v>
      </c>
      <c r="C93" s="525" t="s">
        <v>878</v>
      </c>
      <c r="D93" s="525" t="s">
        <v>879</v>
      </c>
      <c r="E93" s="525" t="s">
        <v>601</v>
      </c>
      <c r="F93" s="545"/>
      <c r="G93" s="545"/>
      <c r="H93" s="530">
        <v>0</v>
      </c>
      <c r="I93" s="545">
        <v>2</v>
      </c>
      <c r="J93" s="545">
        <v>1671.86</v>
      </c>
      <c r="K93" s="530">
        <v>1</v>
      </c>
      <c r="L93" s="545">
        <v>2</v>
      </c>
      <c r="M93" s="546">
        <v>1671.86</v>
      </c>
    </row>
    <row r="94" spans="1:13" ht="14.4" customHeight="1" x14ac:dyDescent="0.3">
      <c r="A94" s="524" t="s">
        <v>471</v>
      </c>
      <c r="B94" s="525" t="s">
        <v>1226</v>
      </c>
      <c r="C94" s="525" t="s">
        <v>1072</v>
      </c>
      <c r="D94" s="525" t="s">
        <v>1073</v>
      </c>
      <c r="E94" s="525" t="s">
        <v>523</v>
      </c>
      <c r="F94" s="545"/>
      <c r="G94" s="545"/>
      <c r="H94" s="530">
        <v>0</v>
      </c>
      <c r="I94" s="545">
        <v>3</v>
      </c>
      <c r="J94" s="545">
        <v>197.96999999999997</v>
      </c>
      <c r="K94" s="530">
        <v>1</v>
      </c>
      <c r="L94" s="545">
        <v>3</v>
      </c>
      <c r="M94" s="546">
        <v>197.96999999999997</v>
      </c>
    </row>
    <row r="95" spans="1:13" ht="14.4" customHeight="1" x14ac:dyDescent="0.3">
      <c r="A95" s="524" t="s">
        <v>471</v>
      </c>
      <c r="B95" s="525" t="s">
        <v>1227</v>
      </c>
      <c r="C95" s="525" t="s">
        <v>1139</v>
      </c>
      <c r="D95" s="525" t="s">
        <v>1140</v>
      </c>
      <c r="E95" s="525" t="s">
        <v>1141</v>
      </c>
      <c r="F95" s="545"/>
      <c r="G95" s="545"/>
      <c r="H95" s="530"/>
      <c r="I95" s="545">
        <v>3</v>
      </c>
      <c r="J95" s="545">
        <v>0</v>
      </c>
      <c r="K95" s="530"/>
      <c r="L95" s="545">
        <v>3</v>
      </c>
      <c r="M95" s="546">
        <v>0</v>
      </c>
    </row>
    <row r="96" spans="1:13" ht="14.4" customHeight="1" x14ac:dyDescent="0.3">
      <c r="A96" s="524" t="s">
        <v>473</v>
      </c>
      <c r="B96" s="525" t="s">
        <v>1203</v>
      </c>
      <c r="C96" s="525" t="s">
        <v>831</v>
      </c>
      <c r="D96" s="525" t="s">
        <v>832</v>
      </c>
      <c r="E96" s="525" t="s">
        <v>631</v>
      </c>
      <c r="F96" s="545"/>
      <c r="G96" s="545"/>
      <c r="H96" s="530">
        <v>0</v>
      </c>
      <c r="I96" s="545">
        <v>1</v>
      </c>
      <c r="J96" s="545">
        <v>48.27</v>
      </c>
      <c r="K96" s="530">
        <v>1</v>
      </c>
      <c r="L96" s="545">
        <v>1</v>
      </c>
      <c r="M96" s="546">
        <v>48.27</v>
      </c>
    </row>
    <row r="97" spans="1:13" ht="14.4" customHeight="1" x14ac:dyDescent="0.3">
      <c r="A97" s="524" t="s">
        <v>472</v>
      </c>
      <c r="B97" s="525" t="s">
        <v>1192</v>
      </c>
      <c r="C97" s="525" t="s">
        <v>1013</v>
      </c>
      <c r="D97" s="525" t="s">
        <v>518</v>
      </c>
      <c r="E97" s="525" t="s">
        <v>1014</v>
      </c>
      <c r="F97" s="545"/>
      <c r="G97" s="545"/>
      <c r="H97" s="530"/>
      <c r="I97" s="545">
        <v>2</v>
      </c>
      <c r="J97" s="545">
        <v>0</v>
      </c>
      <c r="K97" s="530"/>
      <c r="L97" s="545">
        <v>2</v>
      </c>
      <c r="M97" s="546">
        <v>0</v>
      </c>
    </row>
    <row r="98" spans="1:13" ht="14.4" customHeight="1" x14ac:dyDescent="0.3">
      <c r="A98" s="524" t="s">
        <v>472</v>
      </c>
      <c r="B98" s="525" t="s">
        <v>1192</v>
      </c>
      <c r="C98" s="525" t="s">
        <v>517</v>
      </c>
      <c r="D98" s="525" t="s">
        <v>518</v>
      </c>
      <c r="E98" s="525" t="s">
        <v>519</v>
      </c>
      <c r="F98" s="545"/>
      <c r="G98" s="545"/>
      <c r="H98" s="530">
        <v>0</v>
      </c>
      <c r="I98" s="545">
        <v>2</v>
      </c>
      <c r="J98" s="545">
        <v>301.18</v>
      </c>
      <c r="K98" s="530">
        <v>1</v>
      </c>
      <c r="L98" s="545">
        <v>2</v>
      </c>
      <c r="M98" s="546">
        <v>301.18</v>
      </c>
    </row>
    <row r="99" spans="1:13" ht="14.4" customHeight="1" x14ac:dyDescent="0.3">
      <c r="A99" s="524" t="s">
        <v>472</v>
      </c>
      <c r="B99" s="525" t="s">
        <v>1193</v>
      </c>
      <c r="C99" s="525" t="s">
        <v>1007</v>
      </c>
      <c r="D99" s="525" t="s">
        <v>1008</v>
      </c>
      <c r="E99" s="525" t="s">
        <v>1009</v>
      </c>
      <c r="F99" s="545">
        <v>3</v>
      </c>
      <c r="G99" s="545">
        <v>0</v>
      </c>
      <c r="H99" s="530"/>
      <c r="I99" s="545"/>
      <c r="J99" s="545"/>
      <c r="K99" s="530"/>
      <c r="L99" s="545">
        <v>3</v>
      </c>
      <c r="M99" s="546">
        <v>0</v>
      </c>
    </row>
    <row r="100" spans="1:13" ht="14.4" customHeight="1" x14ac:dyDescent="0.3">
      <c r="A100" s="524" t="s">
        <v>472</v>
      </c>
      <c r="B100" s="525" t="s">
        <v>1228</v>
      </c>
      <c r="C100" s="525" t="s">
        <v>993</v>
      </c>
      <c r="D100" s="525" t="s">
        <v>994</v>
      </c>
      <c r="E100" s="525" t="s">
        <v>995</v>
      </c>
      <c r="F100" s="545"/>
      <c r="G100" s="545"/>
      <c r="H100" s="530">
        <v>0</v>
      </c>
      <c r="I100" s="545">
        <v>3</v>
      </c>
      <c r="J100" s="545">
        <v>138.75</v>
      </c>
      <c r="K100" s="530">
        <v>1</v>
      </c>
      <c r="L100" s="545">
        <v>3</v>
      </c>
      <c r="M100" s="546">
        <v>138.75</v>
      </c>
    </row>
    <row r="101" spans="1:13" ht="14.4" customHeight="1" x14ac:dyDescent="0.3">
      <c r="A101" s="524" t="s">
        <v>472</v>
      </c>
      <c r="B101" s="525" t="s">
        <v>1229</v>
      </c>
      <c r="C101" s="525" t="s">
        <v>1010</v>
      </c>
      <c r="D101" s="525" t="s">
        <v>1011</v>
      </c>
      <c r="E101" s="525" t="s">
        <v>1012</v>
      </c>
      <c r="F101" s="545"/>
      <c r="G101" s="545"/>
      <c r="H101" s="530">
        <v>0</v>
      </c>
      <c r="I101" s="545">
        <v>1</v>
      </c>
      <c r="J101" s="545">
        <v>468.68</v>
      </c>
      <c r="K101" s="530">
        <v>1</v>
      </c>
      <c r="L101" s="545">
        <v>1</v>
      </c>
      <c r="M101" s="546">
        <v>468.68</v>
      </c>
    </row>
    <row r="102" spans="1:13" ht="14.4" customHeight="1" x14ac:dyDescent="0.3">
      <c r="A102" s="524" t="s">
        <v>472</v>
      </c>
      <c r="B102" s="525" t="s">
        <v>1229</v>
      </c>
      <c r="C102" s="525" t="s">
        <v>559</v>
      </c>
      <c r="D102" s="525" t="s">
        <v>560</v>
      </c>
      <c r="E102" s="525" t="s">
        <v>561</v>
      </c>
      <c r="F102" s="545"/>
      <c r="G102" s="545"/>
      <c r="H102" s="530">
        <v>0</v>
      </c>
      <c r="I102" s="545">
        <v>1</v>
      </c>
      <c r="J102" s="545">
        <v>351.51</v>
      </c>
      <c r="K102" s="530">
        <v>1</v>
      </c>
      <c r="L102" s="545">
        <v>1</v>
      </c>
      <c r="M102" s="546">
        <v>351.51</v>
      </c>
    </row>
    <row r="103" spans="1:13" ht="14.4" customHeight="1" x14ac:dyDescent="0.3">
      <c r="A103" s="524" t="s">
        <v>472</v>
      </c>
      <c r="B103" s="525" t="s">
        <v>1224</v>
      </c>
      <c r="C103" s="525" t="s">
        <v>551</v>
      </c>
      <c r="D103" s="525" t="s">
        <v>552</v>
      </c>
      <c r="E103" s="525" t="s">
        <v>553</v>
      </c>
      <c r="F103" s="545">
        <v>6</v>
      </c>
      <c r="G103" s="545">
        <v>52.739999999999995</v>
      </c>
      <c r="H103" s="530">
        <v>1</v>
      </c>
      <c r="I103" s="545"/>
      <c r="J103" s="545"/>
      <c r="K103" s="530">
        <v>0</v>
      </c>
      <c r="L103" s="545">
        <v>6</v>
      </c>
      <c r="M103" s="546">
        <v>52.739999999999995</v>
      </c>
    </row>
    <row r="104" spans="1:13" ht="14.4" customHeight="1" x14ac:dyDescent="0.3">
      <c r="A104" s="524" t="s">
        <v>472</v>
      </c>
      <c r="B104" s="525" t="s">
        <v>1207</v>
      </c>
      <c r="C104" s="525" t="s">
        <v>1015</v>
      </c>
      <c r="D104" s="525" t="s">
        <v>1016</v>
      </c>
      <c r="E104" s="525" t="s">
        <v>719</v>
      </c>
      <c r="F104" s="545"/>
      <c r="G104" s="545"/>
      <c r="H104" s="530">
        <v>0</v>
      </c>
      <c r="I104" s="545">
        <v>1</v>
      </c>
      <c r="J104" s="545">
        <v>704.73</v>
      </c>
      <c r="K104" s="530">
        <v>1</v>
      </c>
      <c r="L104" s="545">
        <v>1</v>
      </c>
      <c r="M104" s="546">
        <v>704.73</v>
      </c>
    </row>
    <row r="105" spans="1:13" ht="14.4" customHeight="1" x14ac:dyDescent="0.3">
      <c r="A105" s="524" t="s">
        <v>472</v>
      </c>
      <c r="B105" s="525" t="s">
        <v>1213</v>
      </c>
      <c r="C105" s="525" t="s">
        <v>1017</v>
      </c>
      <c r="D105" s="525" t="s">
        <v>877</v>
      </c>
      <c r="E105" s="525" t="s">
        <v>883</v>
      </c>
      <c r="F105" s="545"/>
      <c r="G105" s="545"/>
      <c r="H105" s="530">
        <v>0</v>
      </c>
      <c r="I105" s="545">
        <v>3</v>
      </c>
      <c r="J105" s="545">
        <v>543.39</v>
      </c>
      <c r="K105" s="530">
        <v>1</v>
      </c>
      <c r="L105" s="545">
        <v>3</v>
      </c>
      <c r="M105" s="546">
        <v>543.39</v>
      </c>
    </row>
    <row r="106" spans="1:13" ht="14.4" customHeight="1" x14ac:dyDescent="0.3">
      <c r="A106" s="524" t="s">
        <v>472</v>
      </c>
      <c r="B106" s="525" t="s">
        <v>1213</v>
      </c>
      <c r="C106" s="525" t="s">
        <v>876</v>
      </c>
      <c r="D106" s="525" t="s">
        <v>877</v>
      </c>
      <c r="E106" s="525" t="s">
        <v>604</v>
      </c>
      <c r="F106" s="545"/>
      <c r="G106" s="545"/>
      <c r="H106" s="530">
        <v>0</v>
      </c>
      <c r="I106" s="545">
        <v>3</v>
      </c>
      <c r="J106" s="545">
        <v>1630.08</v>
      </c>
      <c r="K106" s="530">
        <v>1</v>
      </c>
      <c r="L106" s="545">
        <v>3</v>
      </c>
      <c r="M106" s="546">
        <v>1630.08</v>
      </c>
    </row>
    <row r="107" spans="1:13" ht="14.4" customHeight="1" x14ac:dyDescent="0.3">
      <c r="A107" s="524" t="s">
        <v>472</v>
      </c>
      <c r="B107" s="525" t="s">
        <v>1230</v>
      </c>
      <c r="C107" s="525" t="s">
        <v>989</v>
      </c>
      <c r="D107" s="525" t="s">
        <v>990</v>
      </c>
      <c r="E107" s="525" t="s">
        <v>991</v>
      </c>
      <c r="F107" s="545"/>
      <c r="G107" s="545"/>
      <c r="H107" s="530">
        <v>0</v>
      </c>
      <c r="I107" s="545">
        <v>1</v>
      </c>
      <c r="J107" s="545">
        <v>556.04</v>
      </c>
      <c r="K107" s="530">
        <v>1</v>
      </c>
      <c r="L107" s="545">
        <v>1</v>
      </c>
      <c r="M107" s="546">
        <v>556.04</v>
      </c>
    </row>
    <row r="108" spans="1:13" ht="14.4" customHeight="1" thickBot="1" x14ac:dyDescent="0.35">
      <c r="A108" s="532" t="s">
        <v>472</v>
      </c>
      <c r="B108" s="533" t="s">
        <v>1231</v>
      </c>
      <c r="C108" s="533" t="s">
        <v>1019</v>
      </c>
      <c r="D108" s="533" t="s">
        <v>1020</v>
      </c>
      <c r="E108" s="533" t="s">
        <v>1021</v>
      </c>
      <c r="F108" s="547"/>
      <c r="G108" s="547"/>
      <c r="H108" s="538">
        <v>0</v>
      </c>
      <c r="I108" s="547">
        <v>1</v>
      </c>
      <c r="J108" s="547">
        <v>2669.75</v>
      </c>
      <c r="K108" s="538">
        <v>1</v>
      </c>
      <c r="L108" s="547">
        <v>1</v>
      </c>
      <c r="M108" s="548">
        <v>2669.75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139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250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2014</v>
      </c>
      <c r="D3" s="293">
        <v>2015</v>
      </c>
      <c r="E3" s="7"/>
      <c r="F3" s="349">
        <v>2016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204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413</v>
      </c>
      <c r="B5" s="448" t="s">
        <v>414</v>
      </c>
      <c r="C5" s="449" t="s">
        <v>415</v>
      </c>
      <c r="D5" s="449" t="s">
        <v>415</v>
      </c>
      <c r="E5" s="449"/>
      <c r="F5" s="449" t="s">
        <v>415</v>
      </c>
      <c r="G5" s="449" t="s">
        <v>415</v>
      </c>
      <c r="H5" s="449" t="s">
        <v>415</v>
      </c>
      <c r="I5" s="450" t="s">
        <v>415</v>
      </c>
      <c r="J5" s="451" t="s">
        <v>69</v>
      </c>
    </row>
    <row r="6" spans="1:10" ht="14.4" customHeight="1" x14ac:dyDescent="0.3">
      <c r="A6" s="447" t="s">
        <v>413</v>
      </c>
      <c r="B6" s="448" t="s">
        <v>1233</v>
      </c>
      <c r="C6" s="449" t="s">
        <v>415</v>
      </c>
      <c r="D6" s="449">
        <v>0</v>
      </c>
      <c r="E6" s="449"/>
      <c r="F6" s="449" t="s">
        <v>415</v>
      </c>
      <c r="G6" s="449" t="s">
        <v>415</v>
      </c>
      <c r="H6" s="449" t="s">
        <v>415</v>
      </c>
      <c r="I6" s="450" t="s">
        <v>415</v>
      </c>
      <c r="J6" s="451" t="s">
        <v>1</v>
      </c>
    </row>
    <row r="7" spans="1:10" ht="14.4" customHeight="1" x14ac:dyDescent="0.3">
      <c r="A7" s="447" t="s">
        <v>413</v>
      </c>
      <c r="B7" s="448" t="s">
        <v>263</v>
      </c>
      <c r="C7" s="449">
        <v>0</v>
      </c>
      <c r="D7" s="449">
        <v>0</v>
      </c>
      <c r="E7" s="449"/>
      <c r="F7" s="449">
        <v>0</v>
      </c>
      <c r="G7" s="449">
        <v>0.83333356304633333</v>
      </c>
      <c r="H7" s="449">
        <v>-0.83333356304633333</v>
      </c>
      <c r="I7" s="450">
        <v>0</v>
      </c>
      <c r="J7" s="451" t="s">
        <v>1</v>
      </c>
    </row>
    <row r="8" spans="1:10" ht="14.4" customHeight="1" x14ac:dyDescent="0.3">
      <c r="A8" s="447" t="s">
        <v>413</v>
      </c>
      <c r="B8" s="448" t="s">
        <v>264</v>
      </c>
      <c r="C8" s="449">
        <v>0</v>
      </c>
      <c r="D8" s="449">
        <v>0</v>
      </c>
      <c r="E8" s="449"/>
      <c r="F8" s="449">
        <v>0.14369999999999999</v>
      </c>
      <c r="G8" s="449">
        <v>0</v>
      </c>
      <c r="H8" s="449">
        <v>0.14369999999999999</v>
      </c>
      <c r="I8" s="450" t="s">
        <v>415</v>
      </c>
      <c r="J8" s="451" t="s">
        <v>1</v>
      </c>
    </row>
    <row r="9" spans="1:10" ht="14.4" customHeight="1" x14ac:dyDescent="0.3">
      <c r="A9" s="447" t="s">
        <v>413</v>
      </c>
      <c r="B9" s="448" t="s">
        <v>265</v>
      </c>
      <c r="C9" s="449">
        <v>1.05145</v>
      </c>
      <c r="D9" s="449">
        <v>0.49199999999999999</v>
      </c>
      <c r="E9" s="449"/>
      <c r="F9" s="449">
        <v>2.8984999999999999</v>
      </c>
      <c r="G9" s="449">
        <v>10.666667999002334</v>
      </c>
      <c r="H9" s="449">
        <v>-7.7681679990023333</v>
      </c>
      <c r="I9" s="450">
        <v>0.27173434105862299</v>
      </c>
      <c r="J9" s="451" t="s">
        <v>1</v>
      </c>
    </row>
    <row r="10" spans="1:10" ht="14.4" customHeight="1" x14ac:dyDescent="0.3">
      <c r="A10" s="447" t="s">
        <v>413</v>
      </c>
      <c r="B10" s="448" t="s">
        <v>266</v>
      </c>
      <c r="C10" s="449">
        <v>0</v>
      </c>
      <c r="D10" s="449">
        <v>0</v>
      </c>
      <c r="E10" s="449"/>
      <c r="F10" s="449">
        <v>0</v>
      </c>
      <c r="G10" s="449">
        <v>1.8166671673333333E-3</v>
      </c>
      <c r="H10" s="449">
        <v>-1.8166671673333333E-3</v>
      </c>
      <c r="I10" s="450">
        <v>0</v>
      </c>
      <c r="J10" s="451" t="s">
        <v>1</v>
      </c>
    </row>
    <row r="11" spans="1:10" ht="14.4" customHeight="1" x14ac:dyDescent="0.3">
      <c r="A11" s="447" t="s">
        <v>413</v>
      </c>
      <c r="B11" s="448" t="s">
        <v>267</v>
      </c>
      <c r="C11" s="449">
        <v>0</v>
      </c>
      <c r="D11" s="449">
        <v>0</v>
      </c>
      <c r="E11" s="449"/>
      <c r="F11" s="449">
        <v>0</v>
      </c>
      <c r="G11" s="449">
        <v>0.16666671260916666</v>
      </c>
      <c r="H11" s="449">
        <v>-0.16666671260916666</v>
      </c>
      <c r="I11" s="450">
        <v>0</v>
      </c>
      <c r="J11" s="451" t="s">
        <v>1</v>
      </c>
    </row>
    <row r="12" spans="1:10" ht="14.4" customHeight="1" x14ac:dyDescent="0.3">
      <c r="A12" s="447" t="s">
        <v>413</v>
      </c>
      <c r="B12" s="448" t="s">
        <v>268</v>
      </c>
      <c r="C12" s="449" t="s">
        <v>415</v>
      </c>
      <c r="D12" s="449">
        <v>2.784E-2</v>
      </c>
      <c r="E12" s="449"/>
      <c r="F12" s="449">
        <v>0</v>
      </c>
      <c r="G12" s="449">
        <v>1.6310004495833332E-2</v>
      </c>
      <c r="H12" s="449">
        <v>-1.6310004495833332E-2</v>
      </c>
      <c r="I12" s="450">
        <v>0</v>
      </c>
      <c r="J12" s="451" t="s">
        <v>1</v>
      </c>
    </row>
    <row r="13" spans="1:10" ht="14.4" customHeight="1" x14ac:dyDescent="0.3">
      <c r="A13" s="447" t="s">
        <v>413</v>
      </c>
      <c r="B13" s="448" t="s">
        <v>1234</v>
      </c>
      <c r="C13" s="449" t="s">
        <v>415</v>
      </c>
      <c r="D13" s="449">
        <v>0</v>
      </c>
      <c r="E13" s="449"/>
      <c r="F13" s="449" t="s">
        <v>415</v>
      </c>
      <c r="G13" s="449" t="s">
        <v>415</v>
      </c>
      <c r="H13" s="449" t="s">
        <v>415</v>
      </c>
      <c r="I13" s="450" t="s">
        <v>415</v>
      </c>
      <c r="J13" s="451" t="s">
        <v>1</v>
      </c>
    </row>
    <row r="14" spans="1:10" ht="14.4" customHeight="1" x14ac:dyDescent="0.3">
      <c r="A14" s="447" t="s">
        <v>413</v>
      </c>
      <c r="B14" s="448" t="s">
        <v>416</v>
      </c>
      <c r="C14" s="449">
        <v>1.05145</v>
      </c>
      <c r="D14" s="449">
        <v>0.51983999999999997</v>
      </c>
      <c r="E14" s="449"/>
      <c r="F14" s="449">
        <v>3.0421999999999998</v>
      </c>
      <c r="G14" s="449">
        <v>11.684794946321</v>
      </c>
      <c r="H14" s="449">
        <v>-8.642594946321001</v>
      </c>
      <c r="I14" s="450">
        <v>0.26035544602841726</v>
      </c>
      <c r="J14" s="451" t="s">
        <v>417</v>
      </c>
    </row>
    <row r="16" spans="1:10" ht="14.4" customHeight="1" x14ac:dyDescent="0.3">
      <c r="A16" s="447" t="s">
        <v>413</v>
      </c>
      <c r="B16" s="448" t="s">
        <v>414</v>
      </c>
      <c r="C16" s="449" t="s">
        <v>415</v>
      </c>
      <c r="D16" s="449" t="s">
        <v>415</v>
      </c>
      <c r="E16" s="449"/>
      <c r="F16" s="449" t="s">
        <v>415</v>
      </c>
      <c r="G16" s="449" t="s">
        <v>415</v>
      </c>
      <c r="H16" s="449" t="s">
        <v>415</v>
      </c>
      <c r="I16" s="450" t="s">
        <v>415</v>
      </c>
      <c r="J16" s="451" t="s">
        <v>69</v>
      </c>
    </row>
    <row r="17" spans="1:10" ht="14.4" customHeight="1" x14ac:dyDescent="0.3">
      <c r="A17" s="447" t="s">
        <v>418</v>
      </c>
      <c r="B17" s="448" t="s">
        <v>419</v>
      </c>
      <c r="C17" s="449" t="s">
        <v>415</v>
      </c>
      <c r="D17" s="449" t="s">
        <v>415</v>
      </c>
      <c r="E17" s="449"/>
      <c r="F17" s="449" t="s">
        <v>415</v>
      </c>
      <c r="G17" s="449" t="s">
        <v>415</v>
      </c>
      <c r="H17" s="449" t="s">
        <v>415</v>
      </c>
      <c r="I17" s="450" t="s">
        <v>415</v>
      </c>
      <c r="J17" s="451" t="s">
        <v>0</v>
      </c>
    </row>
    <row r="18" spans="1:10" ht="14.4" customHeight="1" x14ac:dyDescent="0.3">
      <c r="A18" s="447" t="s">
        <v>418</v>
      </c>
      <c r="B18" s="448" t="s">
        <v>1233</v>
      </c>
      <c r="C18" s="449" t="s">
        <v>415</v>
      </c>
      <c r="D18" s="449">
        <v>0</v>
      </c>
      <c r="E18" s="449"/>
      <c r="F18" s="449" t="s">
        <v>415</v>
      </c>
      <c r="G18" s="449" t="s">
        <v>415</v>
      </c>
      <c r="H18" s="449" t="s">
        <v>415</v>
      </c>
      <c r="I18" s="450" t="s">
        <v>415</v>
      </c>
      <c r="J18" s="451" t="s">
        <v>1</v>
      </c>
    </row>
    <row r="19" spans="1:10" ht="14.4" customHeight="1" x14ac:dyDescent="0.3">
      <c r="A19" s="447" t="s">
        <v>418</v>
      </c>
      <c r="B19" s="448" t="s">
        <v>263</v>
      </c>
      <c r="C19" s="449">
        <v>0</v>
      </c>
      <c r="D19" s="449">
        <v>0</v>
      </c>
      <c r="E19" s="449"/>
      <c r="F19" s="449">
        <v>0</v>
      </c>
      <c r="G19" s="449">
        <v>0.83333356304633333</v>
      </c>
      <c r="H19" s="449">
        <v>-0.83333356304633333</v>
      </c>
      <c r="I19" s="450">
        <v>0</v>
      </c>
      <c r="J19" s="451" t="s">
        <v>1</v>
      </c>
    </row>
    <row r="20" spans="1:10" ht="14.4" customHeight="1" x14ac:dyDescent="0.3">
      <c r="A20" s="447" t="s">
        <v>418</v>
      </c>
      <c r="B20" s="448" t="s">
        <v>264</v>
      </c>
      <c r="C20" s="449">
        <v>0</v>
      </c>
      <c r="D20" s="449">
        <v>0</v>
      </c>
      <c r="E20" s="449"/>
      <c r="F20" s="449">
        <v>0.14369999999999999</v>
      </c>
      <c r="G20" s="449">
        <v>0</v>
      </c>
      <c r="H20" s="449">
        <v>0.14369999999999999</v>
      </c>
      <c r="I20" s="450" t="s">
        <v>415</v>
      </c>
      <c r="J20" s="451" t="s">
        <v>1</v>
      </c>
    </row>
    <row r="21" spans="1:10" ht="14.4" customHeight="1" x14ac:dyDescent="0.3">
      <c r="A21" s="447" t="s">
        <v>418</v>
      </c>
      <c r="B21" s="448" t="s">
        <v>265</v>
      </c>
      <c r="C21" s="449">
        <v>1.05145</v>
      </c>
      <c r="D21" s="449">
        <v>0.49199999999999999</v>
      </c>
      <c r="E21" s="449"/>
      <c r="F21" s="449">
        <v>2.8984999999999999</v>
      </c>
      <c r="G21" s="449">
        <v>10.666667999002334</v>
      </c>
      <c r="H21" s="449">
        <v>-7.7681679990023333</v>
      </c>
      <c r="I21" s="450">
        <v>0.27173434105862299</v>
      </c>
      <c r="J21" s="451" t="s">
        <v>1</v>
      </c>
    </row>
    <row r="22" spans="1:10" ht="14.4" customHeight="1" x14ac:dyDescent="0.3">
      <c r="A22" s="447" t="s">
        <v>418</v>
      </c>
      <c r="B22" s="448" t="s">
        <v>266</v>
      </c>
      <c r="C22" s="449">
        <v>0</v>
      </c>
      <c r="D22" s="449">
        <v>0</v>
      </c>
      <c r="E22" s="449"/>
      <c r="F22" s="449">
        <v>0</v>
      </c>
      <c r="G22" s="449">
        <v>1.8166671673333333E-3</v>
      </c>
      <c r="H22" s="449">
        <v>-1.8166671673333333E-3</v>
      </c>
      <c r="I22" s="450">
        <v>0</v>
      </c>
      <c r="J22" s="451" t="s">
        <v>1</v>
      </c>
    </row>
    <row r="23" spans="1:10" ht="14.4" customHeight="1" x14ac:dyDescent="0.3">
      <c r="A23" s="447" t="s">
        <v>418</v>
      </c>
      <c r="B23" s="448" t="s">
        <v>267</v>
      </c>
      <c r="C23" s="449">
        <v>0</v>
      </c>
      <c r="D23" s="449">
        <v>0</v>
      </c>
      <c r="E23" s="449"/>
      <c r="F23" s="449">
        <v>0</v>
      </c>
      <c r="G23" s="449">
        <v>0.16666671260916666</v>
      </c>
      <c r="H23" s="449">
        <v>-0.16666671260916666</v>
      </c>
      <c r="I23" s="450">
        <v>0</v>
      </c>
      <c r="J23" s="451" t="s">
        <v>1</v>
      </c>
    </row>
    <row r="24" spans="1:10" ht="14.4" customHeight="1" x14ac:dyDescent="0.3">
      <c r="A24" s="447" t="s">
        <v>418</v>
      </c>
      <c r="B24" s="448" t="s">
        <v>268</v>
      </c>
      <c r="C24" s="449" t="s">
        <v>415</v>
      </c>
      <c r="D24" s="449">
        <v>2.784E-2</v>
      </c>
      <c r="E24" s="449"/>
      <c r="F24" s="449">
        <v>0</v>
      </c>
      <c r="G24" s="449">
        <v>1.6310004495833332E-2</v>
      </c>
      <c r="H24" s="449">
        <v>-1.6310004495833332E-2</v>
      </c>
      <c r="I24" s="450">
        <v>0</v>
      </c>
      <c r="J24" s="451" t="s">
        <v>1</v>
      </c>
    </row>
    <row r="25" spans="1:10" ht="14.4" customHeight="1" x14ac:dyDescent="0.3">
      <c r="A25" s="447" t="s">
        <v>418</v>
      </c>
      <c r="B25" s="448" t="s">
        <v>1234</v>
      </c>
      <c r="C25" s="449" t="s">
        <v>415</v>
      </c>
      <c r="D25" s="449">
        <v>0</v>
      </c>
      <c r="E25" s="449"/>
      <c r="F25" s="449" t="s">
        <v>415</v>
      </c>
      <c r="G25" s="449" t="s">
        <v>415</v>
      </c>
      <c r="H25" s="449" t="s">
        <v>415</v>
      </c>
      <c r="I25" s="450" t="s">
        <v>415</v>
      </c>
      <c r="J25" s="451" t="s">
        <v>1</v>
      </c>
    </row>
    <row r="26" spans="1:10" ht="14.4" customHeight="1" x14ac:dyDescent="0.3">
      <c r="A26" s="447" t="s">
        <v>418</v>
      </c>
      <c r="B26" s="448" t="s">
        <v>420</v>
      </c>
      <c r="C26" s="449">
        <v>1.05145</v>
      </c>
      <c r="D26" s="449">
        <v>0.51983999999999997</v>
      </c>
      <c r="E26" s="449"/>
      <c r="F26" s="449">
        <v>3.0421999999999998</v>
      </c>
      <c r="G26" s="449">
        <v>11.684794946321</v>
      </c>
      <c r="H26" s="449">
        <v>-8.642594946321001</v>
      </c>
      <c r="I26" s="450">
        <v>0.26035544602841726</v>
      </c>
      <c r="J26" s="451" t="s">
        <v>421</v>
      </c>
    </row>
    <row r="27" spans="1:10" ht="14.4" customHeight="1" x14ac:dyDescent="0.3">
      <c r="A27" s="447" t="s">
        <v>415</v>
      </c>
      <c r="B27" s="448" t="s">
        <v>415</v>
      </c>
      <c r="C27" s="449" t="s">
        <v>415</v>
      </c>
      <c r="D27" s="449" t="s">
        <v>415</v>
      </c>
      <c r="E27" s="449"/>
      <c r="F27" s="449" t="s">
        <v>415</v>
      </c>
      <c r="G27" s="449" t="s">
        <v>415</v>
      </c>
      <c r="H27" s="449" t="s">
        <v>415</v>
      </c>
      <c r="I27" s="450" t="s">
        <v>415</v>
      </c>
      <c r="J27" s="451" t="s">
        <v>422</v>
      </c>
    </row>
    <row r="28" spans="1:10" ht="14.4" customHeight="1" x14ac:dyDescent="0.3">
      <c r="A28" s="447" t="s">
        <v>1235</v>
      </c>
      <c r="B28" s="448" t="s">
        <v>1236</v>
      </c>
      <c r="C28" s="449" t="s">
        <v>415</v>
      </c>
      <c r="D28" s="449" t="s">
        <v>415</v>
      </c>
      <c r="E28" s="449"/>
      <c r="F28" s="449" t="s">
        <v>415</v>
      </c>
      <c r="G28" s="449" t="s">
        <v>415</v>
      </c>
      <c r="H28" s="449" t="s">
        <v>415</v>
      </c>
      <c r="I28" s="450" t="s">
        <v>415</v>
      </c>
      <c r="J28" s="451" t="s">
        <v>0</v>
      </c>
    </row>
    <row r="29" spans="1:10" ht="14.4" customHeight="1" x14ac:dyDescent="0.3">
      <c r="A29" s="447" t="s">
        <v>1235</v>
      </c>
      <c r="B29" s="448" t="s">
        <v>265</v>
      </c>
      <c r="C29" s="449">
        <v>0</v>
      </c>
      <c r="D29" s="449" t="s">
        <v>415</v>
      </c>
      <c r="E29" s="449"/>
      <c r="F29" s="449" t="s">
        <v>415</v>
      </c>
      <c r="G29" s="449" t="s">
        <v>415</v>
      </c>
      <c r="H29" s="449" t="s">
        <v>415</v>
      </c>
      <c r="I29" s="450" t="s">
        <v>415</v>
      </c>
      <c r="J29" s="451" t="s">
        <v>1</v>
      </c>
    </row>
    <row r="30" spans="1:10" ht="14.4" customHeight="1" x14ac:dyDescent="0.3">
      <c r="A30" s="447" t="s">
        <v>1235</v>
      </c>
      <c r="B30" s="448" t="s">
        <v>1237</v>
      </c>
      <c r="C30" s="449">
        <v>0</v>
      </c>
      <c r="D30" s="449" t="s">
        <v>415</v>
      </c>
      <c r="E30" s="449"/>
      <c r="F30" s="449" t="s">
        <v>415</v>
      </c>
      <c r="G30" s="449" t="s">
        <v>415</v>
      </c>
      <c r="H30" s="449" t="s">
        <v>415</v>
      </c>
      <c r="I30" s="450" t="s">
        <v>415</v>
      </c>
      <c r="J30" s="451" t="s">
        <v>421</v>
      </c>
    </row>
    <row r="31" spans="1:10" ht="14.4" customHeight="1" x14ac:dyDescent="0.3">
      <c r="A31" s="447" t="s">
        <v>415</v>
      </c>
      <c r="B31" s="448" t="s">
        <v>415</v>
      </c>
      <c r="C31" s="449" t="s">
        <v>415</v>
      </c>
      <c r="D31" s="449" t="s">
        <v>415</v>
      </c>
      <c r="E31" s="449"/>
      <c r="F31" s="449" t="s">
        <v>415</v>
      </c>
      <c r="G31" s="449" t="s">
        <v>415</v>
      </c>
      <c r="H31" s="449" t="s">
        <v>415</v>
      </c>
      <c r="I31" s="450" t="s">
        <v>415</v>
      </c>
      <c r="J31" s="451" t="s">
        <v>422</v>
      </c>
    </row>
    <row r="32" spans="1:10" ht="14.4" customHeight="1" x14ac:dyDescent="0.3">
      <c r="A32" s="447" t="s">
        <v>413</v>
      </c>
      <c r="B32" s="448" t="s">
        <v>416</v>
      </c>
      <c r="C32" s="449">
        <v>1.05145</v>
      </c>
      <c r="D32" s="449">
        <v>0.51983999999999997</v>
      </c>
      <c r="E32" s="449"/>
      <c r="F32" s="449">
        <v>3.0421999999999998</v>
      </c>
      <c r="G32" s="449">
        <v>11.684794946321</v>
      </c>
      <c r="H32" s="449">
        <v>-8.642594946321001</v>
      </c>
      <c r="I32" s="450">
        <v>0.26035544602841726</v>
      </c>
      <c r="J32" s="451" t="s">
        <v>417</v>
      </c>
    </row>
  </sheetData>
  <mergeCells count="3">
    <mergeCell ref="A1:I1"/>
    <mergeCell ref="F3:I3"/>
    <mergeCell ref="C4:D4"/>
  </mergeCells>
  <conditionalFormatting sqref="F15 F33:F65537">
    <cfRule type="cellIs" dxfId="24" priority="18" stopIfTrue="1" operator="greaterThan">
      <formula>1</formula>
    </cfRule>
  </conditionalFormatting>
  <conditionalFormatting sqref="H5:H14">
    <cfRule type="expression" dxfId="23" priority="14">
      <formula>$H5&gt;0</formula>
    </cfRule>
  </conditionalFormatting>
  <conditionalFormatting sqref="I5:I14">
    <cfRule type="expression" dxfId="22" priority="15">
      <formula>$I5&gt;1</formula>
    </cfRule>
  </conditionalFormatting>
  <conditionalFormatting sqref="B5:B14">
    <cfRule type="expression" dxfId="21" priority="11">
      <formula>OR($J5="NS",$J5="SumaNS",$J5="Účet")</formula>
    </cfRule>
  </conditionalFormatting>
  <conditionalFormatting sqref="F5:I14 B5:D14">
    <cfRule type="expression" dxfId="20" priority="17">
      <formula>AND($J5&lt;&gt;"",$J5&lt;&gt;"mezeraKL")</formula>
    </cfRule>
  </conditionalFormatting>
  <conditionalFormatting sqref="B5:D14 F5:I14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8" priority="13">
      <formula>OR($J5="SumaNS",$J5="NS")</formula>
    </cfRule>
  </conditionalFormatting>
  <conditionalFormatting sqref="A5:A14">
    <cfRule type="expression" dxfId="17" priority="9">
      <formula>AND($J5&lt;&gt;"mezeraKL",$J5&lt;&gt;"")</formula>
    </cfRule>
  </conditionalFormatting>
  <conditionalFormatting sqref="A5:A14">
    <cfRule type="expression" dxfId="16" priority="10">
      <formula>AND($J5&lt;&gt;"",$J5&lt;&gt;"mezeraKL")</formula>
    </cfRule>
  </conditionalFormatting>
  <conditionalFormatting sqref="H16:H32">
    <cfRule type="expression" dxfId="15" priority="5">
      <formula>$H16&gt;0</formula>
    </cfRule>
  </conditionalFormatting>
  <conditionalFormatting sqref="A16:A32">
    <cfRule type="expression" dxfId="14" priority="2">
      <formula>AND($J16&lt;&gt;"mezeraKL",$J16&lt;&gt;"")</formula>
    </cfRule>
  </conditionalFormatting>
  <conditionalFormatting sqref="I16:I32">
    <cfRule type="expression" dxfId="13" priority="6">
      <formula>$I16&gt;1</formula>
    </cfRule>
  </conditionalFormatting>
  <conditionalFormatting sqref="B16:B32">
    <cfRule type="expression" dxfId="12" priority="1">
      <formula>OR($J16="NS",$J16="SumaNS",$J16="Účet")</formula>
    </cfRule>
  </conditionalFormatting>
  <conditionalFormatting sqref="A16:D32 F16:I32">
    <cfRule type="expression" dxfId="11" priority="8">
      <formula>AND($J16&lt;&gt;"",$J16&lt;&gt;"mezeraKL")</formula>
    </cfRule>
  </conditionalFormatting>
  <conditionalFormatting sqref="B16:D32 F16:I32">
    <cfRule type="expression" dxfId="10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32 F16:I32">
    <cfRule type="expression" dxfId="9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1" t="s">
        <v>1250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4" t="s">
        <v>250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2.0417449664429528</v>
      </c>
      <c r="J3" s="98">
        <f>SUBTOTAL(9,J5:J1048576)</f>
        <v>1490</v>
      </c>
      <c r="K3" s="99">
        <f>SUBTOTAL(9,K5:K1048576)</f>
        <v>3042.2</v>
      </c>
    </row>
    <row r="4" spans="1:11" s="208" customFormat="1" ht="14.4" customHeight="1" thickBot="1" x14ac:dyDescent="0.35">
      <c r="A4" s="563" t="s">
        <v>4</v>
      </c>
      <c r="B4" s="564" t="s">
        <v>5</v>
      </c>
      <c r="C4" s="564" t="s">
        <v>0</v>
      </c>
      <c r="D4" s="564" t="s">
        <v>6</v>
      </c>
      <c r="E4" s="564" t="s">
        <v>7</v>
      </c>
      <c r="F4" s="564" t="s">
        <v>1</v>
      </c>
      <c r="G4" s="564" t="s">
        <v>71</v>
      </c>
      <c r="H4" s="454" t="s">
        <v>11</v>
      </c>
      <c r="I4" s="455" t="s">
        <v>142</v>
      </c>
      <c r="J4" s="455" t="s">
        <v>13</v>
      </c>
      <c r="K4" s="456" t="s">
        <v>156</v>
      </c>
    </row>
    <row r="5" spans="1:11" ht="14.4" customHeight="1" x14ac:dyDescent="0.3">
      <c r="A5" s="517" t="s">
        <v>413</v>
      </c>
      <c r="B5" s="518" t="s">
        <v>451</v>
      </c>
      <c r="C5" s="521" t="s">
        <v>418</v>
      </c>
      <c r="D5" s="565" t="s">
        <v>452</v>
      </c>
      <c r="E5" s="521" t="s">
        <v>1246</v>
      </c>
      <c r="F5" s="565" t="s">
        <v>1247</v>
      </c>
      <c r="G5" s="521" t="s">
        <v>1238</v>
      </c>
      <c r="H5" s="521" t="s">
        <v>1239</v>
      </c>
      <c r="I5" s="116">
        <v>28.74</v>
      </c>
      <c r="J5" s="116">
        <v>5</v>
      </c>
      <c r="K5" s="544">
        <v>143.69999999999999</v>
      </c>
    </row>
    <row r="6" spans="1:11" ht="14.4" customHeight="1" x14ac:dyDescent="0.3">
      <c r="A6" s="524" t="s">
        <v>413</v>
      </c>
      <c r="B6" s="525" t="s">
        <v>451</v>
      </c>
      <c r="C6" s="528" t="s">
        <v>418</v>
      </c>
      <c r="D6" s="566" t="s">
        <v>452</v>
      </c>
      <c r="E6" s="528" t="s">
        <v>1248</v>
      </c>
      <c r="F6" s="566" t="s">
        <v>1249</v>
      </c>
      <c r="G6" s="528" t="s">
        <v>1240</v>
      </c>
      <c r="H6" s="528" t="s">
        <v>1241</v>
      </c>
      <c r="I6" s="545">
        <v>2.04</v>
      </c>
      <c r="J6" s="545">
        <v>15</v>
      </c>
      <c r="K6" s="546">
        <v>30.6</v>
      </c>
    </row>
    <row r="7" spans="1:11" ht="14.4" customHeight="1" x14ac:dyDescent="0.3">
      <c r="A7" s="524" t="s">
        <v>413</v>
      </c>
      <c r="B7" s="525" t="s">
        <v>451</v>
      </c>
      <c r="C7" s="528" t="s">
        <v>418</v>
      </c>
      <c r="D7" s="566" t="s">
        <v>452</v>
      </c>
      <c r="E7" s="528" t="s">
        <v>1248</v>
      </c>
      <c r="F7" s="566" t="s">
        <v>1249</v>
      </c>
      <c r="G7" s="528" t="s">
        <v>1242</v>
      </c>
      <c r="H7" s="528" t="s">
        <v>1243</v>
      </c>
      <c r="I7" s="545">
        <v>2.17</v>
      </c>
      <c r="J7" s="545">
        <v>70</v>
      </c>
      <c r="K7" s="546">
        <v>151.9</v>
      </c>
    </row>
    <row r="8" spans="1:11" ht="14.4" customHeight="1" thickBot="1" x14ac:dyDescent="0.35">
      <c r="A8" s="532" t="s">
        <v>413</v>
      </c>
      <c r="B8" s="533" t="s">
        <v>451</v>
      </c>
      <c r="C8" s="536" t="s">
        <v>418</v>
      </c>
      <c r="D8" s="567" t="s">
        <v>452</v>
      </c>
      <c r="E8" s="536" t="s">
        <v>1248</v>
      </c>
      <c r="F8" s="567" t="s">
        <v>1249</v>
      </c>
      <c r="G8" s="536" t="s">
        <v>1244</v>
      </c>
      <c r="H8" s="536" t="s">
        <v>1245</v>
      </c>
      <c r="I8" s="547">
        <v>1.9400000000000002</v>
      </c>
      <c r="J8" s="547">
        <v>1400</v>
      </c>
      <c r="K8" s="548">
        <v>2716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L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K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1" width="13.109375" customWidth="1"/>
  </cols>
  <sheetData>
    <row r="1" spans="1:12" ht="18.600000000000001" thickBot="1" x14ac:dyDescent="0.4">
      <c r="A1" s="396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2" ht="15" thickBot="1" x14ac:dyDescent="0.35">
      <c r="A2" s="234" t="s">
        <v>250</v>
      </c>
      <c r="B2" s="235"/>
      <c r="C2" s="235"/>
      <c r="D2" s="235"/>
      <c r="E2" s="235"/>
      <c r="F2" s="235"/>
      <c r="G2" s="235"/>
      <c r="H2" s="235"/>
      <c r="I2" s="235"/>
      <c r="J2" s="235"/>
    </row>
    <row r="3" spans="1:12" x14ac:dyDescent="0.3">
      <c r="A3" s="253" t="s">
        <v>194</v>
      </c>
      <c r="B3" s="394" t="s">
        <v>176</v>
      </c>
      <c r="C3" s="236">
        <v>0</v>
      </c>
      <c r="D3" s="237">
        <v>99</v>
      </c>
      <c r="E3" s="256">
        <v>101</v>
      </c>
      <c r="F3" s="256">
        <v>302</v>
      </c>
      <c r="G3" s="256">
        <v>303</v>
      </c>
      <c r="H3" s="256">
        <v>304</v>
      </c>
      <c r="I3" s="256">
        <v>305</v>
      </c>
      <c r="J3" s="256">
        <v>524</v>
      </c>
      <c r="K3" s="582">
        <v>930</v>
      </c>
      <c r="L3" s="597"/>
    </row>
    <row r="4" spans="1:12" ht="24.6" outlineLevel="1" thickBot="1" x14ac:dyDescent="0.35">
      <c r="A4" s="254">
        <v>2016</v>
      </c>
      <c r="B4" s="395"/>
      <c r="C4" s="238" t="s">
        <v>177</v>
      </c>
      <c r="D4" s="239" t="s">
        <v>178</v>
      </c>
      <c r="E4" s="257" t="s">
        <v>221</v>
      </c>
      <c r="F4" s="257" t="s">
        <v>222</v>
      </c>
      <c r="G4" s="257" t="s">
        <v>223</v>
      </c>
      <c r="H4" s="257" t="s">
        <v>224</v>
      </c>
      <c r="I4" s="257" t="s">
        <v>225</v>
      </c>
      <c r="J4" s="257" t="s">
        <v>203</v>
      </c>
      <c r="K4" s="583" t="s">
        <v>196</v>
      </c>
      <c r="L4" s="597"/>
    </row>
    <row r="5" spans="1:12" x14ac:dyDescent="0.3">
      <c r="A5" s="240" t="s">
        <v>179</v>
      </c>
      <c r="B5" s="276"/>
      <c r="C5" s="277"/>
      <c r="D5" s="278"/>
      <c r="E5" s="278"/>
      <c r="F5" s="278"/>
      <c r="G5" s="278"/>
      <c r="H5" s="278"/>
      <c r="I5" s="278"/>
      <c r="J5" s="278"/>
      <c r="K5" s="584"/>
      <c r="L5" s="597"/>
    </row>
    <row r="6" spans="1:12" ht="15" collapsed="1" thickBot="1" x14ac:dyDescent="0.35">
      <c r="A6" s="241" t="s">
        <v>73</v>
      </c>
      <c r="B6" s="279">
        <f xml:space="preserve">
TRUNC(IF($A$4&lt;=12,SUMIFS('ON Data'!F:F,'ON Data'!$D:$D,$A$4,'ON Data'!$E:$E,1),SUMIFS('ON Data'!F:F,'ON Data'!$E:$E,1)/'ON Data'!$D$3),1)</f>
        <v>8.5</v>
      </c>
      <c r="C6" s="280">
        <f xml:space="preserve">
TRUNC(IF($A$4&lt;=12,SUMIFS('ON Data'!G:G,'ON Data'!$D:$D,$A$4,'ON Data'!$E:$E,1),SUMIFS('ON Data'!G:G,'ON Data'!$E:$E,1)/'ON Data'!$D$3),1)</f>
        <v>0</v>
      </c>
      <c r="D6" s="281">
        <f xml:space="preserve">
TRUNC(IF($A$4&lt;=12,SUMIFS('ON Data'!I:I,'ON Data'!$D:$D,$A$4,'ON Data'!$E:$E,1),SUMIFS('ON Data'!I:I,'ON Data'!$E:$E,1)/'ON Data'!$D$3),1)</f>
        <v>0.1</v>
      </c>
      <c r="E6" s="281">
        <f xml:space="preserve">
TRUNC(IF($A$4&lt;=12,SUMIFS('ON Data'!K:K,'ON Data'!$D:$D,$A$4,'ON Data'!$E:$E,1),SUMIFS('ON Data'!K:K,'ON Data'!$E:$E,1)/'ON Data'!$D$3),1)</f>
        <v>2.2000000000000002</v>
      </c>
      <c r="F6" s="281">
        <f xml:space="preserve">
TRUNC(IF($A$4&lt;=12,SUMIFS('ON Data'!O:O,'ON Data'!$D:$D,$A$4,'ON Data'!$E:$E,1),SUMIFS('ON Data'!O:O,'ON Data'!$E:$E,1)/'ON Data'!$D$3),1)</f>
        <v>0</v>
      </c>
      <c r="G6" s="281">
        <f xml:space="preserve">
TRUNC(IF($A$4&lt;=12,SUMIFS('ON Data'!P:P,'ON Data'!$D:$D,$A$4,'ON Data'!$E:$E,1),SUMIFS('ON Data'!P:P,'ON Data'!$E:$E,1)/'ON Data'!$D$3),1)</f>
        <v>1.5</v>
      </c>
      <c r="H6" s="281">
        <f xml:space="preserve">
TRUNC(IF($A$4&lt;=12,SUMIFS('ON Data'!Q:Q,'ON Data'!$D:$D,$A$4,'ON Data'!$E:$E,1),SUMIFS('ON Data'!Q:Q,'ON Data'!$E:$E,1)/'ON Data'!$D$3),1)</f>
        <v>1</v>
      </c>
      <c r="I6" s="281">
        <f xml:space="preserve">
TRUNC(IF($A$4&lt;=12,SUMIFS('ON Data'!R:R,'ON Data'!$D:$D,$A$4,'ON Data'!$E:$E,1),SUMIFS('ON Data'!R:R,'ON Data'!$E:$E,1)/'ON Data'!$D$3),1)</f>
        <v>1</v>
      </c>
      <c r="J6" s="281">
        <f xml:space="preserve">
TRUNC(IF($A$4&lt;=12,SUMIFS('ON Data'!AH:AH,'ON Data'!$D:$D,$A$4,'ON Data'!$E:$E,1),SUMIFS('ON Data'!AH:AH,'ON Data'!$E:$E,1)/'ON Data'!$D$3),1)</f>
        <v>2</v>
      </c>
      <c r="K6" s="585">
        <f xml:space="preserve">
TRUNC(IF($A$4&lt;=12,SUMIFS('ON Data'!AW:AW,'ON Data'!$D:$D,$A$4,'ON Data'!$E:$E,1),SUMIFS('ON Data'!AW:AW,'ON Data'!$E:$E,1)/'ON Data'!$D$3),1)</f>
        <v>0.7</v>
      </c>
      <c r="L6" s="597"/>
    </row>
    <row r="7" spans="1:12" ht="15" hidden="1" outlineLevel="1" thickBot="1" x14ac:dyDescent="0.35">
      <c r="A7" s="241" t="s">
        <v>107</v>
      </c>
      <c r="B7" s="279"/>
      <c r="C7" s="282"/>
      <c r="D7" s="281"/>
      <c r="E7" s="281"/>
      <c r="F7" s="281"/>
      <c r="G7" s="281"/>
      <c r="H7" s="281"/>
      <c r="I7" s="281"/>
      <c r="J7" s="281"/>
      <c r="K7" s="585"/>
      <c r="L7" s="597"/>
    </row>
    <row r="8" spans="1:12" ht="15" hidden="1" outlineLevel="1" thickBot="1" x14ac:dyDescent="0.35">
      <c r="A8" s="241" t="s">
        <v>75</v>
      </c>
      <c r="B8" s="279"/>
      <c r="C8" s="282"/>
      <c r="D8" s="281"/>
      <c r="E8" s="281"/>
      <c r="F8" s="281"/>
      <c r="G8" s="281"/>
      <c r="H8" s="281"/>
      <c r="I8" s="281"/>
      <c r="J8" s="281"/>
      <c r="K8" s="585"/>
      <c r="L8" s="597"/>
    </row>
    <row r="9" spans="1:12" ht="15" hidden="1" outlineLevel="1" thickBot="1" x14ac:dyDescent="0.35">
      <c r="A9" s="242" t="s">
        <v>68</v>
      </c>
      <c r="B9" s="283"/>
      <c r="C9" s="284"/>
      <c r="D9" s="285"/>
      <c r="E9" s="285"/>
      <c r="F9" s="285"/>
      <c r="G9" s="285"/>
      <c r="H9" s="285"/>
      <c r="I9" s="285"/>
      <c r="J9" s="285"/>
      <c r="K9" s="586"/>
      <c r="L9" s="597"/>
    </row>
    <row r="10" spans="1:12" x14ac:dyDescent="0.3">
      <c r="A10" s="243" t="s">
        <v>180</v>
      </c>
      <c r="B10" s="258"/>
      <c r="C10" s="259"/>
      <c r="D10" s="260"/>
      <c r="E10" s="260"/>
      <c r="F10" s="260"/>
      <c r="G10" s="260"/>
      <c r="H10" s="260"/>
      <c r="I10" s="260"/>
      <c r="J10" s="260"/>
      <c r="K10" s="587"/>
      <c r="L10" s="597"/>
    </row>
    <row r="11" spans="1:12" x14ac:dyDescent="0.3">
      <c r="A11" s="244" t="s">
        <v>181</v>
      </c>
      <c r="B11" s="261">
        <f xml:space="preserve">
IF($A$4&lt;=12,SUMIFS('ON Data'!F:F,'ON Data'!$D:$D,$A$4,'ON Data'!$E:$E,2),SUMIFS('ON Data'!F:F,'ON Data'!$E:$E,2))</f>
        <v>2308.1</v>
      </c>
      <c r="C11" s="262">
        <f xml:space="preserve">
IF($A$4&lt;=12,SUMIFS('ON Data'!G:G,'ON Data'!$D:$D,$A$4,'ON Data'!$E:$E,2),SUMIFS('ON Data'!G:G,'ON Data'!$E:$E,2))</f>
        <v>0</v>
      </c>
      <c r="D11" s="263">
        <f xml:space="preserve">
IF($A$4&lt;=12,SUMIFS('ON Data'!I:I,'ON Data'!$D:$D,$A$4,'ON Data'!$E:$E,2),SUMIFS('ON Data'!I:I,'ON Data'!$E:$E,2))</f>
        <v>32.799999999999997</v>
      </c>
      <c r="E11" s="263">
        <f xml:space="preserve">
IF($A$4&lt;=12,SUMIFS('ON Data'!K:K,'ON Data'!$D:$D,$A$4,'ON Data'!$E:$E,2),SUMIFS('ON Data'!K:K,'ON Data'!$E:$E,2))</f>
        <v>629.79999999999995</v>
      </c>
      <c r="F11" s="263">
        <f xml:space="preserve">
IF($A$4&lt;=12,SUMIFS('ON Data'!O:O,'ON Data'!$D:$D,$A$4,'ON Data'!$E:$E,2),SUMIFS('ON Data'!O:O,'ON Data'!$E:$E,2))</f>
        <v>0</v>
      </c>
      <c r="G11" s="263">
        <f xml:space="preserve">
IF($A$4&lt;=12,SUMIFS('ON Data'!P:P,'ON Data'!$D:$D,$A$4,'ON Data'!$E:$E,2),SUMIFS('ON Data'!P:P,'ON Data'!$E:$E,2))</f>
        <v>479</v>
      </c>
      <c r="H11" s="263">
        <f xml:space="preserve">
IF($A$4&lt;=12,SUMIFS('ON Data'!Q:Q,'ON Data'!$D:$D,$A$4,'ON Data'!$E:$E,2),SUMIFS('ON Data'!Q:Q,'ON Data'!$E:$E,2))</f>
        <v>107</v>
      </c>
      <c r="I11" s="263">
        <f xml:space="preserve">
IF($A$4&lt;=12,SUMIFS('ON Data'!R:R,'ON Data'!$D:$D,$A$4,'ON Data'!$E:$E,2),SUMIFS('ON Data'!R:R,'ON Data'!$E:$E,2))</f>
        <v>336</v>
      </c>
      <c r="J11" s="263">
        <f xml:space="preserve">
IF($A$4&lt;=12,SUMIFS('ON Data'!AH:AH,'ON Data'!$D:$D,$A$4,'ON Data'!$E:$E,2),SUMIFS('ON Data'!AH:AH,'ON Data'!$E:$E,2))</f>
        <v>575.5</v>
      </c>
      <c r="K11" s="588">
        <f xml:space="preserve">
IF($A$4&lt;=12,SUMIFS('ON Data'!AW:AW,'ON Data'!$D:$D,$A$4,'ON Data'!$E:$E,2),SUMIFS('ON Data'!AW:AW,'ON Data'!$E:$E,2))</f>
        <v>148</v>
      </c>
      <c r="L11" s="597"/>
    </row>
    <row r="12" spans="1:12" x14ac:dyDescent="0.3">
      <c r="A12" s="244" t="s">
        <v>182</v>
      </c>
      <c r="B12" s="261">
        <f xml:space="preserve">
IF($A$4&lt;=12,SUMIFS('ON Data'!F:F,'ON Data'!$D:$D,$A$4,'ON Data'!$E:$E,3),SUMIFS('ON Data'!F:F,'ON Data'!$E:$E,3))</f>
        <v>0</v>
      </c>
      <c r="C12" s="262">
        <f xml:space="preserve">
IF($A$4&lt;=12,SUMIFS('ON Data'!G:G,'ON Data'!$D:$D,$A$4,'ON Data'!$E:$E,3),SUMIFS('ON Data'!G:G,'ON Data'!$E:$E,3))</f>
        <v>0</v>
      </c>
      <c r="D12" s="263">
        <f xml:space="preserve">
IF($A$4&lt;=12,SUMIFS('ON Data'!I:I,'ON Data'!$D:$D,$A$4,'ON Data'!$E:$E,3),SUMIFS('ON Data'!I:I,'ON Data'!$E:$E,3))</f>
        <v>0</v>
      </c>
      <c r="E12" s="263">
        <f xml:space="preserve">
IF($A$4&lt;=12,SUMIFS('ON Data'!K:K,'ON Data'!$D:$D,$A$4,'ON Data'!$E:$E,3),SUMIFS('ON Data'!K:K,'ON Data'!$E:$E,3))</f>
        <v>0</v>
      </c>
      <c r="F12" s="263">
        <f xml:space="preserve">
IF($A$4&lt;=12,SUMIFS('ON Data'!O:O,'ON Data'!$D:$D,$A$4,'ON Data'!$E:$E,3),SUMIFS('ON Data'!O:O,'ON Data'!$E:$E,3))</f>
        <v>0</v>
      </c>
      <c r="G12" s="263">
        <f xml:space="preserve">
IF($A$4&lt;=12,SUMIFS('ON Data'!P:P,'ON Data'!$D:$D,$A$4,'ON Data'!$E:$E,3),SUMIFS('ON Data'!P:P,'ON Data'!$E:$E,3))</f>
        <v>0</v>
      </c>
      <c r="H12" s="263">
        <f xml:space="preserve">
IF($A$4&lt;=12,SUMIFS('ON Data'!Q:Q,'ON Data'!$D:$D,$A$4,'ON Data'!$E:$E,3),SUMIFS('ON Data'!Q:Q,'ON Data'!$E:$E,3))</f>
        <v>0</v>
      </c>
      <c r="I12" s="263">
        <f xml:space="preserve">
IF($A$4&lt;=12,SUMIFS('ON Data'!R:R,'ON Data'!$D:$D,$A$4,'ON Data'!$E:$E,3),SUMIFS('ON Data'!R:R,'ON Data'!$E:$E,3))</f>
        <v>0</v>
      </c>
      <c r="J12" s="263">
        <f xml:space="preserve">
IF($A$4&lt;=12,SUMIFS('ON Data'!AH:AH,'ON Data'!$D:$D,$A$4,'ON Data'!$E:$E,3),SUMIFS('ON Data'!AH:AH,'ON Data'!$E:$E,3))</f>
        <v>0</v>
      </c>
      <c r="K12" s="588">
        <f xml:space="preserve">
IF($A$4&lt;=12,SUMIFS('ON Data'!AW:AW,'ON Data'!$D:$D,$A$4,'ON Data'!$E:$E,3),SUMIFS('ON Data'!AW:AW,'ON Data'!$E:$E,3))</f>
        <v>0</v>
      </c>
      <c r="L12" s="597"/>
    </row>
    <row r="13" spans="1:12" x14ac:dyDescent="0.3">
      <c r="A13" s="244" t="s">
        <v>189</v>
      </c>
      <c r="B13" s="261">
        <f xml:space="preserve">
IF($A$4&lt;=12,SUMIFS('ON Data'!F:F,'ON Data'!$D:$D,$A$4,'ON Data'!$E:$E,4),SUMIFS('ON Data'!F:F,'ON Data'!$E:$E,4))</f>
        <v>0</v>
      </c>
      <c r="C13" s="262">
        <f xml:space="preserve">
IF($A$4&lt;=12,SUMIFS('ON Data'!G:G,'ON Data'!$D:$D,$A$4,'ON Data'!$E:$E,4),SUMIFS('ON Data'!G:G,'ON Data'!$E:$E,4))</f>
        <v>0</v>
      </c>
      <c r="D13" s="263">
        <f xml:space="preserve">
IF($A$4&lt;=12,SUMIFS('ON Data'!I:I,'ON Data'!$D:$D,$A$4,'ON Data'!$E:$E,4),SUMIFS('ON Data'!I:I,'ON Data'!$E:$E,4))</f>
        <v>0</v>
      </c>
      <c r="E13" s="263">
        <f xml:space="preserve">
IF($A$4&lt;=12,SUMIFS('ON Data'!K:K,'ON Data'!$D:$D,$A$4,'ON Data'!$E:$E,4),SUMIFS('ON Data'!K:K,'ON Data'!$E:$E,4))</f>
        <v>0</v>
      </c>
      <c r="F13" s="263">
        <f xml:space="preserve">
IF($A$4&lt;=12,SUMIFS('ON Data'!O:O,'ON Data'!$D:$D,$A$4,'ON Data'!$E:$E,4),SUMIFS('ON Data'!O:O,'ON Data'!$E:$E,4))</f>
        <v>0</v>
      </c>
      <c r="G13" s="263">
        <f xml:space="preserve">
IF($A$4&lt;=12,SUMIFS('ON Data'!P:P,'ON Data'!$D:$D,$A$4,'ON Data'!$E:$E,4),SUMIFS('ON Data'!P:P,'ON Data'!$E:$E,4))</f>
        <v>0</v>
      </c>
      <c r="H13" s="263">
        <f xml:space="preserve">
IF($A$4&lt;=12,SUMIFS('ON Data'!Q:Q,'ON Data'!$D:$D,$A$4,'ON Data'!$E:$E,4),SUMIFS('ON Data'!Q:Q,'ON Data'!$E:$E,4))</f>
        <v>0</v>
      </c>
      <c r="I13" s="263">
        <f xml:space="preserve">
IF($A$4&lt;=12,SUMIFS('ON Data'!R:R,'ON Data'!$D:$D,$A$4,'ON Data'!$E:$E,4),SUMIFS('ON Data'!R:R,'ON Data'!$E:$E,4))</f>
        <v>0</v>
      </c>
      <c r="J13" s="263">
        <f xml:space="preserve">
IF($A$4&lt;=12,SUMIFS('ON Data'!AH:AH,'ON Data'!$D:$D,$A$4,'ON Data'!$E:$E,4),SUMIFS('ON Data'!AH:AH,'ON Data'!$E:$E,4))</f>
        <v>0</v>
      </c>
      <c r="K13" s="588">
        <f xml:space="preserve">
IF($A$4&lt;=12,SUMIFS('ON Data'!AW:AW,'ON Data'!$D:$D,$A$4,'ON Data'!$E:$E,4),SUMIFS('ON Data'!AW:AW,'ON Data'!$E:$E,4))</f>
        <v>0</v>
      </c>
      <c r="L13" s="597"/>
    </row>
    <row r="14" spans="1:12" ht="15" thickBot="1" x14ac:dyDescent="0.35">
      <c r="A14" s="245" t="s">
        <v>183</v>
      </c>
      <c r="B14" s="264">
        <f xml:space="preserve">
IF($A$4&lt;=12,SUMIFS('ON Data'!F:F,'ON Data'!$D:$D,$A$4,'ON Data'!$E:$E,5),SUMIFS('ON Data'!F:F,'ON Data'!$E:$E,5))</f>
        <v>242</v>
      </c>
      <c r="C14" s="265">
        <f xml:space="preserve">
IF($A$4&lt;=12,SUMIFS('ON Data'!G:G,'ON Data'!$D:$D,$A$4,'ON Data'!$E:$E,5),SUMIFS('ON Data'!G:G,'ON Data'!$E:$E,5))</f>
        <v>242</v>
      </c>
      <c r="D14" s="266">
        <f xml:space="preserve">
IF($A$4&lt;=12,SUMIFS('ON Data'!I:I,'ON Data'!$D:$D,$A$4,'ON Data'!$E:$E,5),SUMIFS('ON Data'!I:I,'ON Data'!$E:$E,5))</f>
        <v>0</v>
      </c>
      <c r="E14" s="266">
        <f xml:space="preserve">
IF($A$4&lt;=12,SUMIFS('ON Data'!K:K,'ON Data'!$D:$D,$A$4,'ON Data'!$E:$E,5),SUMIFS('ON Data'!K:K,'ON Data'!$E:$E,5))</f>
        <v>0</v>
      </c>
      <c r="F14" s="266">
        <f xml:space="preserve">
IF($A$4&lt;=12,SUMIFS('ON Data'!O:O,'ON Data'!$D:$D,$A$4,'ON Data'!$E:$E,5),SUMIFS('ON Data'!O:O,'ON Data'!$E:$E,5))</f>
        <v>0</v>
      </c>
      <c r="G14" s="266">
        <f xml:space="preserve">
IF($A$4&lt;=12,SUMIFS('ON Data'!P:P,'ON Data'!$D:$D,$A$4,'ON Data'!$E:$E,5),SUMIFS('ON Data'!P:P,'ON Data'!$E:$E,5))</f>
        <v>0</v>
      </c>
      <c r="H14" s="266">
        <f xml:space="preserve">
IF($A$4&lt;=12,SUMIFS('ON Data'!Q:Q,'ON Data'!$D:$D,$A$4,'ON Data'!$E:$E,5),SUMIFS('ON Data'!Q:Q,'ON Data'!$E:$E,5))</f>
        <v>0</v>
      </c>
      <c r="I14" s="266">
        <f xml:space="preserve">
IF($A$4&lt;=12,SUMIFS('ON Data'!R:R,'ON Data'!$D:$D,$A$4,'ON Data'!$E:$E,5),SUMIFS('ON Data'!R:R,'ON Data'!$E:$E,5))</f>
        <v>0</v>
      </c>
      <c r="J14" s="266">
        <f xml:space="preserve">
IF($A$4&lt;=12,SUMIFS('ON Data'!AH:AH,'ON Data'!$D:$D,$A$4,'ON Data'!$E:$E,5),SUMIFS('ON Data'!AH:AH,'ON Data'!$E:$E,5))</f>
        <v>0</v>
      </c>
      <c r="K14" s="589">
        <f xml:space="preserve">
IF($A$4&lt;=12,SUMIFS('ON Data'!AW:AW,'ON Data'!$D:$D,$A$4,'ON Data'!$E:$E,5),SUMIFS('ON Data'!AW:AW,'ON Data'!$E:$E,5))</f>
        <v>0</v>
      </c>
      <c r="L14" s="597"/>
    </row>
    <row r="15" spans="1:12" x14ac:dyDescent="0.3">
      <c r="A15" s="163" t="s">
        <v>193</v>
      </c>
      <c r="B15" s="267"/>
      <c r="C15" s="268"/>
      <c r="D15" s="269"/>
      <c r="E15" s="269"/>
      <c r="F15" s="269"/>
      <c r="G15" s="269"/>
      <c r="H15" s="269"/>
      <c r="I15" s="269"/>
      <c r="J15" s="269"/>
      <c r="K15" s="590"/>
      <c r="L15" s="597"/>
    </row>
    <row r="16" spans="1:12" x14ac:dyDescent="0.3">
      <c r="A16" s="246" t="s">
        <v>184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Data'!G:G,'ON Data'!$D:$D,$A$4,'ON Data'!$E:$E,7),SUMIFS('ON Data'!G:G,'ON Data'!$E:$E,7))</f>
        <v>0</v>
      </c>
      <c r="D16" s="263">
        <f xml:space="preserve">
IF($A$4&lt;=12,SUMIFS('ON Data'!I:I,'ON Data'!$D:$D,$A$4,'ON Data'!$E:$E,7),SUMIFS('ON Data'!I:I,'ON Data'!$E:$E,7))</f>
        <v>0</v>
      </c>
      <c r="E16" s="263">
        <f xml:space="preserve">
IF($A$4&lt;=12,SUMIFS('ON Data'!K:K,'ON Data'!$D:$D,$A$4,'ON Data'!$E:$E,7),SUMIFS('ON Data'!K:K,'ON Data'!$E:$E,7))</f>
        <v>0</v>
      </c>
      <c r="F16" s="263">
        <f xml:space="preserve">
IF($A$4&lt;=12,SUMIFS('ON Data'!O:O,'ON Data'!$D:$D,$A$4,'ON Data'!$E:$E,7),SUMIFS('ON Data'!O:O,'ON Data'!$E:$E,7))</f>
        <v>0</v>
      </c>
      <c r="G16" s="263">
        <f xml:space="preserve">
IF($A$4&lt;=12,SUMIFS('ON Data'!P:P,'ON Data'!$D:$D,$A$4,'ON Data'!$E:$E,7),SUMIFS('ON Data'!P:P,'ON Data'!$E:$E,7))</f>
        <v>0</v>
      </c>
      <c r="H16" s="263">
        <f xml:space="preserve">
IF($A$4&lt;=12,SUMIFS('ON Data'!Q:Q,'ON Data'!$D:$D,$A$4,'ON Data'!$E:$E,7),SUMIFS('ON Data'!Q:Q,'ON Data'!$E:$E,7))</f>
        <v>0</v>
      </c>
      <c r="I16" s="263">
        <f xml:space="preserve">
IF($A$4&lt;=12,SUMIFS('ON Data'!R:R,'ON Data'!$D:$D,$A$4,'ON Data'!$E:$E,7),SUMIFS('ON Data'!R:R,'ON Data'!$E:$E,7))</f>
        <v>0</v>
      </c>
      <c r="J16" s="263">
        <f xml:space="preserve">
IF($A$4&lt;=12,SUMIFS('ON Data'!AH:AH,'ON Data'!$D:$D,$A$4,'ON Data'!$E:$E,7),SUMIFS('ON Data'!AH:AH,'ON Data'!$E:$E,7))</f>
        <v>0</v>
      </c>
      <c r="K16" s="588">
        <f xml:space="preserve">
IF($A$4&lt;=12,SUMIFS('ON Data'!AW:AW,'ON Data'!$D:$D,$A$4,'ON Data'!$E:$E,7),SUMIFS('ON Data'!AW:AW,'ON Data'!$E:$E,7))</f>
        <v>0</v>
      </c>
      <c r="L16" s="597"/>
    </row>
    <row r="17" spans="1:12" x14ac:dyDescent="0.3">
      <c r="A17" s="246" t="s">
        <v>185</v>
      </c>
      <c r="B17" s="261">
        <f xml:space="preserve">
IF($A$4&lt;=12,SUMIFS('ON Data'!F:F,'ON Data'!$D:$D,$A$4,'ON Data'!$E:$E,8),SUMIFS('ON Data'!F:F,'ON Data'!$E:$E,8))</f>
        <v>0</v>
      </c>
      <c r="C17" s="262">
        <f xml:space="preserve">
IF($A$4&lt;=12,SUMIFS('ON Data'!G:G,'ON Data'!$D:$D,$A$4,'ON Data'!$E:$E,8),SUMIFS('ON Data'!G:G,'ON Data'!$E:$E,8))</f>
        <v>0</v>
      </c>
      <c r="D17" s="263">
        <f xml:space="preserve">
IF($A$4&lt;=12,SUMIFS('ON Data'!I:I,'ON Data'!$D:$D,$A$4,'ON Data'!$E:$E,8),SUMIFS('ON Data'!I:I,'ON Data'!$E:$E,8))</f>
        <v>0</v>
      </c>
      <c r="E17" s="263">
        <f xml:space="preserve">
IF($A$4&lt;=12,SUMIFS('ON Data'!K:K,'ON Data'!$D:$D,$A$4,'ON Data'!$E:$E,8),SUMIFS('ON Data'!K:K,'ON Data'!$E:$E,8))</f>
        <v>0</v>
      </c>
      <c r="F17" s="263">
        <f xml:space="preserve">
IF($A$4&lt;=12,SUMIFS('ON Data'!O:O,'ON Data'!$D:$D,$A$4,'ON Data'!$E:$E,8),SUMIFS('ON Data'!O:O,'ON Data'!$E:$E,8))</f>
        <v>0</v>
      </c>
      <c r="G17" s="263">
        <f xml:space="preserve">
IF($A$4&lt;=12,SUMIFS('ON Data'!P:P,'ON Data'!$D:$D,$A$4,'ON Data'!$E:$E,8),SUMIFS('ON Data'!P:P,'ON Data'!$E:$E,8))</f>
        <v>0</v>
      </c>
      <c r="H17" s="263">
        <f xml:space="preserve">
IF($A$4&lt;=12,SUMIFS('ON Data'!Q:Q,'ON Data'!$D:$D,$A$4,'ON Data'!$E:$E,8),SUMIFS('ON Data'!Q:Q,'ON Data'!$E:$E,8))</f>
        <v>0</v>
      </c>
      <c r="I17" s="263">
        <f xml:space="preserve">
IF($A$4&lt;=12,SUMIFS('ON Data'!R:R,'ON Data'!$D:$D,$A$4,'ON Data'!$E:$E,8),SUMIFS('ON Data'!R:R,'ON Data'!$E:$E,8))</f>
        <v>0</v>
      </c>
      <c r="J17" s="263">
        <f xml:space="preserve">
IF($A$4&lt;=12,SUMIFS('ON Data'!AH:AH,'ON Data'!$D:$D,$A$4,'ON Data'!$E:$E,8),SUMIFS('ON Data'!AH:AH,'ON Data'!$E:$E,8))</f>
        <v>0</v>
      </c>
      <c r="K17" s="588">
        <f xml:space="preserve">
IF($A$4&lt;=12,SUMIFS('ON Data'!AW:AW,'ON Data'!$D:$D,$A$4,'ON Data'!$E:$E,8),SUMIFS('ON Data'!AW:AW,'ON Data'!$E:$E,8))</f>
        <v>0</v>
      </c>
      <c r="L17" s="597"/>
    </row>
    <row r="18" spans="1:12" x14ac:dyDescent="0.3">
      <c r="A18" s="246" t="s">
        <v>186</v>
      </c>
      <c r="B18" s="261">
        <f xml:space="preserve">
B19-B16-B17</f>
        <v>11504</v>
      </c>
      <c r="C18" s="262">
        <f t="shared" ref="C18:E18" si="0" xml:space="preserve">
C19-C16-C17</f>
        <v>0</v>
      </c>
      <c r="D18" s="263">
        <f t="shared" si="0"/>
        <v>0</v>
      </c>
      <c r="E18" s="263">
        <f t="shared" si="0"/>
        <v>0</v>
      </c>
      <c r="F18" s="263">
        <f t="shared" ref="F18:J18" si="1" xml:space="preserve">
F19-F16-F17</f>
        <v>0</v>
      </c>
      <c r="G18" s="263">
        <f t="shared" si="1"/>
        <v>6504</v>
      </c>
      <c r="H18" s="263">
        <f t="shared" si="1"/>
        <v>0</v>
      </c>
      <c r="I18" s="263">
        <f t="shared" si="1"/>
        <v>5000</v>
      </c>
      <c r="J18" s="263">
        <f t="shared" si="1"/>
        <v>0</v>
      </c>
      <c r="K18" s="588">
        <f t="shared" ref="K18" si="2" xml:space="preserve">
K19-K16-K17</f>
        <v>0</v>
      </c>
      <c r="L18" s="597"/>
    </row>
    <row r="19" spans="1:12" ht="15" thickBot="1" x14ac:dyDescent="0.35">
      <c r="A19" s="247" t="s">
        <v>187</v>
      </c>
      <c r="B19" s="270">
        <f xml:space="preserve">
IF($A$4&lt;=12,SUMIFS('ON Data'!F:F,'ON Data'!$D:$D,$A$4,'ON Data'!$E:$E,9),SUMIFS('ON Data'!F:F,'ON Data'!$E:$E,9))</f>
        <v>11504</v>
      </c>
      <c r="C19" s="271">
        <f xml:space="preserve">
IF($A$4&lt;=12,SUMIFS('ON Data'!G:G,'ON Data'!$D:$D,$A$4,'ON Data'!$E:$E,9),SUMIFS('ON Data'!G:G,'ON Data'!$E:$E,9))</f>
        <v>0</v>
      </c>
      <c r="D19" s="272">
        <f xml:space="preserve">
IF($A$4&lt;=12,SUMIFS('ON Data'!I:I,'ON Data'!$D:$D,$A$4,'ON Data'!$E:$E,9),SUMIFS('ON Data'!I:I,'ON Data'!$E:$E,9))</f>
        <v>0</v>
      </c>
      <c r="E19" s="272">
        <f xml:space="preserve">
IF($A$4&lt;=12,SUMIFS('ON Data'!K:K,'ON Data'!$D:$D,$A$4,'ON Data'!$E:$E,9),SUMIFS('ON Data'!K:K,'ON Data'!$E:$E,9))</f>
        <v>0</v>
      </c>
      <c r="F19" s="272">
        <f xml:space="preserve">
IF($A$4&lt;=12,SUMIFS('ON Data'!O:O,'ON Data'!$D:$D,$A$4,'ON Data'!$E:$E,9),SUMIFS('ON Data'!O:O,'ON Data'!$E:$E,9))</f>
        <v>0</v>
      </c>
      <c r="G19" s="272">
        <f xml:space="preserve">
IF($A$4&lt;=12,SUMIFS('ON Data'!P:P,'ON Data'!$D:$D,$A$4,'ON Data'!$E:$E,9),SUMIFS('ON Data'!P:P,'ON Data'!$E:$E,9))</f>
        <v>6504</v>
      </c>
      <c r="H19" s="272">
        <f xml:space="preserve">
IF($A$4&lt;=12,SUMIFS('ON Data'!Q:Q,'ON Data'!$D:$D,$A$4,'ON Data'!$E:$E,9),SUMIFS('ON Data'!Q:Q,'ON Data'!$E:$E,9))</f>
        <v>0</v>
      </c>
      <c r="I19" s="272">
        <f xml:space="preserve">
IF($A$4&lt;=12,SUMIFS('ON Data'!R:R,'ON Data'!$D:$D,$A$4,'ON Data'!$E:$E,9),SUMIFS('ON Data'!R:R,'ON Data'!$E:$E,9))</f>
        <v>5000</v>
      </c>
      <c r="J19" s="272">
        <f xml:space="preserve">
IF($A$4&lt;=12,SUMIFS('ON Data'!AH:AH,'ON Data'!$D:$D,$A$4,'ON Data'!$E:$E,9),SUMIFS('ON Data'!AH:AH,'ON Data'!$E:$E,9))</f>
        <v>0</v>
      </c>
      <c r="K19" s="591">
        <f xml:space="preserve">
IF($A$4&lt;=12,SUMIFS('ON Data'!AW:AW,'ON Data'!$D:$D,$A$4,'ON Data'!$E:$E,9),SUMIFS('ON Data'!AW:AW,'ON Data'!$E:$E,9))</f>
        <v>0</v>
      </c>
      <c r="L19" s="597"/>
    </row>
    <row r="20" spans="1:12" ht="15" collapsed="1" thickBot="1" x14ac:dyDescent="0.35">
      <c r="A20" s="248" t="s">
        <v>73</v>
      </c>
      <c r="B20" s="273">
        <f xml:space="preserve">
IF($A$4&lt;=12,SUMIFS('ON Data'!F:F,'ON Data'!$D:$D,$A$4,'ON Data'!$E:$E,6),SUMIFS('ON Data'!F:F,'ON Data'!$E:$E,6))</f>
        <v>672829</v>
      </c>
      <c r="C20" s="274">
        <f xml:space="preserve">
IF($A$4&lt;=12,SUMIFS('ON Data'!G:G,'ON Data'!$D:$D,$A$4,'ON Data'!$E:$E,6),SUMIFS('ON Data'!G:G,'ON Data'!$E:$E,6))</f>
        <v>72600</v>
      </c>
      <c r="D20" s="275">
        <f xml:space="preserve">
IF($A$4&lt;=12,SUMIFS('ON Data'!I:I,'ON Data'!$D:$D,$A$4,'ON Data'!$E:$E,6),SUMIFS('ON Data'!I:I,'ON Data'!$E:$E,6))</f>
        <v>7678</v>
      </c>
      <c r="E20" s="275">
        <f xml:space="preserve">
IF($A$4&lt;=12,SUMIFS('ON Data'!K:K,'ON Data'!$D:$D,$A$4,'ON Data'!$E:$E,6),SUMIFS('ON Data'!K:K,'ON Data'!$E:$E,6))</f>
        <v>293369</v>
      </c>
      <c r="F20" s="275">
        <f xml:space="preserve">
IF($A$4&lt;=12,SUMIFS('ON Data'!O:O,'ON Data'!$D:$D,$A$4,'ON Data'!$E:$E,6),SUMIFS('ON Data'!O:O,'ON Data'!$E:$E,6))</f>
        <v>0</v>
      </c>
      <c r="G20" s="275">
        <f xml:space="preserve">
IF($A$4&lt;=12,SUMIFS('ON Data'!P:P,'ON Data'!$D:$D,$A$4,'ON Data'!$E:$E,6),SUMIFS('ON Data'!P:P,'ON Data'!$E:$E,6))</f>
        <v>88259</v>
      </c>
      <c r="H20" s="275">
        <f xml:space="preserve">
IF($A$4&lt;=12,SUMIFS('ON Data'!Q:Q,'ON Data'!$D:$D,$A$4,'ON Data'!$E:$E,6),SUMIFS('ON Data'!Q:Q,'ON Data'!$E:$E,6))</f>
        <v>26241</v>
      </c>
      <c r="I20" s="275">
        <f xml:space="preserve">
IF($A$4&lt;=12,SUMIFS('ON Data'!R:R,'ON Data'!$D:$D,$A$4,'ON Data'!$E:$E,6),SUMIFS('ON Data'!R:R,'ON Data'!$E:$E,6))</f>
        <v>72640</v>
      </c>
      <c r="J20" s="275">
        <f xml:space="preserve">
IF($A$4&lt;=12,SUMIFS('ON Data'!AH:AH,'ON Data'!$D:$D,$A$4,'ON Data'!$E:$E,6),SUMIFS('ON Data'!AH:AH,'ON Data'!$E:$E,6))</f>
        <v>93384</v>
      </c>
      <c r="K20" s="592">
        <f xml:space="preserve">
IF($A$4&lt;=12,SUMIFS('ON Data'!AW:AW,'ON Data'!$D:$D,$A$4,'ON Data'!$E:$E,6),SUMIFS('ON Data'!AW:AW,'ON Data'!$E:$E,6))</f>
        <v>18658</v>
      </c>
      <c r="L20" s="597"/>
    </row>
    <row r="21" spans="1:12" ht="15" hidden="1" outlineLevel="1" thickBot="1" x14ac:dyDescent="0.35">
      <c r="A21" s="241" t="s">
        <v>107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Data'!G:G,'ON Data'!$D:$D,$A$4,'ON Data'!$E:$E,12),SUMIFS('ON Data'!G:G,'ON Data'!$E:$E,12))</f>
        <v>0</v>
      </c>
      <c r="D21" s="263">
        <f xml:space="preserve">
IF($A$4&lt;=12,SUMIFS('ON Data'!I:I,'ON Data'!$D:$D,$A$4,'ON Data'!$E:$E,12),SUMIFS('ON Data'!I:I,'ON Data'!$E:$E,12))</f>
        <v>0</v>
      </c>
      <c r="E21" s="263">
        <f xml:space="preserve">
IF($A$4&lt;=12,SUMIFS('ON Data'!K:K,'ON Data'!$D:$D,$A$4,'ON Data'!$E:$E,12),SUMIFS('ON Data'!K:K,'ON Data'!$E:$E,12))</f>
        <v>0</v>
      </c>
      <c r="F21" s="263">
        <f xml:space="preserve">
IF($A$4&lt;=12,SUMIFS('ON Data'!O:O,'ON Data'!$D:$D,$A$4,'ON Data'!$E:$E,12),SUMIFS('ON Data'!O:O,'ON Data'!$E:$E,12))</f>
        <v>0</v>
      </c>
      <c r="G21" s="263">
        <f xml:space="preserve">
IF($A$4&lt;=12,SUMIFS('ON Data'!P:P,'ON Data'!$D:$D,$A$4,'ON Data'!$E:$E,12),SUMIFS('ON Data'!P:P,'ON Data'!$E:$E,12))</f>
        <v>0</v>
      </c>
      <c r="H21" s="263">
        <f xml:space="preserve">
IF($A$4&lt;=12,SUMIFS('ON Data'!Q:Q,'ON Data'!$D:$D,$A$4,'ON Data'!$E:$E,12),SUMIFS('ON Data'!Q:Q,'ON Data'!$E:$E,12))</f>
        <v>0</v>
      </c>
      <c r="I21" s="263">
        <f xml:space="preserve">
IF($A$4&lt;=12,SUMIFS('ON Data'!R:R,'ON Data'!$D:$D,$A$4,'ON Data'!$E:$E,12),SUMIFS('ON Data'!R:R,'ON Data'!$E:$E,12))</f>
        <v>0</v>
      </c>
      <c r="J21" s="263">
        <f xml:space="preserve">
IF($A$4&lt;=12,SUMIFS('ON Data'!AH:AH,'ON Data'!$D:$D,$A$4,'ON Data'!$E:$E,12),SUMIFS('ON Data'!AH:AH,'ON Data'!$E:$E,12))</f>
        <v>0</v>
      </c>
      <c r="L21" s="597"/>
    </row>
    <row r="22" spans="1:12" ht="15" hidden="1" outlineLevel="1" thickBot="1" x14ac:dyDescent="0.35">
      <c r="A22" s="241" t="s">
        <v>75</v>
      </c>
      <c r="B22" s="317" t="str">
        <f xml:space="preserve">
IF(OR(B21="",B21=0),"",B20/B21)</f>
        <v/>
      </c>
      <c r="C22" s="318" t="str">
        <f t="shared" ref="C22:E22" si="3" xml:space="preserve">
IF(OR(C21="",C21=0),"",C20/C21)</f>
        <v/>
      </c>
      <c r="D22" s="319" t="str">
        <f t="shared" si="3"/>
        <v/>
      </c>
      <c r="E22" s="319" t="str">
        <f t="shared" si="3"/>
        <v/>
      </c>
      <c r="F22" s="319" t="str">
        <f t="shared" ref="F22:J22" si="4" xml:space="preserve">
IF(OR(F21="",F21=0),"",F20/F21)</f>
        <v/>
      </c>
      <c r="G22" s="319" t="str">
        <f t="shared" si="4"/>
        <v/>
      </c>
      <c r="H22" s="319" t="str">
        <f t="shared" si="4"/>
        <v/>
      </c>
      <c r="I22" s="319" t="str">
        <f t="shared" si="4"/>
        <v/>
      </c>
      <c r="J22" s="319" t="str">
        <f t="shared" si="4"/>
        <v/>
      </c>
      <c r="L22" s="597"/>
    </row>
    <row r="23" spans="1:12" ht="15" hidden="1" outlineLevel="1" thickBot="1" x14ac:dyDescent="0.35">
      <c r="A23" s="249" t="s">
        <v>68</v>
      </c>
      <c r="B23" s="264">
        <f xml:space="preserve">
IF(B21="","",B20-B21)</f>
        <v>672829</v>
      </c>
      <c r="C23" s="265">
        <f t="shared" ref="C23:E23" si="5" xml:space="preserve">
IF(C21="","",C20-C21)</f>
        <v>72600</v>
      </c>
      <c r="D23" s="266">
        <f t="shared" si="5"/>
        <v>7678</v>
      </c>
      <c r="E23" s="266">
        <f t="shared" si="5"/>
        <v>293369</v>
      </c>
      <c r="F23" s="266">
        <f t="shared" ref="F23:J23" si="6" xml:space="preserve">
IF(F21="","",F20-F21)</f>
        <v>0</v>
      </c>
      <c r="G23" s="266">
        <f t="shared" si="6"/>
        <v>88259</v>
      </c>
      <c r="H23" s="266">
        <f t="shared" si="6"/>
        <v>26241</v>
      </c>
      <c r="I23" s="266">
        <f t="shared" si="6"/>
        <v>72640</v>
      </c>
      <c r="J23" s="266">
        <f t="shared" si="6"/>
        <v>93384</v>
      </c>
      <c r="L23" s="597"/>
    </row>
    <row r="24" spans="1:12" x14ac:dyDescent="0.3">
      <c r="A24" s="243" t="s">
        <v>188</v>
      </c>
      <c r="B24" s="290" t="s">
        <v>3</v>
      </c>
      <c r="C24" s="598" t="s">
        <v>199</v>
      </c>
      <c r="D24" s="568"/>
      <c r="E24" s="569"/>
      <c r="F24" s="570" t="s">
        <v>200</v>
      </c>
      <c r="G24" s="571"/>
      <c r="H24" s="571"/>
      <c r="I24" s="571"/>
      <c r="J24" s="571"/>
      <c r="K24" s="593" t="s">
        <v>201</v>
      </c>
      <c r="L24" s="597"/>
    </row>
    <row r="25" spans="1:12" x14ac:dyDescent="0.3">
      <c r="A25" s="244" t="s">
        <v>73</v>
      </c>
      <c r="B25" s="261">
        <f xml:space="preserve">
SUM(C25:K25)</f>
        <v>0</v>
      </c>
      <c r="C25" s="599">
        <f xml:space="preserve">
IF($A$4&lt;=12,SUMIFS('ON Data'!J:J,'ON Data'!$D:$D,$A$4,'ON Data'!$E:$E,10),SUMIFS('ON Data'!J:J,'ON Data'!$E:$E,10))</f>
        <v>0</v>
      </c>
      <c r="D25" s="572"/>
      <c r="E25" s="573"/>
      <c r="F25" s="574">
        <f xml:space="preserve">
IF($A$4&lt;=12,SUMIFS('ON Data'!O:O,'ON Data'!$D:$D,$A$4,'ON Data'!$E:$E,10),SUMIFS('ON Data'!O:O,'ON Data'!$E:$E,10))</f>
        <v>0</v>
      </c>
      <c r="G25" s="573"/>
      <c r="H25" s="573"/>
      <c r="I25" s="573"/>
      <c r="J25" s="573"/>
      <c r="K25" s="594">
        <f xml:space="preserve">
IF($A$4&lt;=12,SUMIFS('ON Data'!AW:AW,'ON Data'!$D:$D,$A$4,'ON Data'!$E:$E,10),SUMIFS('ON Data'!AW:AW,'ON Data'!$E:$E,10))</f>
        <v>0</v>
      </c>
      <c r="L25" s="597"/>
    </row>
    <row r="26" spans="1:12" x14ac:dyDescent="0.3">
      <c r="A26" s="250" t="s">
        <v>198</v>
      </c>
      <c r="B26" s="270">
        <f xml:space="preserve">
SUM(C26:K26)</f>
        <v>1809.9175253491292</v>
      </c>
      <c r="C26" s="599">
        <f xml:space="preserve">
IF($A$4&lt;=12,SUMIFS('ON Data'!J:J,'ON Data'!$D:$D,$A$4,'ON Data'!$E:$E,11),SUMIFS('ON Data'!J:J,'ON Data'!$E:$E,11))</f>
        <v>1809.9175253491292</v>
      </c>
      <c r="D26" s="572"/>
      <c r="E26" s="573"/>
      <c r="F26" s="575">
        <f xml:space="preserve">
IF($A$4&lt;=12,SUMIFS('ON Data'!O:O,'ON Data'!$D:$D,$A$4,'ON Data'!$E:$E,11),SUMIFS('ON Data'!O:O,'ON Data'!$E:$E,11))</f>
        <v>0</v>
      </c>
      <c r="G26" s="576"/>
      <c r="H26" s="576"/>
      <c r="I26" s="576"/>
      <c r="J26" s="576"/>
      <c r="K26" s="594">
        <f xml:space="preserve">
IF($A$4&lt;=12,SUMIFS('ON Data'!AW:AW,'ON Data'!$D:$D,$A$4,'ON Data'!$E:$E,11),SUMIFS('ON Data'!AW:AW,'ON Data'!$E:$E,11))</f>
        <v>0</v>
      </c>
      <c r="L26" s="597"/>
    </row>
    <row r="27" spans="1:12" x14ac:dyDescent="0.3">
      <c r="A27" s="250" t="s">
        <v>75</v>
      </c>
      <c r="B27" s="291">
        <f xml:space="preserve">
IF(B26=0,0,B25/B26)</f>
        <v>0</v>
      </c>
      <c r="C27" s="600">
        <f xml:space="preserve">
IF(C26=0,0,C25/C26)</f>
        <v>0</v>
      </c>
      <c r="D27" s="577"/>
      <c r="E27" s="573"/>
      <c r="F27" s="578">
        <f xml:space="preserve">
IF(F26=0,0,F25/F26)</f>
        <v>0</v>
      </c>
      <c r="G27" s="573"/>
      <c r="H27" s="573"/>
      <c r="I27" s="573"/>
      <c r="J27" s="573"/>
      <c r="K27" s="595">
        <f xml:space="preserve">
IF(K26=0,0,K25/K26)</f>
        <v>0</v>
      </c>
      <c r="L27" s="597"/>
    </row>
    <row r="28" spans="1:12" ht="15" thickBot="1" x14ac:dyDescent="0.35">
      <c r="A28" s="250" t="s">
        <v>197</v>
      </c>
      <c r="B28" s="270">
        <f xml:space="preserve">
SUM(C28:K28)</f>
        <v>1809.9175253491292</v>
      </c>
      <c r="C28" s="601">
        <f xml:space="preserve">
C26-C25</f>
        <v>1809.9175253491292</v>
      </c>
      <c r="D28" s="579"/>
      <c r="E28" s="580"/>
      <c r="F28" s="581">
        <f xml:space="preserve">
F26-F25</f>
        <v>0</v>
      </c>
      <c r="G28" s="580"/>
      <c r="H28" s="580"/>
      <c r="I28" s="580"/>
      <c r="J28" s="580"/>
      <c r="K28" s="596">
        <f xml:space="preserve">
K26-K25</f>
        <v>0</v>
      </c>
      <c r="L28" s="597"/>
    </row>
    <row r="29" spans="1:12" x14ac:dyDescent="0.3">
      <c r="A29" s="251"/>
      <c r="B29" s="251"/>
      <c r="C29" s="252"/>
      <c r="D29" s="251"/>
      <c r="E29" s="252"/>
      <c r="F29" s="252"/>
      <c r="G29" s="252"/>
      <c r="H29" s="252"/>
      <c r="I29" s="252"/>
      <c r="J29" s="252"/>
    </row>
    <row r="30" spans="1:12" x14ac:dyDescent="0.3">
      <c r="A30" s="113" t="s">
        <v>157</v>
      </c>
      <c r="B30" s="130"/>
      <c r="C30" s="130"/>
      <c r="D30" s="130"/>
      <c r="E30" s="130"/>
      <c r="F30" s="130"/>
      <c r="G30" s="130"/>
      <c r="H30" s="130"/>
      <c r="I30" s="130"/>
      <c r="J30" s="130"/>
    </row>
    <row r="31" spans="1:12" x14ac:dyDescent="0.3">
      <c r="A31" s="114" t="s">
        <v>195</v>
      </c>
      <c r="B31" s="130"/>
      <c r="C31" s="130"/>
      <c r="D31" s="130"/>
      <c r="E31" s="130"/>
      <c r="F31" s="130"/>
      <c r="G31" s="130"/>
      <c r="H31" s="130"/>
      <c r="I31" s="130"/>
      <c r="J31" s="130"/>
    </row>
    <row r="32" spans="1:12" ht="14.4" customHeight="1" x14ac:dyDescent="0.3">
      <c r="A32" s="287" t="s">
        <v>192</v>
      </c>
      <c r="B32" s="288"/>
      <c r="C32" s="288"/>
      <c r="D32" s="288"/>
      <c r="E32" s="288"/>
      <c r="F32" s="288"/>
      <c r="G32" s="288"/>
      <c r="H32" s="288"/>
      <c r="I32" s="288"/>
      <c r="J32" s="288"/>
    </row>
    <row r="33" spans="1:1" x14ac:dyDescent="0.3">
      <c r="A33" s="289" t="s">
        <v>226</v>
      </c>
    </row>
    <row r="34" spans="1:1" x14ac:dyDescent="0.3">
      <c r="A34" s="289" t="s">
        <v>227</v>
      </c>
    </row>
    <row r="35" spans="1:1" x14ac:dyDescent="0.3">
      <c r="A35" s="289" t="s">
        <v>228</v>
      </c>
    </row>
    <row r="36" spans="1:1" x14ac:dyDescent="0.3">
      <c r="A36" s="289" t="s">
        <v>202</v>
      </c>
    </row>
  </sheetData>
  <mergeCells count="12">
    <mergeCell ref="B3:B4"/>
    <mergeCell ref="A1:K1"/>
    <mergeCell ref="C27:E27"/>
    <mergeCell ref="C28:E28"/>
    <mergeCell ref="F27:J27"/>
    <mergeCell ref="F28:J28"/>
    <mergeCell ref="C24:E24"/>
    <mergeCell ref="C25:E25"/>
    <mergeCell ref="C26:E26"/>
    <mergeCell ref="F24:J24"/>
    <mergeCell ref="F25:J25"/>
    <mergeCell ref="F26:J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J22">
    <cfRule type="cellIs" dxfId="6" priority="6" operator="greaterThan">
      <formula>1</formula>
    </cfRule>
  </conditionalFormatting>
  <conditionalFormatting sqref="B23:J23">
    <cfRule type="cellIs" dxfId="5" priority="5" operator="greaterThan">
      <formula>0</formula>
    </cfRule>
  </conditionalFormatting>
  <conditionalFormatting sqref="K27">
    <cfRule type="cellIs" dxfId="4" priority="4" operator="greaterThan">
      <formula>1</formula>
    </cfRule>
  </conditionalFormatting>
  <conditionalFormatting sqref="K28">
    <cfRule type="cellIs" dxfId="3" priority="3" operator="lessThan">
      <formula>0</formula>
    </cfRule>
  </conditionalFormatting>
  <conditionalFormatting sqref="F28">
    <cfRule type="cellIs" dxfId="2" priority="1" operator="lessThan">
      <formula>0</formula>
    </cfRule>
  </conditionalFormatting>
  <conditionalFormatting sqref="F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6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9" x14ac:dyDescent="0.3">
      <c r="A1" s="230" t="s">
        <v>1251</v>
      </c>
    </row>
    <row r="2" spans="1:49" x14ac:dyDescent="0.3">
      <c r="A2" s="234" t="s">
        <v>250</v>
      </c>
    </row>
    <row r="3" spans="1:49" x14ac:dyDescent="0.3">
      <c r="A3" s="230" t="s">
        <v>163</v>
      </c>
      <c r="B3" s="255">
        <v>2016</v>
      </c>
      <c r="D3" s="231">
        <f>MAX(D5:D1048576)</f>
        <v>2</v>
      </c>
      <c r="F3" s="231">
        <f>SUMIF($E5:$E1048576,"&lt;10",F5:F1048576)</f>
        <v>686900.2</v>
      </c>
      <c r="G3" s="231">
        <f t="shared" ref="G3:AW3" si="0">SUMIF($E5:$E1048576,"&lt;10",G5:G1048576)</f>
        <v>72842</v>
      </c>
      <c r="H3" s="231">
        <f t="shared" si="0"/>
        <v>0</v>
      </c>
      <c r="I3" s="231">
        <f t="shared" si="0"/>
        <v>7711</v>
      </c>
      <c r="J3" s="231">
        <f t="shared" si="0"/>
        <v>0</v>
      </c>
      <c r="K3" s="231">
        <f t="shared" si="0"/>
        <v>294003.20000000001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0</v>
      </c>
      <c r="P3" s="231">
        <f t="shared" si="0"/>
        <v>95245</v>
      </c>
      <c r="Q3" s="231">
        <f t="shared" si="0"/>
        <v>26350</v>
      </c>
      <c r="R3" s="231">
        <f t="shared" si="0"/>
        <v>77978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0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0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93963.5</v>
      </c>
      <c r="AI3" s="231">
        <f t="shared" si="0"/>
        <v>0</v>
      </c>
      <c r="AJ3" s="231">
        <f t="shared" si="0"/>
        <v>0</v>
      </c>
      <c r="AK3" s="231">
        <f t="shared" si="0"/>
        <v>0</v>
      </c>
      <c r="AL3" s="231">
        <f t="shared" si="0"/>
        <v>0</v>
      </c>
      <c r="AM3" s="231">
        <f t="shared" si="0"/>
        <v>0</v>
      </c>
      <c r="AN3" s="231">
        <f t="shared" si="0"/>
        <v>0</v>
      </c>
      <c r="AO3" s="231">
        <f t="shared" si="0"/>
        <v>0</v>
      </c>
      <c r="AP3" s="231">
        <f t="shared" si="0"/>
        <v>0</v>
      </c>
      <c r="AQ3" s="231">
        <f t="shared" si="0"/>
        <v>0</v>
      </c>
      <c r="AR3" s="231">
        <f t="shared" si="0"/>
        <v>0</v>
      </c>
      <c r="AS3" s="231">
        <f t="shared" si="0"/>
        <v>0</v>
      </c>
      <c r="AT3" s="231">
        <f t="shared" si="0"/>
        <v>0</v>
      </c>
      <c r="AU3" s="231">
        <f t="shared" si="0"/>
        <v>0</v>
      </c>
      <c r="AV3" s="231">
        <f t="shared" si="0"/>
        <v>0</v>
      </c>
      <c r="AW3" s="231">
        <f t="shared" si="0"/>
        <v>18807.5</v>
      </c>
    </row>
    <row r="4" spans="1:49" x14ac:dyDescent="0.3">
      <c r="A4" s="230" t="s">
        <v>164</v>
      </c>
      <c r="B4" s="255">
        <v>1</v>
      </c>
      <c r="C4" s="232" t="s">
        <v>5</v>
      </c>
      <c r="D4" s="233" t="s">
        <v>67</v>
      </c>
      <c r="E4" s="233" t="s">
        <v>162</v>
      </c>
      <c r="F4" s="233" t="s">
        <v>3</v>
      </c>
      <c r="G4" s="233">
        <v>0</v>
      </c>
      <c r="H4" s="233">
        <v>25</v>
      </c>
      <c r="I4" s="233">
        <v>99</v>
      </c>
      <c r="J4" s="233">
        <v>100</v>
      </c>
      <c r="K4" s="233">
        <v>101</v>
      </c>
      <c r="L4" s="233">
        <v>102</v>
      </c>
      <c r="M4" s="233">
        <v>103</v>
      </c>
      <c r="N4" s="233">
        <v>203</v>
      </c>
      <c r="O4" s="233">
        <v>302</v>
      </c>
      <c r="P4" s="233">
        <v>303</v>
      </c>
      <c r="Q4" s="233">
        <v>304</v>
      </c>
      <c r="R4" s="233">
        <v>305</v>
      </c>
      <c r="S4" s="233">
        <v>306</v>
      </c>
      <c r="T4" s="233">
        <v>407</v>
      </c>
      <c r="U4" s="233">
        <v>408</v>
      </c>
      <c r="V4" s="233">
        <v>409</v>
      </c>
      <c r="W4" s="233">
        <v>410</v>
      </c>
      <c r="X4" s="233">
        <v>415</v>
      </c>
      <c r="Y4" s="233">
        <v>416</v>
      </c>
      <c r="Z4" s="233">
        <v>418</v>
      </c>
      <c r="AA4" s="233">
        <v>419</v>
      </c>
      <c r="AB4" s="233">
        <v>420</v>
      </c>
      <c r="AC4" s="233">
        <v>421</v>
      </c>
      <c r="AD4" s="233">
        <v>520</v>
      </c>
      <c r="AE4" s="233">
        <v>521</v>
      </c>
      <c r="AF4" s="233">
        <v>522</v>
      </c>
      <c r="AG4" s="233">
        <v>523</v>
      </c>
      <c r="AH4" s="233">
        <v>524</v>
      </c>
      <c r="AI4" s="233">
        <v>525</v>
      </c>
      <c r="AJ4" s="233">
        <v>526</v>
      </c>
      <c r="AK4" s="233">
        <v>527</v>
      </c>
      <c r="AL4" s="233">
        <v>528</v>
      </c>
      <c r="AM4" s="233">
        <v>629</v>
      </c>
      <c r="AN4" s="233">
        <v>630</v>
      </c>
      <c r="AO4" s="233">
        <v>636</v>
      </c>
      <c r="AP4" s="233">
        <v>637</v>
      </c>
      <c r="AQ4" s="233">
        <v>640</v>
      </c>
      <c r="AR4" s="233">
        <v>642</v>
      </c>
      <c r="AS4" s="233">
        <v>743</v>
      </c>
      <c r="AT4" s="233">
        <v>745</v>
      </c>
      <c r="AU4" s="233">
        <v>746</v>
      </c>
      <c r="AV4" s="233">
        <v>747</v>
      </c>
      <c r="AW4" s="233">
        <v>930</v>
      </c>
    </row>
    <row r="5" spans="1:49" x14ac:dyDescent="0.3">
      <c r="A5" s="230" t="s">
        <v>165</v>
      </c>
      <c r="B5" s="255">
        <v>2</v>
      </c>
      <c r="C5" s="230">
        <v>27</v>
      </c>
      <c r="D5" s="230">
        <v>1</v>
      </c>
      <c r="E5" s="230">
        <v>1</v>
      </c>
      <c r="F5" s="230">
        <v>8.3000000000000007</v>
      </c>
      <c r="G5" s="230">
        <v>0</v>
      </c>
      <c r="H5" s="230">
        <v>0</v>
      </c>
      <c r="I5" s="230">
        <v>0.1</v>
      </c>
      <c r="J5" s="230">
        <v>0</v>
      </c>
      <c r="K5" s="230">
        <v>2.2000000000000002</v>
      </c>
      <c r="L5" s="230">
        <v>0</v>
      </c>
      <c r="M5" s="230">
        <v>0</v>
      </c>
      <c r="N5" s="230">
        <v>0</v>
      </c>
      <c r="O5" s="230">
        <v>0</v>
      </c>
      <c r="P5" s="230">
        <v>1.5</v>
      </c>
      <c r="Q5" s="230">
        <v>1</v>
      </c>
      <c r="R5" s="230">
        <v>1</v>
      </c>
      <c r="S5" s="230">
        <v>0</v>
      </c>
      <c r="T5" s="230">
        <v>0</v>
      </c>
      <c r="U5" s="230">
        <v>0</v>
      </c>
      <c r="V5" s="230">
        <v>0</v>
      </c>
      <c r="W5" s="230">
        <v>0</v>
      </c>
      <c r="X5" s="230">
        <v>0</v>
      </c>
      <c r="Y5" s="230">
        <v>0</v>
      </c>
      <c r="Z5" s="230">
        <v>0</v>
      </c>
      <c r="AA5" s="230">
        <v>0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2</v>
      </c>
      <c r="AI5" s="230">
        <v>0</v>
      </c>
      <c r="AJ5" s="230">
        <v>0</v>
      </c>
      <c r="AK5" s="230">
        <v>0</v>
      </c>
      <c r="AL5" s="230">
        <v>0</v>
      </c>
      <c r="AM5" s="230">
        <v>0</v>
      </c>
      <c r="AN5" s="230">
        <v>0</v>
      </c>
      <c r="AO5" s="230">
        <v>0</v>
      </c>
      <c r="AP5" s="230">
        <v>0</v>
      </c>
      <c r="AQ5" s="230">
        <v>0</v>
      </c>
      <c r="AR5" s="230">
        <v>0</v>
      </c>
      <c r="AS5" s="230">
        <v>0</v>
      </c>
      <c r="AT5" s="230">
        <v>0</v>
      </c>
      <c r="AU5" s="230">
        <v>0</v>
      </c>
      <c r="AV5" s="230">
        <v>0</v>
      </c>
      <c r="AW5" s="230">
        <v>0.5</v>
      </c>
    </row>
    <row r="6" spans="1:49" x14ac:dyDescent="0.3">
      <c r="A6" s="230" t="s">
        <v>166</v>
      </c>
      <c r="B6" s="255">
        <v>3</v>
      </c>
      <c r="C6" s="230">
        <v>27</v>
      </c>
      <c r="D6" s="230">
        <v>1</v>
      </c>
      <c r="E6" s="230">
        <v>2</v>
      </c>
      <c r="F6" s="230">
        <v>1072.0999999999999</v>
      </c>
      <c r="G6" s="230">
        <v>0</v>
      </c>
      <c r="H6" s="230">
        <v>0</v>
      </c>
      <c r="I6" s="230">
        <v>16.8</v>
      </c>
      <c r="J6" s="230">
        <v>0</v>
      </c>
      <c r="K6" s="230">
        <v>253.8</v>
      </c>
      <c r="L6" s="230">
        <v>0</v>
      </c>
      <c r="M6" s="230">
        <v>0</v>
      </c>
      <c r="N6" s="230">
        <v>0</v>
      </c>
      <c r="O6" s="230">
        <v>0</v>
      </c>
      <c r="P6" s="230">
        <v>235</v>
      </c>
      <c r="Q6" s="230">
        <v>107</v>
      </c>
      <c r="R6" s="230">
        <v>168</v>
      </c>
      <c r="S6" s="230">
        <v>0</v>
      </c>
      <c r="T6" s="230">
        <v>0</v>
      </c>
      <c r="U6" s="230">
        <v>0</v>
      </c>
      <c r="V6" s="230">
        <v>0</v>
      </c>
      <c r="W6" s="230">
        <v>0</v>
      </c>
      <c r="X6" s="230">
        <v>0</v>
      </c>
      <c r="Y6" s="230">
        <v>0</v>
      </c>
      <c r="Z6" s="230">
        <v>0</v>
      </c>
      <c r="AA6" s="230">
        <v>0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251.5</v>
      </c>
      <c r="AI6" s="230">
        <v>0</v>
      </c>
      <c r="AJ6" s="230">
        <v>0</v>
      </c>
      <c r="AK6" s="230">
        <v>0</v>
      </c>
      <c r="AL6" s="230">
        <v>0</v>
      </c>
      <c r="AM6" s="230">
        <v>0</v>
      </c>
      <c r="AN6" s="230">
        <v>0</v>
      </c>
      <c r="AO6" s="230">
        <v>0</v>
      </c>
      <c r="AP6" s="230">
        <v>0</v>
      </c>
      <c r="AQ6" s="230">
        <v>0</v>
      </c>
      <c r="AR6" s="230">
        <v>0</v>
      </c>
      <c r="AS6" s="230">
        <v>0</v>
      </c>
      <c r="AT6" s="230">
        <v>0</v>
      </c>
      <c r="AU6" s="230">
        <v>0</v>
      </c>
      <c r="AV6" s="230">
        <v>0</v>
      </c>
      <c r="AW6" s="230">
        <v>40</v>
      </c>
    </row>
    <row r="7" spans="1:49" x14ac:dyDescent="0.3">
      <c r="A7" s="230" t="s">
        <v>167</v>
      </c>
      <c r="B7" s="255">
        <v>4</v>
      </c>
      <c r="C7" s="230">
        <v>27</v>
      </c>
      <c r="D7" s="230">
        <v>1</v>
      </c>
      <c r="E7" s="230">
        <v>5</v>
      </c>
      <c r="F7" s="230">
        <v>124</v>
      </c>
      <c r="G7" s="230">
        <v>124</v>
      </c>
      <c r="H7" s="230">
        <v>0</v>
      </c>
      <c r="I7" s="230">
        <v>0</v>
      </c>
      <c r="J7" s="230">
        <v>0</v>
      </c>
      <c r="K7" s="230">
        <v>0</v>
      </c>
      <c r="L7" s="230">
        <v>0</v>
      </c>
      <c r="M7" s="230">
        <v>0</v>
      </c>
      <c r="N7" s="230">
        <v>0</v>
      </c>
      <c r="O7" s="230">
        <v>0</v>
      </c>
      <c r="P7" s="230">
        <v>0</v>
      </c>
      <c r="Q7" s="230">
        <v>0</v>
      </c>
      <c r="R7" s="230">
        <v>0</v>
      </c>
      <c r="S7" s="230">
        <v>0</v>
      </c>
      <c r="T7" s="230">
        <v>0</v>
      </c>
      <c r="U7" s="230">
        <v>0</v>
      </c>
      <c r="V7" s="230">
        <v>0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  <c r="AP7" s="230">
        <v>0</v>
      </c>
      <c r="AQ7" s="230">
        <v>0</v>
      </c>
      <c r="AR7" s="230">
        <v>0</v>
      </c>
      <c r="AS7" s="230">
        <v>0</v>
      </c>
      <c r="AT7" s="230">
        <v>0</v>
      </c>
      <c r="AU7" s="230">
        <v>0</v>
      </c>
      <c r="AV7" s="230">
        <v>0</v>
      </c>
      <c r="AW7" s="230">
        <v>0</v>
      </c>
    </row>
    <row r="8" spans="1:49" x14ac:dyDescent="0.3">
      <c r="A8" s="230" t="s">
        <v>168</v>
      </c>
      <c r="B8" s="255">
        <v>5</v>
      </c>
      <c r="C8" s="230">
        <v>27</v>
      </c>
      <c r="D8" s="230">
        <v>1</v>
      </c>
      <c r="E8" s="230">
        <v>6</v>
      </c>
      <c r="F8" s="230">
        <v>341823</v>
      </c>
      <c r="G8" s="230">
        <v>37200</v>
      </c>
      <c r="H8" s="230">
        <v>0</v>
      </c>
      <c r="I8" s="230">
        <v>3839</v>
      </c>
      <c r="J8" s="230">
        <v>0</v>
      </c>
      <c r="K8" s="230">
        <v>154612</v>
      </c>
      <c r="L8" s="230">
        <v>0</v>
      </c>
      <c r="M8" s="230">
        <v>0</v>
      </c>
      <c r="N8" s="230">
        <v>0</v>
      </c>
      <c r="O8" s="230">
        <v>0</v>
      </c>
      <c r="P8" s="230">
        <v>40984</v>
      </c>
      <c r="Q8" s="230">
        <v>23781</v>
      </c>
      <c r="R8" s="230">
        <v>33820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42888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  <c r="AP8" s="230">
        <v>0</v>
      </c>
      <c r="AQ8" s="230">
        <v>0</v>
      </c>
      <c r="AR8" s="230">
        <v>0</v>
      </c>
      <c r="AS8" s="230">
        <v>0</v>
      </c>
      <c r="AT8" s="230">
        <v>0</v>
      </c>
      <c r="AU8" s="230">
        <v>0</v>
      </c>
      <c r="AV8" s="230">
        <v>0</v>
      </c>
      <c r="AW8" s="230">
        <v>4699</v>
      </c>
    </row>
    <row r="9" spans="1:49" x14ac:dyDescent="0.3">
      <c r="A9" s="230" t="s">
        <v>169</v>
      </c>
      <c r="B9" s="255">
        <v>6</v>
      </c>
      <c r="C9" s="230">
        <v>27</v>
      </c>
      <c r="D9" s="230">
        <v>1</v>
      </c>
      <c r="E9" s="230">
        <v>11</v>
      </c>
      <c r="F9" s="230">
        <v>904.95876267456458</v>
      </c>
      <c r="G9" s="230">
        <v>0</v>
      </c>
      <c r="H9" s="230">
        <v>0</v>
      </c>
      <c r="I9" s="230">
        <v>0</v>
      </c>
      <c r="J9" s="230">
        <v>904.95876267456458</v>
      </c>
      <c r="K9" s="230">
        <v>0</v>
      </c>
      <c r="L9" s="230">
        <v>0</v>
      </c>
      <c r="M9" s="230">
        <v>0</v>
      </c>
      <c r="N9" s="230">
        <v>0</v>
      </c>
      <c r="O9" s="230">
        <v>0</v>
      </c>
      <c r="P9" s="230">
        <v>0</v>
      </c>
      <c r="Q9" s="230">
        <v>0</v>
      </c>
      <c r="R9" s="230">
        <v>0</v>
      </c>
      <c r="S9" s="230">
        <v>0</v>
      </c>
      <c r="T9" s="230">
        <v>0</v>
      </c>
      <c r="U9" s="230">
        <v>0</v>
      </c>
      <c r="V9" s="230">
        <v>0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0</v>
      </c>
      <c r="AK9" s="230">
        <v>0</v>
      </c>
      <c r="AL9" s="230">
        <v>0</v>
      </c>
      <c r="AM9" s="230">
        <v>0</v>
      </c>
      <c r="AN9" s="230">
        <v>0</v>
      </c>
      <c r="AO9" s="230">
        <v>0</v>
      </c>
      <c r="AP9" s="230">
        <v>0</v>
      </c>
      <c r="AQ9" s="230">
        <v>0</v>
      </c>
      <c r="AR9" s="230">
        <v>0</v>
      </c>
      <c r="AS9" s="230">
        <v>0</v>
      </c>
      <c r="AT9" s="230">
        <v>0</v>
      </c>
      <c r="AU9" s="230">
        <v>0</v>
      </c>
      <c r="AV9" s="230">
        <v>0</v>
      </c>
      <c r="AW9" s="230">
        <v>0</v>
      </c>
    </row>
    <row r="10" spans="1:49" x14ac:dyDescent="0.3">
      <c r="A10" s="230" t="s">
        <v>170</v>
      </c>
      <c r="B10" s="255">
        <v>7</v>
      </c>
      <c r="C10" s="230">
        <v>27</v>
      </c>
      <c r="D10" s="230">
        <v>2</v>
      </c>
      <c r="E10" s="230">
        <v>1</v>
      </c>
      <c r="F10" s="230">
        <v>8.8000000000000007</v>
      </c>
      <c r="G10" s="230">
        <v>0</v>
      </c>
      <c r="H10" s="230">
        <v>0</v>
      </c>
      <c r="I10" s="230">
        <v>0.1</v>
      </c>
      <c r="J10" s="230">
        <v>0</v>
      </c>
      <c r="K10" s="230">
        <v>2.2000000000000002</v>
      </c>
      <c r="L10" s="230">
        <v>0</v>
      </c>
      <c r="M10" s="230">
        <v>0</v>
      </c>
      <c r="N10" s="230">
        <v>0</v>
      </c>
      <c r="O10" s="230">
        <v>0</v>
      </c>
      <c r="P10" s="230">
        <v>1.5</v>
      </c>
      <c r="Q10" s="230">
        <v>1</v>
      </c>
      <c r="R10" s="230">
        <v>1</v>
      </c>
      <c r="S10" s="230">
        <v>0</v>
      </c>
      <c r="T10" s="230">
        <v>0</v>
      </c>
      <c r="U10" s="230">
        <v>0</v>
      </c>
      <c r="V10" s="230">
        <v>0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2</v>
      </c>
      <c r="AI10" s="230">
        <v>0</v>
      </c>
      <c r="AJ10" s="230">
        <v>0</v>
      </c>
      <c r="AK10" s="230">
        <v>0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0</v>
      </c>
      <c r="AS10" s="230">
        <v>0</v>
      </c>
      <c r="AT10" s="230">
        <v>0</v>
      </c>
      <c r="AU10" s="230">
        <v>0</v>
      </c>
      <c r="AV10" s="230">
        <v>0</v>
      </c>
      <c r="AW10" s="230">
        <v>1</v>
      </c>
    </row>
    <row r="11" spans="1:49" x14ac:dyDescent="0.3">
      <c r="A11" s="230" t="s">
        <v>171</v>
      </c>
      <c r="B11" s="255">
        <v>8</v>
      </c>
      <c r="C11" s="230">
        <v>27</v>
      </c>
      <c r="D11" s="230">
        <v>2</v>
      </c>
      <c r="E11" s="230">
        <v>2</v>
      </c>
      <c r="F11" s="230">
        <v>1236</v>
      </c>
      <c r="G11" s="230">
        <v>0</v>
      </c>
      <c r="H11" s="230">
        <v>0</v>
      </c>
      <c r="I11" s="230">
        <v>16</v>
      </c>
      <c r="J11" s="230">
        <v>0</v>
      </c>
      <c r="K11" s="230">
        <v>376</v>
      </c>
      <c r="L11" s="230">
        <v>0</v>
      </c>
      <c r="M11" s="230">
        <v>0</v>
      </c>
      <c r="N11" s="230">
        <v>0</v>
      </c>
      <c r="O11" s="230">
        <v>0</v>
      </c>
      <c r="P11" s="230">
        <v>244</v>
      </c>
      <c r="Q11" s="230">
        <v>0</v>
      </c>
      <c r="R11" s="230">
        <v>168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324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  <c r="AP11" s="230">
        <v>0</v>
      </c>
      <c r="AQ11" s="230">
        <v>0</v>
      </c>
      <c r="AR11" s="230">
        <v>0</v>
      </c>
      <c r="AS11" s="230">
        <v>0</v>
      </c>
      <c r="AT11" s="230">
        <v>0</v>
      </c>
      <c r="AU11" s="230">
        <v>0</v>
      </c>
      <c r="AV11" s="230">
        <v>0</v>
      </c>
      <c r="AW11" s="230">
        <v>108</v>
      </c>
    </row>
    <row r="12" spans="1:49" x14ac:dyDescent="0.3">
      <c r="A12" s="230" t="s">
        <v>172</v>
      </c>
      <c r="B12" s="255">
        <v>9</v>
      </c>
      <c r="C12" s="230">
        <v>27</v>
      </c>
      <c r="D12" s="230">
        <v>2</v>
      </c>
      <c r="E12" s="230">
        <v>5</v>
      </c>
      <c r="F12" s="230">
        <v>118</v>
      </c>
      <c r="G12" s="230">
        <v>118</v>
      </c>
      <c r="H12" s="230">
        <v>0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  <c r="O12" s="230">
        <v>0</v>
      </c>
      <c r="P12" s="230">
        <v>0</v>
      </c>
      <c r="Q12" s="230">
        <v>0</v>
      </c>
      <c r="R12" s="230">
        <v>0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0</v>
      </c>
      <c r="AK12" s="230">
        <v>0</v>
      </c>
      <c r="AL12" s="230">
        <v>0</v>
      </c>
      <c r="AM12" s="230">
        <v>0</v>
      </c>
      <c r="AN12" s="230">
        <v>0</v>
      </c>
      <c r="AO12" s="230">
        <v>0</v>
      </c>
      <c r="AP12" s="230">
        <v>0</v>
      </c>
      <c r="AQ12" s="230">
        <v>0</v>
      </c>
      <c r="AR12" s="230">
        <v>0</v>
      </c>
      <c r="AS12" s="230">
        <v>0</v>
      </c>
      <c r="AT12" s="230">
        <v>0</v>
      </c>
      <c r="AU12" s="230">
        <v>0</v>
      </c>
      <c r="AV12" s="230">
        <v>0</v>
      </c>
      <c r="AW12" s="230">
        <v>0</v>
      </c>
    </row>
    <row r="13" spans="1:49" x14ac:dyDescent="0.3">
      <c r="A13" s="230" t="s">
        <v>173</v>
      </c>
      <c r="B13" s="255">
        <v>10</v>
      </c>
      <c r="C13" s="230">
        <v>27</v>
      </c>
      <c r="D13" s="230">
        <v>2</v>
      </c>
      <c r="E13" s="230">
        <v>6</v>
      </c>
      <c r="F13" s="230">
        <v>331006</v>
      </c>
      <c r="G13" s="230">
        <v>35400</v>
      </c>
      <c r="H13" s="230">
        <v>0</v>
      </c>
      <c r="I13" s="230">
        <v>3839</v>
      </c>
      <c r="J13" s="230">
        <v>0</v>
      </c>
      <c r="K13" s="230">
        <v>138757</v>
      </c>
      <c r="L13" s="230">
        <v>0</v>
      </c>
      <c r="M13" s="230">
        <v>0</v>
      </c>
      <c r="N13" s="230">
        <v>0</v>
      </c>
      <c r="O13" s="230">
        <v>0</v>
      </c>
      <c r="P13" s="230">
        <v>47275</v>
      </c>
      <c r="Q13" s="230">
        <v>2460</v>
      </c>
      <c r="R13" s="230">
        <v>38820</v>
      </c>
      <c r="S13" s="230">
        <v>0</v>
      </c>
      <c r="T13" s="230">
        <v>0</v>
      </c>
      <c r="U13" s="230">
        <v>0</v>
      </c>
      <c r="V13" s="230">
        <v>0</v>
      </c>
      <c r="W13" s="230">
        <v>0</v>
      </c>
      <c r="X13" s="230">
        <v>0</v>
      </c>
      <c r="Y13" s="230">
        <v>0</v>
      </c>
      <c r="Z13" s="230">
        <v>0</v>
      </c>
      <c r="AA13" s="230">
        <v>0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50496</v>
      </c>
      <c r="AI13" s="230">
        <v>0</v>
      </c>
      <c r="AJ13" s="230">
        <v>0</v>
      </c>
      <c r="AK13" s="230">
        <v>0</v>
      </c>
      <c r="AL13" s="230">
        <v>0</v>
      </c>
      <c r="AM13" s="230">
        <v>0</v>
      </c>
      <c r="AN13" s="230">
        <v>0</v>
      </c>
      <c r="AO13" s="230">
        <v>0</v>
      </c>
      <c r="AP13" s="230">
        <v>0</v>
      </c>
      <c r="AQ13" s="230">
        <v>0</v>
      </c>
      <c r="AR13" s="230">
        <v>0</v>
      </c>
      <c r="AS13" s="230">
        <v>0</v>
      </c>
      <c r="AT13" s="230">
        <v>0</v>
      </c>
      <c r="AU13" s="230">
        <v>0</v>
      </c>
      <c r="AV13" s="230">
        <v>0</v>
      </c>
      <c r="AW13" s="230">
        <v>13959</v>
      </c>
    </row>
    <row r="14" spans="1:49" x14ac:dyDescent="0.3">
      <c r="A14" s="230" t="s">
        <v>174</v>
      </c>
      <c r="B14" s="255">
        <v>11</v>
      </c>
      <c r="C14" s="230">
        <v>27</v>
      </c>
      <c r="D14" s="230">
        <v>2</v>
      </c>
      <c r="E14" s="230">
        <v>9</v>
      </c>
      <c r="F14" s="230">
        <v>11504</v>
      </c>
      <c r="G14" s="230">
        <v>0</v>
      </c>
      <c r="H14" s="230">
        <v>0</v>
      </c>
      <c r="I14" s="230">
        <v>0</v>
      </c>
      <c r="J14" s="230">
        <v>0</v>
      </c>
      <c r="K14" s="230">
        <v>0</v>
      </c>
      <c r="L14" s="230">
        <v>0</v>
      </c>
      <c r="M14" s="230">
        <v>0</v>
      </c>
      <c r="N14" s="230">
        <v>0</v>
      </c>
      <c r="O14" s="230">
        <v>0</v>
      </c>
      <c r="P14" s="230">
        <v>6504</v>
      </c>
      <c r="Q14" s="230">
        <v>0</v>
      </c>
      <c r="R14" s="230">
        <v>5000</v>
      </c>
      <c r="S14" s="230">
        <v>0</v>
      </c>
      <c r="T14" s="230">
        <v>0</v>
      </c>
      <c r="U14" s="230">
        <v>0</v>
      </c>
      <c r="V14" s="230">
        <v>0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0</v>
      </c>
      <c r="AK14" s="230">
        <v>0</v>
      </c>
      <c r="AL14" s="230">
        <v>0</v>
      </c>
      <c r="AM14" s="230">
        <v>0</v>
      </c>
      <c r="AN14" s="230">
        <v>0</v>
      </c>
      <c r="AO14" s="230">
        <v>0</v>
      </c>
      <c r="AP14" s="230">
        <v>0</v>
      </c>
      <c r="AQ14" s="230">
        <v>0</v>
      </c>
      <c r="AR14" s="230">
        <v>0</v>
      </c>
      <c r="AS14" s="230">
        <v>0</v>
      </c>
      <c r="AT14" s="230">
        <v>0</v>
      </c>
      <c r="AU14" s="230">
        <v>0</v>
      </c>
      <c r="AV14" s="230">
        <v>0</v>
      </c>
      <c r="AW14" s="230">
        <v>0</v>
      </c>
    </row>
    <row r="15" spans="1:49" x14ac:dyDescent="0.3">
      <c r="A15" s="230" t="s">
        <v>175</v>
      </c>
      <c r="B15" s="255">
        <v>12</v>
      </c>
      <c r="C15" s="230">
        <v>27</v>
      </c>
      <c r="D15" s="230">
        <v>2</v>
      </c>
      <c r="E15" s="230">
        <v>11</v>
      </c>
      <c r="F15" s="230">
        <v>904.95876267456458</v>
      </c>
      <c r="G15" s="230">
        <v>0</v>
      </c>
      <c r="H15" s="230">
        <v>0</v>
      </c>
      <c r="I15" s="230">
        <v>0</v>
      </c>
      <c r="J15" s="230">
        <v>904.95876267456458</v>
      </c>
      <c r="K15" s="230">
        <v>0</v>
      </c>
      <c r="L15" s="230">
        <v>0</v>
      </c>
      <c r="M15" s="230">
        <v>0</v>
      </c>
      <c r="N15" s="230">
        <v>0</v>
      </c>
      <c r="O15" s="230">
        <v>0</v>
      </c>
      <c r="P15" s="230">
        <v>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  <c r="AP15" s="230">
        <v>0</v>
      </c>
      <c r="AQ15" s="230">
        <v>0</v>
      </c>
      <c r="AR15" s="230">
        <v>0</v>
      </c>
      <c r="AS15" s="230">
        <v>0</v>
      </c>
      <c r="AT15" s="230">
        <v>0</v>
      </c>
      <c r="AU15" s="230">
        <v>0</v>
      </c>
      <c r="AV15" s="230">
        <v>0</v>
      </c>
      <c r="AW15" s="230">
        <v>0</v>
      </c>
    </row>
    <row r="16" spans="1:49" x14ac:dyDescent="0.3">
      <c r="A16" s="230" t="s">
        <v>163</v>
      </c>
      <c r="B16" s="255">
        <v>2016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5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97" t="s">
        <v>1257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250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380920</v>
      </c>
      <c r="C3" s="222">
        <f t="shared" ref="C3:R3" si="0">SUBTOTAL(9,C6:C1048576)</f>
        <v>6</v>
      </c>
      <c r="D3" s="222">
        <f>SUBTOTAL(9,D6:D1048576)/2</f>
        <v>492504</v>
      </c>
      <c r="E3" s="222">
        <f t="shared" si="0"/>
        <v>6.9860508401751886</v>
      </c>
      <c r="F3" s="222">
        <f>SUBTOTAL(9,F6:F1048576)/2</f>
        <v>805693.94000000006</v>
      </c>
      <c r="G3" s="223">
        <f>IF(B3&lt;&gt;0,F3/B3,"")</f>
        <v>2.1151263782421506</v>
      </c>
      <c r="H3" s="224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5" t="str">
        <f>IF(H3&lt;&gt;0,L3/H3,"")</f>
        <v/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220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02"/>
      <c r="B5" s="603">
        <v>2014</v>
      </c>
      <c r="C5" s="604"/>
      <c r="D5" s="604">
        <v>2015</v>
      </c>
      <c r="E5" s="604"/>
      <c r="F5" s="604">
        <v>2016</v>
      </c>
      <c r="G5" s="605" t="s">
        <v>2</v>
      </c>
      <c r="H5" s="603">
        <v>2014</v>
      </c>
      <c r="I5" s="604"/>
      <c r="J5" s="604">
        <v>2015</v>
      </c>
      <c r="K5" s="604"/>
      <c r="L5" s="604">
        <v>2016</v>
      </c>
      <c r="M5" s="605" t="s">
        <v>2</v>
      </c>
      <c r="N5" s="603">
        <v>2014</v>
      </c>
      <c r="O5" s="604"/>
      <c r="P5" s="604">
        <v>2015</v>
      </c>
      <c r="Q5" s="604"/>
      <c r="R5" s="604">
        <v>2016</v>
      </c>
      <c r="S5" s="605" t="s">
        <v>2</v>
      </c>
    </row>
    <row r="6" spans="1:19" ht="14.4" customHeight="1" x14ac:dyDescent="0.3">
      <c r="A6" s="556" t="s">
        <v>1252</v>
      </c>
      <c r="B6" s="606">
        <v>117254</v>
      </c>
      <c r="C6" s="518">
        <v>1</v>
      </c>
      <c r="D6" s="606">
        <v>236309</v>
      </c>
      <c r="E6" s="518">
        <v>2.0153598171490952</v>
      </c>
      <c r="F6" s="606">
        <v>306133.63000000006</v>
      </c>
      <c r="G6" s="523">
        <v>2.6108587340303959</v>
      </c>
      <c r="H6" s="606"/>
      <c r="I6" s="518"/>
      <c r="J6" s="606"/>
      <c r="K6" s="518"/>
      <c r="L6" s="606"/>
      <c r="M6" s="523"/>
      <c r="N6" s="606"/>
      <c r="O6" s="518"/>
      <c r="P6" s="606"/>
      <c r="Q6" s="518"/>
      <c r="R6" s="606"/>
      <c r="S6" s="122"/>
    </row>
    <row r="7" spans="1:19" ht="14.4" customHeight="1" x14ac:dyDescent="0.3">
      <c r="A7" s="557" t="s">
        <v>1253</v>
      </c>
      <c r="B7" s="607">
        <v>83304</v>
      </c>
      <c r="C7" s="525">
        <v>1</v>
      </c>
      <c r="D7" s="607">
        <v>55596</v>
      </c>
      <c r="E7" s="525">
        <v>0.66738692019590895</v>
      </c>
      <c r="F7" s="607">
        <v>175385.34</v>
      </c>
      <c r="G7" s="530">
        <v>2.105365168539326</v>
      </c>
      <c r="H7" s="607"/>
      <c r="I7" s="525"/>
      <c r="J7" s="607"/>
      <c r="K7" s="525"/>
      <c r="L7" s="607"/>
      <c r="M7" s="530"/>
      <c r="N7" s="607"/>
      <c r="O7" s="525"/>
      <c r="P7" s="607"/>
      <c r="Q7" s="525"/>
      <c r="R7" s="607"/>
      <c r="S7" s="531"/>
    </row>
    <row r="8" spans="1:19" ht="14.4" customHeight="1" x14ac:dyDescent="0.3">
      <c r="A8" s="557" t="s">
        <v>1254</v>
      </c>
      <c r="B8" s="607">
        <v>60117</v>
      </c>
      <c r="C8" s="525">
        <v>1</v>
      </c>
      <c r="D8" s="607">
        <v>42420</v>
      </c>
      <c r="E8" s="525">
        <v>0.70562403313538602</v>
      </c>
      <c r="F8" s="607">
        <v>21721.98</v>
      </c>
      <c r="G8" s="530">
        <v>0.36132840960127749</v>
      </c>
      <c r="H8" s="607"/>
      <c r="I8" s="525"/>
      <c r="J8" s="607"/>
      <c r="K8" s="525"/>
      <c r="L8" s="607"/>
      <c r="M8" s="530"/>
      <c r="N8" s="607"/>
      <c r="O8" s="525"/>
      <c r="P8" s="607"/>
      <c r="Q8" s="525"/>
      <c r="R8" s="607"/>
      <c r="S8" s="531"/>
    </row>
    <row r="9" spans="1:19" ht="14.4" customHeight="1" x14ac:dyDescent="0.3">
      <c r="A9" s="557" t="s">
        <v>1255</v>
      </c>
      <c r="B9" s="607">
        <v>28898</v>
      </c>
      <c r="C9" s="525">
        <v>1</v>
      </c>
      <c r="D9" s="607">
        <v>24226</v>
      </c>
      <c r="E9" s="525">
        <v>0.83832791196622602</v>
      </c>
      <c r="F9" s="607">
        <v>39003.990000000005</v>
      </c>
      <c r="G9" s="530">
        <v>1.3497124368468407</v>
      </c>
      <c r="H9" s="607"/>
      <c r="I9" s="525"/>
      <c r="J9" s="607"/>
      <c r="K9" s="525"/>
      <c r="L9" s="607"/>
      <c r="M9" s="530"/>
      <c r="N9" s="607"/>
      <c r="O9" s="525"/>
      <c r="P9" s="607"/>
      <c r="Q9" s="525"/>
      <c r="R9" s="607"/>
      <c r="S9" s="531"/>
    </row>
    <row r="10" spans="1:19" ht="14.4" customHeight="1" thickBot="1" x14ac:dyDescent="0.35">
      <c r="A10" s="609" t="s">
        <v>1256</v>
      </c>
      <c r="B10" s="608">
        <v>91347</v>
      </c>
      <c r="C10" s="533">
        <v>1</v>
      </c>
      <c r="D10" s="608">
        <v>133953</v>
      </c>
      <c r="E10" s="533">
        <v>1.4664192584321325</v>
      </c>
      <c r="F10" s="608">
        <v>263449</v>
      </c>
      <c r="G10" s="538">
        <v>2.8840465477793469</v>
      </c>
      <c r="H10" s="608"/>
      <c r="I10" s="533"/>
      <c r="J10" s="608"/>
      <c r="K10" s="533"/>
      <c r="L10" s="608"/>
      <c r="M10" s="538"/>
      <c r="N10" s="608"/>
      <c r="O10" s="533"/>
      <c r="P10" s="608"/>
      <c r="Q10" s="533"/>
      <c r="R10" s="608"/>
      <c r="S10" s="539"/>
    </row>
    <row r="11" spans="1:19" ht="14.4" customHeight="1" thickBot="1" x14ac:dyDescent="0.35"/>
    <row r="12" spans="1:19" ht="14.4" customHeight="1" thickBot="1" x14ac:dyDescent="0.35">
      <c r="A12" s="612" t="s">
        <v>418</v>
      </c>
      <c r="B12" s="610">
        <v>380920</v>
      </c>
      <c r="C12" s="611">
        <v>1</v>
      </c>
      <c r="D12" s="610">
        <v>492504</v>
      </c>
      <c r="E12" s="611">
        <v>1.2929328992964402</v>
      </c>
      <c r="F12" s="610">
        <v>805693.94000000006</v>
      </c>
      <c r="G12" s="302">
        <v>2.1151263782421506</v>
      </c>
      <c r="H12" s="610"/>
      <c r="I12" s="611"/>
      <c r="J12" s="610"/>
      <c r="K12" s="611"/>
      <c r="L12" s="610"/>
      <c r="M12" s="302"/>
      <c r="N12" s="610"/>
      <c r="O12" s="611"/>
      <c r="P12" s="610"/>
      <c r="Q12" s="611"/>
      <c r="R12" s="610"/>
      <c r="S12" s="303"/>
    </row>
    <row r="13" spans="1:19" ht="14.4" customHeight="1" x14ac:dyDescent="0.3">
      <c r="A13" s="494" t="s">
        <v>465</v>
      </c>
    </row>
    <row r="14" spans="1:19" ht="14.4" customHeight="1" x14ac:dyDescent="0.3">
      <c r="A14" s="495" t="s">
        <v>466</v>
      </c>
    </row>
    <row r="15" spans="1:19" ht="14.4" customHeight="1" x14ac:dyDescent="0.3">
      <c r="A15" s="494" t="s">
        <v>1258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4" t="s">
        <v>250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1003.263174281465</v>
      </c>
      <c r="D4" s="161">
        <f ca="1">IF(ISERROR(VLOOKUP("Náklady celkem",INDIRECT("HI!$A:$G"),5,0)),0,VLOOKUP("Náklady celkem",INDIRECT("HI!$A:$G"),5,0))</f>
        <v>1095.0752399999999</v>
      </c>
      <c r="E4" s="162">
        <f ca="1">IF(C4=0,0,D4/C4)</f>
        <v>1.0915134414101171</v>
      </c>
    </row>
    <row r="5" spans="1:5" ht="14.4" customHeight="1" x14ac:dyDescent="0.3">
      <c r="A5" s="163" t="s">
        <v>149</v>
      </c>
      <c r="B5" s="164"/>
      <c r="C5" s="165"/>
      <c r="D5" s="165"/>
      <c r="E5" s="166"/>
    </row>
    <row r="6" spans="1:5" ht="14.4" customHeight="1" x14ac:dyDescent="0.3">
      <c r="A6" s="167" t="s">
        <v>154</v>
      </c>
      <c r="B6" s="168"/>
      <c r="C6" s="169"/>
      <c r="D6" s="169"/>
      <c r="E6" s="166"/>
    </row>
    <row r="7" spans="1:5" ht="14.4" customHeight="1" x14ac:dyDescent="0.3">
      <c r="A7" s="31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3.5748068955093331</v>
      </c>
      <c r="D7" s="169">
        <f>IF(ISERROR(HI!E5),"",HI!E5)</f>
        <v>0.26619999999999999</v>
      </c>
      <c r="E7" s="166">
        <f t="shared" ref="E7:E14" si="0">IF(C7=0,0,D7/C7)</f>
        <v>7.4465560736833095E-2</v>
      </c>
    </row>
    <row r="8" spans="1:5" ht="14.4" customHeight="1" x14ac:dyDescent="0.3">
      <c r="A8" s="311" t="str">
        <f>HYPERLINK("#'LŽ Statim'!A1","Podíl statimových žádanek (max. 30%)")</f>
        <v>Podíl statimových žádanek (max. 30%)</v>
      </c>
      <c r="B8" s="309" t="s">
        <v>215</v>
      </c>
      <c r="C8" s="310">
        <v>0.3</v>
      </c>
      <c r="D8" s="310">
        <f>IF('LŽ Statim'!G3="",0,'LŽ Statim'!G3)</f>
        <v>0</v>
      </c>
      <c r="E8" s="166">
        <f>IF(C8=0,0,D8/C8)</f>
        <v>0</v>
      </c>
    </row>
    <row r="9" spans="1:5" ht="14.4" customHeight="1" x14ac:dyDescent="0.3">
      <c r="A9" s="171" t="s">
        <v>150</v>
      </c>
      <c r="B9" s="168"/>
      <c r="C9" s="169"/>
      <c r="D9" s="169"/>
      <c r="E9" s="166"/>
    </row>
    <row r="10" spans="1:5" ht="14.4" customHeight="1" x14ac:dyDescent="0.3">
      <c r="A10" s="311" t="str">
        <f>HYPERLINK("#'Léky Recepty'!A1","Záchyt v lékárně (Úhrada Kč, min. 60%)")</f>
        <v>Záchyt v lékárně (Úhrada Kč, min. 60%)</v>
      </c>
      <c r="B10" s="168" t="s">
        <v>116</v>
      </c>
      <c r="C10" s="170">
        <v>0.6</v>
      </c>
      <c r="D10" s="170">
        <f>IF(ISERROR(VLOOKUP("Celkem",'Léky Recepty'!B:H,5,0)),0,VLOOKUP("Celkem",'Léky Recepty'!B:H,5,0))</f>
        <v>0.47262940211300863</v>
      </c>
      <c r="E10" s="166">
        <f t="shared" si="0"/>
        <v>0.78771567018834776</v>
      </c>
    </row>
    <row r="11" spans="1:5" ht="14.4" customHeight="1" x14ac:dyDescent="0.3">
      <c r="A11" s="311" t="str">
        <f>HYPERLINK("#'LRp PL'!A1","Plnění pozitivního listu (min. 80%)")</f>
        <v>Plnění pozitivního listu (min. 80%)</v>
      </c>
      <c r="B11" s="168" t="s">
        <v>143</v>
      </c>
      <c r="C11" s="170">
        <v>0.8</v>
      </c>
      <c r="D11" s="170">
        <f>IF(ISERROR(VLOOKUP("Celkem",'LRp PL'!A:F,5,0)),0,VLOOKUP("Celkem",'LRp PL'!A:F,5,0))</f>
        <v>0.960497580710441</v>
      </c>
      <c r="E11" s="166">
        <f t="shared" si="0"/>
        <v>1.2006219758880512</v>
      </c>
    </row>
    <row r="12" spans="1:5" ht="14.4" customHeight="1" x14ac:dyDescent="0.3">
      <c r="A12" s="171" t="s">
        <v>151</v>
      </c>
      <c r="B12" s="168"/>
      <c r="C12" s="169"/>
      <c r="D12" s="169"/>
      <c r="E12" s="166"/>
    </row>
    <row r="13" spans="1:5" ht="14.4" customHeight="1" x14ac:dyDescent="0.3">
      <c r="A13" s="172" t="s">
        <v>155</v>
      </c>
      <c r="B13" s="168"/>
      <c r="C13" s="165"/>
      <c r="D13" s="165"/>
      <c r="E13" s="166"/>
    </row>
    <row r="14" spans="1:5" ht="14.4" customHeight="1" x14ac:dyDescent="0.3">
      <c r="A14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8" t="s">
        <v>111</v>
      </c>
      <c r="C14" s="169">
        <f>IF(ISERROR(HI!F6),"",HI!F6)</f>
        <v>11.684794946321333</v>
      </c>
      <c r="D14" s="169">
        <f>IF(ISERROR(HI!E6),"",HI!E6)</f>
        <v>3.0422000000000002</v>
      </c>
      <c r="E14" s="166">
        <f t="shared" si="0"/>
        <v>0.26035544602840988</v>
      </c>
    </row>
    <row r="15" spans="1:5" ht="14.4" customHeight="1" thickBot="1" x14ac:dyDescent="0.35">
      <c r="A15" s="174" t="str">
        <f>HYPERLINK("#HI!A1","Osobní náklady")</f>
        <v>Osobní náklady</v>
      </c>
      <c r="B15" s="168"/>
      <c r="C15" s="165">
        <f ca="1">IF(ISERROR(VLOOKUP("Osobní náklady (Kč) *",INDIRECT("HI!$A:$G"),6,0)),0,VLOOKUP("Osobní náklady (Kč) *",INDIRECT("HI!$A:$G"),6,0))</f>
        <v>807.50022259196157</v>
      </c>
      <c r="D15" s="165">
        <f ca="1">IF(ISERROR(VLOOKUP("Osobní náklady (Kč) *",INDIRECT("HI!$A:$G"),5,0)),0,VLOOKUP("Osobní náklady (Kč) *",INDIRECT("HI!$A:$G"),5,0))</f>
        <v>907.57684999999992</v>
      </c>
      <c r="E15" s="166">
        <f ca="1">IF(C15=0,0,D15/C15)</f>
        <v>1.1239338697478083</v>
      </c>
    </row>
    <row r="16" spans="1:5" ht="14.4" customHeight="1" thickBot="1" x14ac:dyDescent="0.35">
      <c r="A16" s="178"/>
      <c r="B16" s="179"/>
      <c r="C16" s="180"/>
      <c r="D16" s="180"/>
      <c r="E16" s="181"/>
    </row>
    <row r="17" spans="1:5" ht="14.4" customHeight="1" thickBot="1" x14ac:dyDescent="0.35">
      <c r="A17" s="182" t="str">
        <f>HYPERLINK("#HI!A1","VÝNOSY CELKEM (v tisících)")</f>
        <v>VÝNOSY CELKEM (v tisících)</v>
      </c>
      <c r="B17" s="183"/>
      <c r="C17" s="184">
        <f ca="1">IF(ISERROR(VLOOKUP("Výnosy celkem",INDIRECT("HI!$A:$G"),6,0)),0,VLOOKUP("Výnosy celkem",INDIRECT("HI!$A:$G"),6,0))</f>
        <v>380.92</v>
      </c>
      <c r="D17" s="184">
        <f ca="1">IF(ISERROR(VLOOKUP("Výnosy celkem",INDIRECT("HI!$A:$G"),5,0)),0,VLOOKUP("Výnosy celkem",INDIRECT("HI!$A:$G"),5,0))</f>
        <v>805.69394000000011</v>
      </c>
      <c r="E17" s="185">
        <f t="shared" ref="E17:E20" ca="1" si="1">IF(C17=0,0,D17/C17)</f>
        <v>2.115126378242151</v>
      </c>
    </row>
    <row r="18" spans="1:5" ht="14.4" customHeight="1" x14ac:dyDescent="0.3">
      <c r="A18" s="186" t="str">
        <f>HYPERLINK("#HI!A1","Ambulance (body za výkony + Kč za ZUM a ZULP)")</f>
        <v>Ambulance (body za výkony + Kč za ZUM a ZULP)</v>
      </c>
      <c r="B18" s="164"/>
      <c r="C18" s="165">
        <f ca="1">IF(ISERROR(VLOOKUP("Ambulance *",INDIRECT("HI!$A:$G"),6,0)),0,VLOOKUP("Ambulance *",INDIRECT("HI!$A:$G"),6,0))</f>
        <v>380.92</v>
      </c>
      <c r="D18" s="165">
        <f ca="1">IF(ISERROR(VLOOKUP("Ambulance *",INDIRECT("HI!$A:$G"),5,0)),0,VLOOKUP("Ambulance *",INDIRECT("HI!$A:$G"),5,0))</f>
        <v>805.69394000000011</v>
      </c>
      <c r="E18" s="166">
        <f t="shared" ca="1" si="1"/>
        <v>2.115126378242151</v>
      </c>
    </row>
    <row r="19" spans="1:5" ht="14.4" customHeight="1" x14ac:dyDescent="0.3">
      <c r="A19" s="187" t="str">
        <f>HYPERLINK("#'ZV Vykáz.-A'!A1","Zdravotní výkony vykázané u ambulantních pacientů (min. 100 %)")</f>
        <v>Zdravotní výkony vykázané u ambulantních pacientů (min. 100 %)</v>
      </c>
      <c r="B19" s="151" t="s">
        <v>123</v>
      </c>
      <c r="C19" s="170">
        <v>1</v>
      </c>
      <c r="D19" s="170">
        <f>IF(ISERROR(VLOOKUP("Celkem:",'ZV Vykáz.-A'!$A:$S,7,0)),"",VLOOKUP("Celkem:",'ZV Vykáz.-A'!$A:$S,7,0))</f>
        <v>2.1151263782421506</v>
      </c>
      <c r="E19" s="166">
        <f t="shared" si="1"/>
        <v>2.1151263782421506</v>
      </c>
    </row>
    <row r="20" spans="1:5" ht="14.4" customHeight="1" x14ac:dyDescent="0.3">
      <c r="A20" s="187" t="str">
        <f>HYPERLINK("#'ZV Vykáz.-H'!A1","Zdravotní výkony vykázané u hospitalizovaných pacientů (max. 85 %)")</f>
        <v>Zdravotní výkony vykázané u hospitalizovaných pacientů (max. 85 %)</v>
      </c>
      <c r="B20" s="151" t="s">
        <v>125</v>
      </c>
      <c r="C20" s="170">
        <v>0.85</v>
      </c>
      <c r="D20" s="170">
        <f>IF(ISERROR(VLOOKUP("Celkem:",'ZV Vykáz.-H'!$A:$S,7,0)),"",VLOOKUP("Celkem:",'ZV Vykáz.-H'!$A:$S,7,0))</f>
        <v>0.36215205345501955</v>
      </c>
      <c r="E20" s="166">
        <f t="shared" si="1"/>
        <v>0.42606123935884654</v>
      </c>
    </row>
    <row r="21" spans="1:5" ht="14.4" customHeight="1" x14ac:dyDescent="0.3">
      <c r="A21" s="188" t="str">
        <f>HYPERLINK("#HI!A1","Hospitalizace (casemix * 30000)")</f>
        <v>Hospitalizace (casemix * 30000)</v>
      </c>
      <c r="B21" s="168"/>
      <c r="C21" s="165">
        <f ca="1">IF(ISERROR(VLOOKUP("Hospitalizace *",INDIRECT("HI!$A:$G"),6,0)),0,VLOOKUP("Hospitalizace *",INDIRECT("HI!$A:$G"),6,0))</f>
        <v>0</v>
      </c>
      <c r="D21" s="165">
        <f ca="1">IF(ISERROR(VLOOKUP("Hospitalizace *",INDIRECT("HI!$A:$G"),5,0)),0,VLOOKUP("Hospitalizace *",INDIRECT("HI!$A:$G"),5,0))</f>
        <v>0</v>
      </c>
      <c r="E21" s="166">
        <f ca="1">IF(C21=0,0,D21/C21)</f>
        <v>0</v>
      </c>
    </row>
    <row r="22" spans="1:5" ht="14.4" customHeight="1" thickBot="1" x14ac:dyDescent="0.35">
      <c r="A22" s="189" t="s">
        <v>152</v>
      </c>
      <c r="B22" s="175"/>
      <c r="C22" s="176"/>
      <c r="D22" s="176"/>
      <c r="E22" s="177"/>
    </row>
    <row r="23" spans="1:5" ht="14.4" customHeight="1" thickBot="1" x14ac:dyDescent="0.35">
      <c r="A23" s="190"/>
      <c r="B23" s="191"/>
      <c r="C23" s="192"/>
      <c r="D23" s="192"/>
      <c r="E23" s="193"/>
    </row>
    <row r="24" spans="1:5" ht="14.4" customHeight="1" thickBot="1" x14ac:dyDescent="0.35">
      <c r="A24" s="194" t="s">
        <v>153</v>
      </c>
      <c r="B24" s="195"/>
      <c r="C24" s="196"/>
      <c r="D24" s="196"/>
      <c r="E24" s="197"/>
    </row>
  </sheetData>
  <mergeCells count="1">
    <mergeCell ref="A1:E1"/>
  </mergeCells>
  <conditionalFormatting sqref="E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63" priority="20" operator="lessThan">
      <formula>1</formula>
    </cfRule>
  </conditionalFormatting>
  <conditionalFormatting sqref="E8">
    <cfRule type="cellIs" dxfId="6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61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1265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4" t="s">
        <v>250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14">
        <f t="shared" ref="B3:G3" si="0">SUBTOTAL(9,B6:B1048576)</f>
        <v>1966</v>
      </c>
      <c r="C3" s="315">
        <f t="shared" si="0"/>
        <v>2447</v>
      </c>
      <c r="D3" s="315">
        <f t="shared" si="0"/>
        <v>4688</v>
      </c>
      <c r="E3" s="224">
        <f t="shared" si="0"/>
        <v>380920</v>
      </c>
      <c r="F3" s="222">
        <f t="shared" si="0"/>
        <v>492504</v>
      </c>
      <c r="G3" s="316">
        <f t="shared" si="0"/>
        <v>805693.94</v>
      </c>
    </row>
    <row r="4" spans="1:7" ht="14.4" customHeight="1" x14ac:dyDescent="0.3">
      <c r="A4" s="398" t="s">
        <v>135</v>
      </c>
      <c r="B4" s="399" t="s">
        <v>217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602"/>
      <c r="B5" s="603">
        <v>2014</v>
      </c>
      <c r="C5" s="604">
        <v>2015</v>
      </c>
      <c r="D5" s="604">
        <v>2016</v>
      </c>
      <c r="E5" s="603">
        <v>2014</v>
      </c>
      <c r="F5" s="604">
        <v>2015</v>
      </c>
      <c r="G5" s="604">
        <v>2016</v>
      </c>
    </row>
    <row r="6" spans="1:7" ht="14.4" customHeight="1" x14ac:dyDescent="0.3">
      <c r="A6" s="556" t="s">
        <v>1259</v>
      </c>
      <c r="B6" s="116">
        <v>27</v>
      </c>
      <c r="C6" s="116">
        <v>115</v>
      </c>
      <c r="D6" s="116">
        <v>1305</v>
      </c>
      <c r="E6" s="606">
        <v>7559</v>
      </c>
      <c r="F6" s="606">
        <v>216</v>
      </c>
      <c r="G6" s="613">
        <v>223672.34000000003</v>
      </c>
    </row>
    <row r="7" spans="1:7" ht="14.4" customHeight="1" x14ac:dyDescent="0.3">
      <c r="A7" s="557" t="s">
        <v>468</v>
      </c>
      <c r="B7" s="545">
        <v>82</v>
      </c>
      <c r="C7" s="545">
        <v>77</v>
      </c>
      <c r="D7" s="545">
        <v>59</v>
      </c>
      <c r="E7" s="607">
        <v>24311</v>
      </c>
      <c r="F7" s="607">
        <v>28808</v>
      </c>
      <c r="G7" s="614">
        <v>10385.33</v>
      </c>
    </row>
    <row r="8" spans="1:7" ht="14.4" customHeight="1" x14ac:dyDescent="0.3">
      <c r="A8" s="557" t="s">
        <v>1260</v>
      </c>
      <c r="B8" s="545"/>
      <c r="C8" s="545">
        <v>26</v>
      </c>
      <c r="D8" s="545">
        <v>124</v>
      </c>
      <c r="E8" s="607"/>
      <c r="F8" s="607">
        <v>8018</v>
      </c>
      <c r="G8" s="614">
        <v>30668.660000000003</v>
      </c>
    </row>
    <row r="9" spans="1:7" ht="14.4" customHeight="1" x14ac:dyDescent="0.3">
      <c r="A9" s="557" t="s">
        <v>469</v>
      </c>
      <c r="B9" s="545"/>
      <c r="C9" s="545"/>
      <c r="D9" s="545">
        <v>345</v>
      </c>
      <c r="E9" s="607"/>
      <c r="F9" s="607"/>
      <c r="G9" s="614">
        <v>65253.34</v>
      </c>
    </row>
    <row r="10" spans="1:7" ht="14.4" customHeight="1" x14ac:dyDescent="0.3">
      <c r="A10" s="557" t="s">
        <v>1261</v>
      </c>
      <c r="B10" s="545">
        <v>193</v>
      </c>
      <c r="C10" s="545"/>
      <c r="D10" s="545"/>
      <c r="E10" s="607">
        <v>60949</v>
      </c>
      <c r="F10" s="607"/>
      <c r="G10" s="614"/>
    </row>
    <row r="11" spans="1:7" ht="14.4" customHeight="1" x14ac:dyDescent="0.3">
      <c r="A11" s="557" t="s">
        <v>470</v>
      </c>
      <c r="B11" s="545">
        <v>149</v>
      </c>
      <c r="C11" s="545">
        <v>191</v>
      </c>
      <c r="D11" s="545">
        <v>159</v>
      </c>
      <c r="E11" s="607">
        <v>41612</v>
      </c>
      <c r="F11" s="607">
        <v>51175</v>
      </c>
      <c r="G11" s="614">
        <v>29872.99</v>
      </c>
    </row>
    <row r="12" spans="1:7" ht="14.4" customHeight="1" x14ac:dyDescent="0.3">
      <c r="A12" s="557" t="s">
        <v>1262</v>
      </c>
      <c r="B12" s="545">
        <v>395</v>
      </c>
      <c r="C12" s="545">
        <v>162</v>
      </c>
      <c r="D12" s="545"/>
      <c r="E12" s="607">
        <v>108971</v>
      </c>
      <c r="F12" s="607">
        <v>51675</v>
      </c>
      <c r="G12" s="614"/>
    </row>
    <row r="13" spans="1:7" ht="14.4" customHeight="1" x14ac:dyDescent="0.3">
      <c r="A13" s="557" t="s">
        <v>1263</v>
      </c>
      <c r="B13" s="545">
        <v>1006</v>
      </c>
      <c r="C13" s="545">
        <v>1330</v>
      </c>
      <c r="D13" s="545">
        <v>1577</v>
      </c>
      <c r="E13" s="607">
        <v>91347</v>
      </c>
      <c r="F13" s="607">
        <v>133953</v>
      </c>
      <c r="G13" s="614">
        <v>162538</v>
      </c>
    </row>
    <row r="14" spans="1:7" ht="14.4" customHeight="1" x14ac:dyDescent="0.3">
      <c r="A14" s="557" t="s">
        <v>1264</v>
      </c>
      <c r="B14" s="545"/>
      <c r="C14" s="545">
        <v>49</v>
      </c>
      <c r="D14" s="545"/>
      <c r="E14" s="607"/>
      <c r="F14" s="607">
        <v>20718</v>
      </c>
      <c r="G14" s="614"/>
    </row>
    <row r="15" spans="1:7" ht="14.4" customHeight="1" x14ac:dyDescent="0.3">
      <c r="A15" s="557" t="s">
        <v>471</v>
      </c>
      <c r="B15" s="545">
        <v>114</v>
      </c>
      <c r="C15" s="545">
        <v>495</v>
      </c>
      <c r="D15" s="545">
        <v>1015</v>
      </c>
      <c r="E15" s="607">
        <v>46171</v>
      </c>
      <c r="F15" s="607">
        <v>197691</v>
      </c>
      <c r="G15" s="614">
        <v>261647.27999999988</v>
      </c>
    </row>
    <row r="16" spans="1:7" ht="14.4" customHeight="1" thickBot="1" x14ac:dyDescent="0.35">
      <c r="A16" s="609" t="s">
        <v>472</v>
      </c>
      <c r="B16" s="547"/>
      <c r="C16" s="547">
        <v>2</v>
      </c>
      <c r="D16" s="547">
        <v>104</v>
      </c>
      <c r="E16" s="608"/>
      <c r="F16" s="608">
        <v>250</v>
      </c>
      <c r="G16" s="615">
        <v>21656</v>
      </c>
    </row>
    <row r="17" spans="1:1" ht="14.4" customHeight="1" x14ac:dyDescent="0.3">
      <c r="A17" s="494" t="s">
        <v>465</v>
      </c>
    </row>
    <row r="18" spans="1:1" ht="14.4" customHeight="1" x14ac:dyDescent="0.3">
      <c r="A18" s="495" t="s">
        <v>466</v>
      </c>
    </row>
    <row r="19" spans="1:1" ht="14.4" customHeight="1" x14ac:dyDescent="0.3">
      <c r="A19" s="494" t="s">
        <v>1258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75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1362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250</v>
      </c>
      <c r="B2" s="320"/>
      <c r="C2" s="131"/>
      <c r="D2" s="313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1966</v>
      </c>
      <c r="G3" s="103">
        <f t="shared" si="0"/>
        <v>380920</v>
      </c>
      <c r="H3" s="74"/>
      <c r="I3" s="74"/>
      <c r="J3" s="103">
        <f t="shared" si="0"/>
        <v>2447</v>
      </c>
      <c r="K3" s="103">
        <f t="shared" si="0"/>
        <v>492504</v>
      </c>
      <c r="L3" s="74"/>
      <c r="M3" s="74"/>
      <c r="N3" s="103">
        <f t="shared" si="0"/>
        <v>4688</v>
      </c>
      <c r="O3" s="103">
        <f t="shared" si="0"/>
        <v>805693.94</v>
      </c>
      <c r="P3" s="75">
        <f>IF(G3=0,0,O3/G3)</f>
        <v>2.1151263782421506</v>
      </c>
      <c r="Q3" s="104">
        <f>IF(N3=0,0,O3/N3)</f>
        <v>171.8630418088737</v>
      </c>
    </row>
    <row r="4" spans="1:17" ht="14.4" customHeight="1" x14ac:dyDescent="0.3">
      <c r="A4" s="406" t="s">
        <v>95</v>
      </c>
      <c r="B4" s="413" t="s">
        <v>0</v>
      </c>
      <c r="C4" s="407" t="s">
        <v>96</v>
      </c>
      <c r="D4" s="412" t="s">
        <v>71</v>
      </c>
      <c r="E4" s="408" t="s">
        <v>70</v>
      </c>
      <c r="F4" s="409">
        <v>2014</v>
      </c>
      <c r="G4" s="410"/>
      <c r="H4" s="101"/>
      <c r="I4" s="101"/>
      <c r="J4" s="409">
        <v>2015</v>
      </c>
      <c r="K4" s="410"/>
      <c r="L4" s="101"/>
      <c r="M4" s="101"/>
      <c r="N4" s="409">
        <v>2016</v>
      </c>
      <c r="O4" s="410"/>
      <c r="P4" s="411" t="s">
        <v>2</v>
      </c>
      <c r="Q4" s="405" t="s">
        <v>98</v>
      </c>
    </row>
    <row r="5" spans="1:17" ht="14.4" customHeight="1" thickBot="1" x14ac:dyDescent="0.35">
      <c r="A5" s="616"/>
      <c r="B5" s="617"/>
      <c r="C5" s="618"/>
      <c r="D5" s="619"/>
      <c r="E5" s="620"/>
      <c r="F5" s="621" t="s">
        <v>72</v>
      </c>
      <c r="G5" s="622" t="s">
        <v>14</v>
      </c>
      <c r="H5" s="623"/>
      <c r="I5" s="623"/>
      <c r="J5" s="621" t="s">
        <v>72</v>
      </c>
      <c r="K5" s="622" t="s">
        <v>14</v>
      </c>
      <c r="L5" s="623"/>
      <c r="M5" s="623"/>
      <c r="N5" s="621" t="s">
        <v>72</v>
      </c>
      <c r="O5" s="622" t="s">
        <v>14</v>
      </c>
      <c r="P5" s="624"/>
      <c r="Q5" s="625"/>
    </row>
    <row r="6" spans="1:17" ht="14.4" customHeight="1" x14ac:dyDescent="0.3">
      <c r="A6" s="517" t="s">
        <v>1266</v>
      </c>
      <c r="B6" s="518" t="s">
        <v>418</v>
      </c>
      <c r="C6" s="518" t="s">
        <v>1267</v>
      </c>
      <c r="D6" s="518" t="s">
        <v>1268</v>
      </c>
      <c r="E6" s="518" t="s">
        <v>1269</v>
      </c>
      <c r="F6" s="116"/>
      <c r="G6" s="116"/>
      <c r="H6" s="518"/>
      <c r="I6" s="518"/>
      <c r="J6" s="116">
        <v>3</v>
      </c>
      <c r="K6" s="116">
        <v>105</v>
      </c>
      <c r="L6" s="518"/>
      <c r="M6" s="518">
        <v>35</v>
      </c>
      <c r="N6" s="116">
        <v>66</v>
      </c>
      <c r="O6" s="116">
        <v>2442</v>
      </c>
      <c r="P6" s="523"/>
      <c r="Q6" s="544">
        <v>37</v>
      </c>
    </row>
    <row r="7" spans="1:17" ht="14.4" customHeight="1" x14ac:dyDescent="0.3">
      <c r="A7" s="524" t="s">
        <v>1266</v>
      </c>
      <c r="B7" s="525" t="s">
        <v>418</v>
      </c>
      <c r="C7" s="525" t="s">
        <v>1267</v>
      </c>
      <c r="D7" s="525" t="s">
        <v>1270</v>
      </c>
      <c r="E7" s="525" t="s">
        <v>1271</v>
      </c>
      <c r="F7" s="545">
        <v>60</v>
      </c>
      <c r="G7" s="545">
        <v>7800</v>
      </c>
      <c r="H7" s="525">
        <v>1</v>
      </c>
      <c r="I7" s="525">
        <v>130</v>
      </c>
      <c r="J7" s="545">
        <v>66</v>
      </c>
      <c r="K7" s="545">
        <v>8844</v>
      </c>
      <c r="L7" s="525">
        <v>1.1338461538461539</v>
      </c>
      <c r="M7" s="525">
        <v>134</v>
      </c>
      <c r="N7" s="545">
        <v>72</v>
      </c>
      <c r="O7" s="545">
        <v>9936</v>
      </c>
      <c r="P7" s="530">
        <v>1.2738461538461539</v>
      </c>
      <c r="Q7" s="546">
        <v>138</v>
      </c>
    </row>
    <row r="8" spans="1:17" ht="14.4" customHeight="1" x14ac:dyDescent="0.3">
      <c r="A8" s="524" t="s">
        <v>1266</v>
      </c>
      <c r="B8" s="525" t="s">
        <v>418</v>
      </c>
      <c r="C8" s="525" t="s">
        <v>1267</v>
      </c>
      <c r="D8" s="525" t="s">
        <v>1272</v>
      </c>
      <c r="E8" s="525" t="s">
        <v>1273</v>
      </c>
      <c r="F8" s="545">
        <v>40</v>
      </c>
      <c r="G8" s="545">
        <v>68200</v>
      </c>
      <c r="H8" s="525">
        <v>1</v>
      </c>
      <c r="I8" s="525">
        <v>1705</v>
      </c>
      <c r="J8" s="545">
        <v>63</v>
      </c>
      <c r="K8" s="545">
        <v>108423</v>
      </c>
      <c r="L8" s="525">
        <v>1.5897800586510265</v>
      </c>
      <c r="M8" s="525">
        <v>1721</v>
      </c>
      <c r="N8" s="545">
        <v>51</v>
      </c>
      <c r="O8" s="545">
        <v>92565</v>
      </c>
      <c r="P8" s="530">
        <v>1.357258064516129</v>
      </c>
      <c r="Q8" s="546">
        <v>1815</v>
      </c>
    </row>
    <row r="9" spans="1:17" ht="14.4" customHeight="1" x14ac:dyDescent="0.3">
      <c r="A9" s="524" t="s">
        <v>1266</v>
      </c>
      <c r="B9" s="525" t="s">
        <v>418</v>
      </c>
      <c r="C9" s="525" t="s">
        <v>1267</v>
      </c>
      <c r="D9" s="525" t="s">
        <v>1274</v>
      </c>
      <c r="E9" s="525" t="s">
        <v>1275</v>
      </c>
      <c r="F9" s="545">
        <v>2</v>
      </c>
      <c r="G9" s="545">
        <v>1164</v>
      </c>
      <c r="H9" s="525">
        <v>1</v>
      </c>
      <c r="I9" s="525">
        <v>582</v>
      </c>
      <c r="J9" s="545">
        <v>68</v>
      </c>
      <c r="K9" s="545">
        <v>39984</v>
      </c>
      <c r="L9" s="525">
        <v>34.350515463917525</v>
      </c>
      <c r="M9" s="525">
        <v>588</v>
      </c>
      <c r="N9" s="545">
        <v>71</v>
      </c>
      <c r="O9" s="545">
        <v>44233</v>
      </c>
      <c r="P9" s="530">
        <v>38.000859106529212</v>
      </c>
      <c r="Q9" s="546">
        <v>623</v>
      </c>
    </row>
    <row r="10" spans="1:17" ht="14.4" customHeight="1" x14ac:dyDescent="0.3">
      <c r="A10" s="524" t="s">
        <v>1266</v>
      </c>
      <c r="B10" s="525" t="s">
        <v>418</v>
      </c>
      <c r="C10" s="525" t="s">
        <v>1267</v>
      </c>
      <c r="D10" s="525" t="s">
        <v>1276</v>
      </c>
      <c r="E10" s="525" t="s">
        <v>1277</v>
      </c>
      <c r="F10" s="545">
        <v>23</v>
      </c>
      <c r="G10" s="545">
        <v>7521</v>
      </c>
      <c r="H10" s="525">
        <v>1</v>
      </c>
      <c r="I10" s="525">
        <v>327</v>
      </c>
      <c r="J10" s="545">
        <v>27</v>
      </c>
      <c r="K10" s="545">
        <v>11826</v>
      </c>
      <c r="L10" s="525">
        <v>1.5723972875947347</v>
      </c>
      <c r="M10" s="525">
        <v>438</v>
      </c>
      <c r="N10" s="545">
        <v>80</v>
      </c>
      <c r="O10" s="545">
        <v>37520</v>
      </c>
      <c r="P10" s="530">
        <v>4.9886983113947609</v>
      </c>
      <c r="Q10" s="546">
        <v>469</v>
      </c>
    </row>
    <row r="11" spans="1:17" ht="14.4" customHeight="1" x14ac:dyDescent="0.3">
      <c r="A11" s="524" t="s">
        <v>1266</v>
      </c>
      <c r="B11" s="525" t="s">
        <v>418</v>
      </c>
      <c r="C11" s="525" t="s">
        <v>1267</v>
      </c>
      <c r="D11" s="525" t="s">
        <v>1278</v>
      </c>
      <c r="E11" s="525" t="s">
        <v>1279</v>
      </c>
      <c r="F11" s="545">
        <v>4</v>
      </c>
      <c r="G11" s="545">
        <v>0</v>
      </c>
      <c r="H11" s="525"/>
      <c r="I11" s="525">
        <v>0</v>
      </c>
      <c r="J11" s="545">
        <v>57</v>
      </c>
      <c r="K11" s="545">
        <v>0</v>
      </c>
      <c r="L11" s="525"/>
      <c r="M11" s="525">
        <v>0</v>
      </c>
      <c r="N11" s="545">
        <v>170</v>
      </c>
      <c r="O11" s="545">
        <v>5666.6299999999992</v>
      </c>
      <c r="P11" s="530"/>
      <c r="Q11" s="546">
        <v>33.33311764705882</v>
      </c>
    </row>
    <row r="12" spans="1:17" ht="14.4" customHeight="1" x14ac:dyDescent="0.3">
      <c r="A12" s="524" t="s">
        <v>1266</v>
      </c>
      <c r="B12" s="525" t="s">
        <v>418</v>
      </c>
      <c r="C12" s="525" t="s">
        <v>1267</v>
      </c>
      <c r="D12" s="525" t="s">
        <v>1280</v>
      </c>
      <c r="E12" s="525" t="s">
        <v>1281</v>
      </c>
      <c r="F12" s="545">
        <v>1</v>
      </c>
      <c r="G12" s="545">
        <v>35</v>
      </c>
      <c r="H12" s="525">
        <v>1</v>
      </c>
      <c r="I12" s="525">
        <v>35</v>
      </c>
      <c r="J12" s="545">
        <v>2</v>
      </c>
      <c r="K12" s="545">
        <v>72</v>
      </c>
      <c r="L12" s="525">
        <v>2.0571428571428569</v>
      </c>
      <c r="M12" s="525">
        <v>36</v>
      </c>
      <c r="N12" s="545">
        <v>24</v>
      </c>
      <c r="O12" s="545">
        <v>888</v>
      </c>
      <c r="P12" s="530">
        <v>25.37142857142857</v>
      </c>
      <c r="Q12" s="546">
        <v>37</v>
      </c>
    </row>
    <row r="13" spans="1:17" ht="14.4" customHeight="1" x14ac:dyDescent="0.3">
      <c r="A13" s="524" t="s">
        <v>1266</v>
      </c>
      <c r="B13" s="525" t="s">
        <v>418</v>
      </c>
      <c r="C13" s="525" t="s">
        <v>1267</v>
      </c>
      <c r="D13" s="525" t="s">
        <v>1282</v>
      </c>
      <c r="E13" s="525" t="s">
        <v>1283</v>
      </c>
      <c r="F13" s="545">
        <v>40</v>
      </c>
      <c r="G13" s="545">
        <v>4960</v>
      </c>
      <c r="H13" s="525">
        <v>1</v>
      </c>
      <c r="I13" s="525">
        <v>124</v>
      </c>
      <c r="J13" s="545">
        <v>32</v>
      </c>
      <c r="K13" s="545">
        <v>4000</v>
      </c>
      <c r="L13" s="525">
        <v>0.80645161290322576</v>
      </c>
      <c r="M13" s="525">
        <v>125</v>
      </c>
      <c r="N13" s="545">
        <v>8</v>
      </c>
      <c r="O13" s="545">
        <v>1064</v>
      </c>
      <c r="P13" s="530">
        <v>0.21451612903225806</v>
      </c>
      <c r="Q13" s="546">
        <v>133</v>
      </c>
    </row>
    <row r="14" spans="1:17" ht="14.4" customHeight="1" x14ac:dyDescent="0.3">
      <c r="A14" s="524" t="s">
        <v>1266</v>
      </c>
      <c r="B14" s="525" t="s">
        <v>418</v>
      </c>
      <c r="C14" s="525" t="s">
        <v>1267</v>
      </c>
      <c r="D14" s="525" t="s">
        <v>1284</v>
      </c>
      <c r="E14" s="525" t="s">
        <v>1285</v>
      </c>
      <c r="F14" s="545">
        <v>40</v>
      </c>
      <c r="G14" s="545">
        <v>25800</v>
      </c>
      <c r="H14" s="525">
        <v>1</v>
      </c>
      <c r="I14" s="525">
        <v>645</v>
      </c>
      <c r="J14" s="545">
        <v>51</v>
      </c>
      <c r="K14" s="545">
        <v>33303</v>
      </c>
      <c r="L14" s="525">
        <v>1.290813953488372</v>
      </c>
      <c r="M14" s="525">
        <v>653</v>
      </c>
      <c r="N14" s="545">
        <v>48</v>
      </c>
      <c r="O14" s="545">
        <v>33648</v>
      </c>
      <c r="P14" s="530">
        <v>1.3041860465116279</v>
      </c>
      <c r="Q14" s="546">
        <v>701</v>
      </c>
    </row>
    <row r="15" spans="1:17" ht="14.4" customHeight="1" x14ac:dyDescent="0.3">
      <c r="A15" s="524" t="s">
        <v>1266</v>
      </c>
      <c r="B15" s="525" t="s">
        <v>418</v>
      </c>
      <c r="C15" s="525" t="s">
        <v>1267</v>
      </c>
      <c r="D15" s="525" t="s">
        <v>1286</v>
      </c>
      <c r="E15" s="525" t="s">
        <v>1287</v>
      </c>
      <c r="F15" s="545">
        <v>1</v>
      </c>
      <c r="G15" s="545">
        <v>163</v>
      </c>
      <c r="H15" s="525">
        <v>1</v>
      </c>
      <c r="I15" s="525">
        <v>163</v>
      </c>
      <c r="J15" s="545">
        <v>15</v>
      </c>
      <c r="K15" s="545">
        <v>3285</v>
      </c>
      <c r="L15" s="525">
        <v>20.153374233128833</v>
      </c>
      <c r="M15" s="525">
        <v>219</v>
      </c>
      <c r="N15" s="545">
        <v>67</v>
      </c>
      <c r="O15" s="545">
        <v>15745</v>
      </c>
      <c r="P15" s="530">
        <v>96.595092024539881</v>
      </c>
      <c r="Q15" s="546">
        <v>235</v>
      </c>
    </row>
    <row r="16" spans="1:17" ht="14.4" customHeight="1" x14ac:dyDescent="0.3">
      <c r="A16" s="524" t="s">
        <v>1266</v>
      </c>
      <c r="B16" s="525" t="s">
        <v>418</v>
      </c>
      <c r="C16" s="525" t="s">
        <v>1267</v>
      </c>
      <c r="D16" s="525" t="s">
        <v>1288</v>
      </c>
      <c r="E16" s="525" t="s">
        <v>1289</v>
      </c>
      <c r="F16" s="545">
        <v>1</v>
      </c>
      <c r="G16" s="545">
        <v>69</v>
      </c>
      <c r="H16" s="525">
        <v>1</v>
      </c>
      <c r="I16" s="525">
        <v>69</v>
      </c>
      <c r="J16" s="545"/>
      <c r="K16" s="545"/>
      <c r="L16" s="525"/>
      <c r="M16" s="525"/>
      <c r="N16" s="545">
        <v>7</v>
      </c>
      <c r="O16" s="545">
        <v>518</v>
      </c>
      <c r="P16" s="530">
        <v>7.5072463768115938</v>
      </c>
      <c r="Q16" s="546">
        <v>74</v>
      </c>
    </row>
    <row r="17" spans="1:17" ht="14.4" customHeight="1" x14ac:dyDescent="0.3">
      <c r="A17" s="524" t="s">
        <v>1266</v>
      </c>
      <c r="B17" s="525" t="s">
        <v>418</v>
      </c>
      <c r="C17" s="525" t="s">
        <v>1267</v>
      </c>
      <c r="D17" s="525" t="s">
        <v>1290</v>
      </c>
      <c r="E17" s="525" t="s">
        <v>1291</v>
      </c>
      <c r="F17" s="545">
        <v>5</v>
      </c>
      <c r="G17" s="545">
        <v>1030</v>
      </c>
      <c r="H17" s="525">
        <v>1</v>
      </c>
      <c r="I17" s="525">
        <v>206</v>
      </c>
      <c r="J17" s="545">
        <v>63</v>
      </c>
      <c r="K17" s="545">
        <v>13230</v>
      </c>
      <c r="L17" s="525">
        <v>12.844660194174757</v>
      </c>
      <c r="M17" s="525">
        <v>210</v>
      </c>
      <c r="N17" s="545">
        <v>197</v>
      </c>
      <c r="O17" s="545">
        <v>43734</v>
      </c>
      <c r="P17" s="530">
        <v>42.460194174757284</v>
      </c>
      <c r="Q17" s="546">
        <v>222</v>
      </c>
    </row>
    <row r="18" spans="1:17" ht="14.4" customHeight="1" x14ac:dyDescent="0.3">
      <c r="A18" s="524" t="s">
        <v>1266</v>
      </c>
      <c r="B18" s="525" t="s">
        <v>418</v>
      </c>
      <c r="C18" s="525" t="s">
        <v>1267</v>
      </c>
      <c r="D18" s="525" t="s">
        <v>1292</v>
      </c>
      <c r="E18" s="525" t="s">
        <v>1293</v>
      </c>
      <c r="F18" s="545">
        <v>6</v>
      </c>
      <c r="G18" s="545">
        <v>456</v>
      </c>
      <c r="H18" s="525">
        <v>1</v>
      </c>
      <c r="I18" s="525">
        <v>76</v>
      </c>
      <c r="J18" s="545">
        <v>161</v>
      </c>
      <c r="K18" s="545">
        <v>12397</v>
      </c>
      <c r="L18" s="525">
        <v>27.186403508771932</v>
      </c>
      <c r="M18" s="525">
        <v>77</v>
      </c>
      <c r="N18" s="545">
        <v>223</v>
      </c>
      <c r="O18" s="545">
        <v>17171</v>
      </c>
      <c r="P18" s="530">
        <v>37.655701754385966</v>
      </c>
      <c r="Q18" s="546">
        <v>77</v>
      </c>
    </row>
    <row r="19" spans="1:17" ht="14.4" customHeight="1" x14ac:dyDescent="0.3">
      <c r="A19" s="524" t="s">
        <v>1266</v>
      </c>
      <c r="B19" s="525" t="s">
        <v>418</v>
      </c>
      <c r="C19" s="525" t="s">
        <v>1267</v>
      </c>
      <c r="D19" s="525" t="s">
        <v>1294</v>
      </c>
      <c r="E19" s="525" t="s">
        <v>1295</v>
      </c>
      <c r="F19" s="545"/>
      <c r="G19" s="545"/>
      <c r="H19" s="525"/>
      <c r="I19" s="525"/>
      <c r="J19" s="545">
        <v>4</v>
      </c>
      <c r="K19" s="545">
        <v>840</v>
      </c>
      <c r="L19" s="525"/>
      <c r="M19" s="525">
        <v>210</v>
      </c>
      <c r="N19" s="545"/>
      <c r="O19" s="545"/>
      <c r="P19" s="530"/>
      <c r="Q19" s="546"/>
    </row>
    <row r="20" spans="1:17" ht="14.4" customHeight="1" x14ac:dyDescent="0.3">
      <c r="A20" s="524" t="s">
        <v>1266</v>
      </c>
      <c r="B20" s="525" t="s">
        <v>418</v>
      </c>
      <c r="C20" s="525" t="s">
        <v>1267</v>
      </c>
      <c r="D20" s="525" t="s">
        <v>1296</v>
      </c>
      <c r="E20" s="525" t="s">
        <v>1297</v>
      </c>
      <c r="F20" s="545">
        <v>1</v>
      </c>
      <c r="G20" s="545">
        <v>56</v>
      </c>
      <c r="H20" s="525">
        <v>1</v>
      </c>
      <c r="I20" s="525">
        <v>56</v>
      </c>
      <c r="J20" s="545"/>
      <c r="K20" s="545"/>
      <c r="L20" s="525"/>
      <c r="M20" s="525"/>
      <c r="N20" s="545">
        <v>17</v>
      </c>
      <c r="O20" s="545">
        <v>1003</v>
      </c>
      <c r="P20" s="530">
        <v>17.910714285714285</v>
      </c>
      <c r="Q20" s="546">
        <v>59</v>
      </c>
    </row>
    <row r="21" spans="1:17" ht="14.4" customHeight="1" x14ac:dyDescent="0.3">
      <c r="A21" s="524" t="s">
        <v>1298</v>
      </c>
      <c r="B21" s="525" t="s">
        <v>418</v>
      </c>
      <c r="C21" s="525" t="s">
        <v>1267</v>
      </c>
      <c r="D21" s="525" t="s">
        <v>1268</v>
      </c>
      <c r="E21" s="525" t="s">
        <v>1269</v>
      </c>
      <c r="F21" s="545"/>
      <c r="G21" s="545"/>
      <c r="H21" s="525"/>
      <c r="I21" s="525"/>
      <c r="J21" s="545">
        <v>1</v>
      </c>
      <c r="K21" s="545">
        <v>35</v>
      </c>
      <c r="L21" s="525"/>
      <c r="M21" s="525">
        <v>35</v>
      </c>
      <c r="N21" s="545">
        <v>7</v>
      </c>
      <c r="O21" s="545">
        <v>259</v>
      </c>
      <c r="P21" s="530"/>
      <c r="Q21" s="546">
        <v>37</v>
      </c>
    </row>
    <row r="22" spans="1:17" ht="14.4" customHeight="1" x14ac:dyDescent="0.3">
      <c r="A22" s="524" t="s">
        <v>1298</v>
      </c>
      <c r="B22" s="525" t="s">
        <v>418</v>
      </c>
      <c r="C22" s="525" t="s">
        <v>1267</v>
      </c>
      <c r="D22" s="525" t="s">
        <v>1299</v>
      </c>
      <c r="E22" s="525" t="s">
        <v>1300</v>
      </c>
      <c r="F22" s="545">
        <v>2</v>
      </c>
      <c r="G22" s="545">
        <v>1290</v>
      </c>
      <c r="H22" s="525">
        <v>1</v>
      </c>
      <c r="I22" s="525">
        <v>645</v>
      </c>
      <c r="J22" s="545">
        <v>8</v>
      </c>
      <c r="K22" s="545">
        <v>5224</v>
      </c>
      <c r="L22" s="525">
        <v>4.0496124031007756</v>
      </c>
      <c r="M22" s="525">
        <v>653</v>
      </c>
      <c r="N22" s="545">
        <v>7</v>
      </c>
      <c r="O22" s="545">
        <v>4907</v>
      </c>
      <c r="P22" s="530">
        <v>3.8038759689922479</v>
      </c>
      <c r="Q22" s="546">
        <v>701</v>
      </c>
    </row>
    <row r="23" spans="1:17" ht="14.4" customHeight="1" x14ac:dyDescent="0.3">
      <c r="A23" s="524" t="s">
        <v>1298</v>
      </c>
      <c r="B23" s="525" t="s">
        <v>418</v>
      </c>
      <c r="C23" s="525" t="s">
        <v>1267</v>
      </c>
      <c r="D23" s="525" t="s">
        <v>1301</v>
      </c>
      <c r="E23" s="525" t="s">
        <v>1302</v>
      </c>
      <c r="F23" s="545">
        <v>1</v>
      </c>
      <c r="G23" s="545">
        <v>99</v>
      </c>
      <c r="H23" s="525">
        <v>1</v>
      </c>
      <c r="I23" s="525">
        <v>99</v>
      </c>
      <c r="J23" s="545">
        <v>14</v>
      </c>
      <c r="K23" s="545">
        <v>1400</v>
      </c>
      <c r="L23" s="525">
        <v>14.141414141414142</v>
      </c>
      <c r="M23" s="525">
        <v>100</v>
      </c>
      <c r="N23" s="545">
        <v>96</v>
      </c>
      <c r="O23" s="545">
        <v>13536</v>
      </c>
      <c r="P23" s="530">
        <v>136.72727272727272</v>
      </c>
      <c r="Q23" s="546">
        <v>141</v>
      </c>
    </row>
    <row r="24" spans="1:17" ht="14.4" customHeight="1" x14ac:dyDescent="0.3">
      <c r="A24" s="524" t="s">
        <v>1298</v>
      </c>
      <c r="B24" s="525" t="s">
        <v>418</v>
      </c>
      <c r="C24" s="525" t="s">
        <v>1267</v>
      </c>
      <c r="D24" s="525" t="s">
        <v>1303</v>
      </c>
      <c r="E24" s="525" t="s">
        <v>1304</v>
      </c>
      <c r="F24" s="545">
        <v>14</v>
      </c>
      <c r="G24" s="545">
        <v>13160</v>
      </c>
      <c r="H24" s="525">
        <v>1</v>
      </c>
      <c r="I24" s="525">
        <v>940</v>
      </c>
      <c r="J24" s="545">
        <v>12</v>
      </c>
      <c r="K24" s="545">
        <v>11376</v>
      </c>
      <c r="L24" s="525">
        <v>0.86443768996960491</v>
      </c>
      <c r="M24" s="525">
        <v>948</v>
      </c>
      <c r="N24" s="545">
        <v>29</v>
      </c>
      <c r="O24" s="545">
        <v>27753</v>
      </c>
      <c r="P24" s="530">
        <v>2.1088905775075988</v>
      </c>
      <c r="Q24" s="546">
        <v>957</v>
      </c>
    </row>
    <row r="25" spans="1:17" ht="14.4" customHeight="1" x14ac:dyDescent="0.3">
      <c r="A25" s="524" t="s">
        <v>1298</v>
      </c>
      <c r="B25" s="525" t="s">
        <v>418</v>
      </c>
      <c r="C25" s="525" t="s">
        <v>1267</v>
      </c>
      <c r="D25" s="525" t="s">
        <v>1305</v>
      </c>
      <c r="E25" s="525" t="s">
        <v>1306</v>
      </c>
      <c r="F25" s="545"/>
      <c r="G25" s="545"/>
      <c r="H25" s="525"/>
      <c r="I25" s="525"/>
      <c r="J25" s="545"/>
      <c r="K25" s="545"/>
      <c r="L25" s="525"/>
      <c r="M25" s="525"/>
      <c r="N25" s="545">
        <v>54</v>
      </c>
      <c r="O25" s="545">
        <v>54432</v>
      </c>
      <c r="P25" s="530"/>
      <c r="Q25" s="546">
        <v>1008</v>
      </c>
    </row>
    <row r="26" spans="1:17" ht="14.4" customHeight="1" x14ac:dyDescent="0.3">
      <c r="A26" s="524" t="s">
        <v>1298</v>
      </c>
      <c r="B26" s="525" t="s">
        <v>418</v>
      </c>
      <c r="C26" s="525" t="s">
        <v>1267</v>
      </c>
      <c r="D26" s="525" t="s">
        <v>1278</v>
      </c>
      <c r="E26" s="525" t="s">
        <v>1279</v>
      </c>
      <c r="F26" s="545">
        <v>1</v>
      </c>
      <c r="G26" s="545">
        <v>0</v>
      </c>
      <c r="H26" s="525"/>
      <c r="I26" s="525">
        <v>0</v>
      </c>
      <c r="J26" s="545">
        <v>56</v>
      </c>
      <c r="K26" s="545">
        <v>0</v>
      </c>
      <c r="L26" s="525"/>
      <c r="M26" s="525">
        <v>0</v>
      </c>
      <c r="N26" s="545">
        <v>112</v>
      </c>
      <c r="O26" s="545">
        <v>3733.34</v>
      </c>
      <c r="P26" s="530"/>
      <c r="Q26" s="546">
        <v>33.333392857142861</v>
      </c>
    </row>
    <row r="27" spans="1:17" ht="14.4" customHeight="1" x14ac:dyDescent="0.3">
      <c r="A27" s="524" t="s">
        <v>1298</v>
      </c>
      <c r="B27" s="525" t="s">
        <v>418</v>
      </c>
      <c r="C27" s="525" t="s">
        <v>1267</v>
      </c>
      <c r="D27" s="525" t="s">
        <v>1307</v>
      </c>
      <c r="E27" s="525" t="s">
        <v>1308</v>
      </c>
      <c r="F27" s="545">
        <v>53</v>
      </c>
      <c r="G27" s="545">
        <v>28408</v>
      </c>
      <c r="H27" s="525">
        <v>1</v>
      </c>
      <c r="I27" s="525">
        <v>536</v>
      </c>
      <c r="J27" s="545">
        <v>59</v>
      </c>
      <c r="K27" s="545">
        <v>19824</v>
      </c>
      <c r="L27" s="525">
        <v>0.69783159673331452</v>
      </c>
      <c r="M27" s="525">
        <v>336</v>
      </c>
      <c r="N27" s="545">
        <v>49</v>
      </c>
      <c r="O27" s="545">
        <v>16905</v>
      </c>
      <c r="P27" s="530">
        <v>0.5950788510278795</v>
      </c>
      <c r="Q27" s="546">
        <v>345</v>
      </c>
    </row>
    <row r="28" spans="1:17" ht="14.4" customHeight="1" x14ac:dyDescent="0.3">
      <c r="A28" s="524" t="s">
        <v>1298</v>
      </c>
      <c r="B28" s="525" t="s">
        <v>418</v>
      </c>
      <c r="C28" s="525" t="s">
        <v>1267</v>
      </c>
      <c r="D28" s="525" t="s">
        <v>1309</v>
      </c>
      <c r="E28" s="525" t="s">
        <v>1310</v>
      </c>
      <c r="F28" s="545">
        <v>69</v>
      </c>
      <c r="G28" s="545">
        <v>40020</v>
      </c>
      <c r="H28" s="525">
        <v>1</v>
      </c>
      <c r="I28" s="525">
        <v>580</v>
      </c>
      <c r="J28" s="545">
        <v>15</v>
      </c>
      <c r="K28" s="545">
        <v>8790</v>
      </c>
      <c r="L28" s="525">
        <v>0.21964017991004497</v>
      </c>
      <c r="M28" s="525">
        <v>586</v>
      </c>
      <c r="N28" s="545"/>
      <c r="O28" s="545"/>
      <c r="P28" s="530"/>
      <c r="Q28" s="546"/>
    </row>
    <row r="29" spans="1:17" ht="14.4" customHeight="1" x14ac:dyDescent="0.3">
      <c r="A29" s="524" t="s">
        <v>1298</v>
      </c>
      <c r="B29" s="525" t="s">
        <v>418</v>
      </c>
      <c r="C29" s="525" t="s">
        <v>1267</v>
      </c>
      <c r="D29" s="525" t="s">
        <v>1288</v>
      </c>
      <c r="E29" s="525" t="s">
        <v>1289</v>
      </c>
      <c r="F29" s="545"/>
      <c r="G29" s="545"/>
      <c r="H29" s="525"/>
      <c r="I29" s="525"/>
      <c r="J29" s="545"/>
      <c r="K29" s="545"/>
      <c r="L29" s="525"/>
      <c r="M29" s="525"/>
      <c r="N29" s="545">
        <v>2</v>
      </c>
      <c r="O29" s="545">
        <v>148</v>
      </c>
      <c r="P29" s="530"/>
      <c r="Q29" s="546">
        <v>74</v>
      </c>
    </row>
    <row r="30" spans="1:17" ht="14.4" customHeight="1" x14ac:dyDescent="0.3">
      <c r="A30" s="524" t="s">
        <v>1298</v>
      </c>
      <c r="B30" s="525" t="s">
        <v>418</v>
      </c>
      <c r="C30" s="525" t="s">
        <v>1267</v>
      </c>
      <c r="D30" s="525" t="s">
        <v>1311</v>
      </c>
      <c r="E30" s="525" t="s">
        <v>1312</v>
      </c>
      <c r="F30" s="545">
        <v>1</v>
      </c>
      <c r="G30" s="545">
        <v>327</v>
      </c>
      <c r="H30" s="525">
        <v>1</v>
      </c>
      <c r="I30" s="525">
        <v>327</v>
      </c>
      <c r="J30" s="545">
        <v>1</v>
      </c>
      <c r="K30" s="545">
        <v>331</v>
      </c>
      <c r="L30" s="525">
        <v>1.0122324159021407</v>
      </c>
      <c r="M30" s="525">
        <v>331</v>
      </c>
      <c r="N30" s="545">
        <v>17</v>
      </c>
      <c r="O30" s="545">
        <v>6018</v>
      </c>
      <c r="P30" s="530">
        <v>18.403669724770641</v>
      </c>
      <c r="Q30" s="546">
        <v>354</v>
      </c>
    </row>
    <row r="31" spans="1:17" ht="14.4" customHeight="1" x14ac:dyDescent="0.3">
      <c r="A31" s="524" t="s">
        <v>1298</v>
      </c>
      <c r="B31" s="525" t="s">
        <v>418</v>
      </c>
      <c r="C31" s="525" t="s">
        <v>1267</v>
      </c>
      <c r="D31" s="525" t="s">
        <v>1290</v>
      </c>
      <c r="E31" s="525" t="s">
        <v>1291</v>
      </c>
      <c r="F31" s="545"/>
      <c r="G31" s="545"/>
      <c r="H31" s="525"/>
      <c r="I31" s="525"/>
      <c r="J31" s="545">
        <v>3</v>
      </c>
      <c r="K31" s="545">
        <v>630</v>
      </c>
      <c r="L31" s="525"/>
      <c r="M31" s="525">
        <v>210</v>
      </c>
      <c r="N31" s="545">
        <v>103</v>
      </c>
      <c r="O31" s="545">
        <v>22866</v>
      </c>
      <c r="P31" s="530"/>
      <c r="Q31" s="546">
        <v>222</v>
      </c>
    </row>
    <row r="32" spans="1:17" ht="14.4" customHeight="1" x14ac:dyDescent="0.3">
      <c r="A32" s="524" t="s">
        <v>1298</v>
      </c>
      <c r="B32" s="525" t="s">
        <v>418</v>
      </c>
      <c r="C32" s="525" t="s">
        <v>1267</v>
      </c>
      <c r="D32" s="525" t="s">
        <v>1292</v>
      </c>
      <c r="E32" s="525" t="s">
        <v>1293</v>
      </c>
      <c r="F32" s="545"/>
      <c r="G32" s="545"/>
      <c r="H32" s="525"/>
      <c r="I32" s="525"/>
      <c r="J32" s="545">
        <v>3</v>
      </c>
      <c r="K32" s="545">
        <v>231</v>
      </c>
      <c r="L32" s="525"/>
      <c r="M32" s="525">
        <v>77</v>
      </c>
      <c r="N32" s="545">
        <v>101</v>
      </c>
      <c r="O32" s="545">
        <v>7777</v>
      </c>
      <c r="P32" s="530"/>
      <c r="Q32" s="546">
        <v>77</v>
      </c>
    </row>
    <row r="33" spans="1:17" ht="14.4" customHeight="1" x14ac:dyDescent="0.3">
      <c r="A33" s="524" t="s">
        <v>1298</v>
      </c>
      <c r="B33" s="525" t="s">
        <v>418</v>
      </c>
      <c r="C33" s="525" t="s">
        <v>1267</v>
      </c>
      <c r="D33" s="525" t="s">
        <v>1313</v>
      </c>
      <c r="E33" s="525" t="s">
        <v>1314</v>
      </c>
      <c r="F33" s="545"/>
      <c r="G33" s="545"/>
      <c r="H33" s="525"/>
      <c r="I33" s="525"/>
      <c r="J33" s="545">
        <v>47</v>
      </c>
      <c r="K33" s="545">
        <v>7755</v>
      </c>
      <c r="L33" s="525"/>
      <c r="M33" s="525">
        <v>165</v>
      </c>
      <c r="N33" s="545">
        <v>96</v>
      </c>
      <c r="O33" s="545">
        <v>16992</v>
      </c>
      <c r="P33" s="530"/>
      <c r="Q33" s="546">
        <v>177</v>
      </c>
    </row>
    <row r="34" spans="1:17" ht="14.4" customHeight="1" x14ac:dyDescent="0.3">
      <c r="A34" s="524" t="s">
        <v>1298</v>
      </c>
      <c r="B34" s="525" t="s">
        <v>418</v>
      </c>
      <c r="C34" s="525" t="s">
        <v>1267</v>
      </c>
      <c r="D34" s="525" t="s">
        <v>1296</v>
      </c>
      <c r="E34" s="525" t="s">
        <v>1297</v>
      </c>
      <c r="F34" s="545"/>
      <c r="G34" s="545"/>
      <c r="H34" s="525"/>
      <c r="I34" s="525"/>
      <c r="J34" s="545"/>
      <c r="K34" s="545"/>
      <c r="L34" s="525"/>
      <c r="M34" s="525"/>
      <c r="N34" s="545">
        <v>1</v>
      </c>
      <c r="O34" s="545">
        <v>59</v>
      </c>
      <c r="P34" s="530"/>
      <c r="Q34" s="546">
        <v>59</v>
      </c>
    </row>
    <row r="35" spans="1:17" ht="14.4" customHeight="1" x14ac:dyDescent="0.3">
      <c r="A35" s="524" t="s">
        <v>1315</v>
      </c>
      <c r="B35" s="525" t="s">
        <v>418</v>
      </c>
      <c r="C35" s="525" t="s">
        <v>1267</v>
      </c>
      <c r="D35" s="525" t="s">
        <v>1316</v>
      </c>
      <c r="E35" s="525" t="s">
        <v>1317</v>
      </c>
      <c r="F35" s="545">
        <v>2</v>
      </c>
      <c r="G35" s="545">
        <v>312</v>
      </c>
      <c r="H35" s="525">
        <v>1</v>
      </c>
      <c r="I35" s="525">
        <v>156</v>
      </c>
      <c r="J35" s="545"/>
      <c r="K35" s="545"/>
      <c r="L35" s="525"/>
      <c r="M35" s="525"/>
      <c r="N35" s="545"/>
      <c r="O35" s="545"/>
      <c r="P35" s="530"/>
      <c r="Q35" s="546"/>
    </row>
    <row r="36" spans="1:17" ht="14.4" customHeight="1" x14ac:dyDescent="0.3">
      <c r="A36" s="524" t="s">
        <v>1315</v>
      </c>
      <c r="B36" s="525" t="s">
        <v>418</v>
      </c>
      <c r="C36" s="525" t="s">
        <v>1267</v>
      </c>
      <c r="D36" s="525" t="s">
        <v>1268</v>
      </c>
      <c r="E36" s="525" t="s">
        <v>1269</v>
      </c>
      <c r="F36" s="545">
        <v>59</v>
      </c>
      <c r="G36" s="545">
        <v>2006</v>
      </c>
      <c r="H36" s="525">
        <v>1</v>
      </c>
      <c r="I36" s="525">
        <v>34</v>
      </c>
      <c r="J36" s="545">
        <v>31</v>
      </c>
      <c r="K36" s="545">
        <v>1085</v>
      </c>
      <c r="L36" s="525">
        <v>0.54087736789631102</v>
      </c>
      <c r="M36" s="525">
        <v>35</v>
      </c>
      <c r="N36" s="545">
        <v>32</v>
      </c>
      <c r="O36" s="545">
        <v>1184</v>
      </c>
      <c r="P36" s="530">
        <v>0.59022931206380858</v>
      </c>
      <c r="Q36" s="546">
        <v>37</v>
      </c>
    </row>
    <row r="37" spans="1:17" ht="14.4" customHeight="1" x14ac:dyDescent="0.3">
      <c r="A37" s="524" t="s">
        <v>1315</v>
      </c>
      <c r="B37" s="525" t="s">
        <v>418</v>
      </c>
      <c r="C37" s="525" t="s">
        <v>1267</v>
      </c>
      <c r="D37" s="525" t="s">
        <v>1270</v>
      </c>
      <c r="E37" s="525" t="s">
        <v>1271</v>
      </c>
      <c r="F37" s="545"/>
      <c r="G37" s="545"/>
      <c r="H37" s="525"/>
      <c r="I37" s="525"/>
      <c r="J37" s="545">
        <v>5</v>
      </c>
      <c r="K37" s="545">
        <v>670</v>
      </c>
      <c r="L37" s="525"/>
      <c r="M37" s="525">
        <v>134</v>
      </c>
      <c r="N37" s="545"/>
      <c r="O37" s="545"/>
      <c r="P37" s="530"/>
      <c r="Q37" s="546"/>
    </row>
    <row r="38" spans="1:17" ht="14.4" customHeight="1" x14ac:dyDescent="0.3">
      <c r="A38" s="524" t="s">
        <v>1315</v>
      </c>
      <c r="B38" s="525" t="s">
        <v>418</v>
      </c>
      <c r="C38" s="525" t="s">
        <v>1267</v>
      </c>
      <c r="D38" s="525" t="s">
        <v>1318</v>
      </c>
      <c r="E38" s="525" t="s">
        <v>1319</v>
      </c>
      <c r="F38" s="545"/>
      <c r="G38" s="545"/>
      <c r="H38" s="525"/>
      <c r="I38" s="525"/>
      <c r="J38" s="545">
        <v>8</v>
      </c>
      <c r="K38" s="545">
        <v>7640</v>
      </c>
      <c r="L38" s="525"/>
      <c r="M38" s="525">
        <v>955</v>
      </c>
      <c r="N38" s="545"/>
      <c r="O38" s="545"/>
      <c r="P38" s="530"/>
      <c r="Q38" s="546"/>
    </row>
    <row r="39" spans="1:17" ht="14.4" customHeight="1" x14ac:dyDescent="0.3">
      <c r="A39" s="524" t="s">
        <v>1315</v>
      </c>
      <c r="B39" s="525" t="s">
        <v>418</v>
      </c>
      <c r="C39" s="525" t="s">
        <v>1267</v>
      </c>
      <c r="D39" s="525" t="s">
        <v>1276</v>
      </c>
      <c r="E39" s="525" t="s">
        <v>1277</v>
      </c>
      <c r="F39" s="545"/>
      <c r="G39" s="545"/>
      <c r="H39" s="525"/>
      <c r="I39" s="525"/>
      <c r="J39" s="545">
        <v>2</v>
      </c>
      <c r="K39" s="545">
        <v>876</v>
      </c>
      <c r="L39" s="525"/>
      <c r="M39" s="525">
        <v>438</v>
      </c>
      <c r="N39" s="545"/>
      <c r="O39" s="545"/>
      <c r="P39" s="530"/>
      <c r="Q39" s="546"/>
    </row>
    <row r="40" spans="1:17" ht="14.4" customHeight="1" x14ac:dyDescent="0.3">
      <c r="A40" s="524" t="s">
        <v>1315</v>
      </c>
      <c r="B40" s="525" t="s">
        <v>418</v>
      </c>
      <c r="C40" s="525" t="s">
        <v>1267</v>
      </c>
      <c r="D40" s="525" t="s">
        <v>1278</v>
      </c>
      <c r="E40" s="525" t="s">
        <v>1279</v>
      </c>
      <c r="F40" s="545">
        <v>58</v>
      </c>
      <c r="G40" s="545">
        <v>0</v>
      </c>
      <c r="H40" s="525"/>
      <c r="I40" s="525">
        <v>0</v>
      </c>
      <c r="J40" s="545"/>
      <c r="K40" s="545"/>
      <c r="L40" s="525"/>
      <c r="M40" s="525"/>
      <c r="N40" s="545">
        <v>12</v>
      </c>
      <c r="O40" s="545">
        <v>399.97999999999996</v>
      </c>
      <c r="P40" s="530"/>
      <c r="Q40" s="546">
        <v>33.331666666666663</v>
      </c>
    </row>
    <row r="41" spans="1:17" ht="14.4" customHeight="1" x14ac:dyDescent="0.3">
      <c r="A41" s="524" t="s">
        <v>1315</v>
      </c>
      <c r="B41" s="525" t="s">
        <v>418</v>
      </c>
      <c r="C41" s="525" t="s">
        <v>1267</v>
      </c>
      <c r="D41" s="525" t="s">
        <v>1280</v>
      </c>
      <c r="E41" s="525" t="s">
        <v>1281</v>
      </c>
      <c r="F41" s="545">
        <v>26</v>
      </c>
      <c r="G41" s="545">
        <v>910</v>
      </c>
      <c r="H41" s="525">
        <v>1</v>
      </c>
      <c r="I41" s="525">
        <v>35</v>
      </c>
      <c r="J41" s="545">
        <v>11</v>
      </c>
      <c r="K41" s="545">
        <v>396</v>
      </c>
      <c r="L41" s="525">
        <v>0.43516483516483517</v>
      </c>
      <c r="M41" s="525">
        <v>36</v>
      </c>
      <c r="N41" s="545">
        <v>20</v>
      </c>
      <c r="O41" s="545">
        <v>740</v>
      </c>
      <c r="P41" s="530">
        <v>0.81318681318681318</v>
      </c>
      <c r="Q41" s="546">
        <v>37</v>
      </c>
    </row>
    <row r="42" spans="1:17" ht="14.4" customHeight="1" x14ac:dyDescent="0.3">
      <c r="A42" s="524" t="s">
        <v>1315</v>
      </c>
      <c r="B42" s="525" t="s">
        <v>418</v>
      </c>
      <c r="C42" s="525" t="s">
        <v>1267</v>
      </c>
      <c r="D42" s="525" t="s">
        <v>1282</v>
      </c>
      <c r="E42" s="525" t="s">
        <v>1283</v>
      </c>
      <c r="F42" s="545"/>
      <c r="G42" s="545"/>
      <c r="H42" s="525"/>
      <c r="I42" s="525"/>
      <c r="J42" s="545">
        <v>1</v>
      </c>
      <c r="K42" s="545">
        <v>125</v>
      </c>
      <c r="L42" s="525"/>
      <c r="M42" s="525">
        <v>125</v>
      </c>
      <c r="N42" s="545"/>
      <c r="O42" s="545"/>
      <c r="P42" s="530"/>
      <c r="Q42" s="546"/>
    </row>
    <row r="43" spans="1:17" ht="14.4" customHeight="1" x14ac:dyDescent="0.3">
      <c r="A43" s="524" t="s">
        <v>1315</v>
      </c>
      <c r="B43" s="525" t="s">
        <v>418</v>
      </c>
      <c r="C43" s="525" t="s">
        <v>1267</v>
      </c>
      <c r="D43" s="525" t="s">
        <v>1320</v>
      </c>
      <c r="E43" s="525" t="s">
        <v>1321</v>
      </c>
      <c r="F43" s="545">
        <v>1</v>
      </c>
      <c r="G43" s="545">
        <v>30</v>
      </c>
      <c r="H43" s="525">
        <v>1</v>
      </c>
      <c r="I43" s="525">
        <v>30</v>
      </c>
      <c r="J43" s="545"/>
      <c r="K43" s="545"/>
      <c r="L43" s="525"/>
      <c r="M43" s="525"/>
      <c r="N43" s="545"/>
      <c r="O43" s="545"/>
      <c r="P43" s="530"/>
      <c r="Q43" s="546"/>
    </row>
    <row r="44" spans="1:17" ht="14.4" customHeight="1" x14ac:dyDescent="0.3">
      <c r="A44" s="524" t="s">
        <v>1315</v>
      </c>
      <c r="B44" s="525" t="s">
        <v>418</v>
      </c>
      <c r="C44" s="525" t="s">
        <v>1267</v>
      </c>
      <c r="D44" s="525" t="s">
        <v>1284</v>
      </c>
      <c r="E44" s="525" t="s">
        <v>1285</v>
      </c>
      <c r="F44" s="545"/>
      <c r="G44" s="545"/>
      <c r="H44" s="525"/>
      <c r="I44" s="525"/>
      <c r="J44" s="545">
        <v>3</v>
      </c>
      <c r="K44" s="545">
        <v>1959</v>
      </c>
      <c r="L44" s="525"/>
      <c r="M44" s="525">
        <v>653</v>
      </c>
      <c r="N44" s="545"/>
      <c r="O44" s="545"/>
      <c r="P44" s="530"/>
      <c r="Q44" s="546"/>
    </row>
    <row r="45" spans="1:17" ht="14.4" customHeight="1" x14ac:dyDescent="0.3">
      <c r="A45" s="524" t="s">
        <v>1315</v>
      </c>
      <c r="B45" s="525" t="s">
        <v>418</v>
      </c>
      <c r="C45" s="525" t="s">
        <v>1267</v>
      </c>
      <c r="D45" s="525" t="s">
        <v>1322</v>
      </c>
      <c r="E45" s="525" t="s">
        <v>1323</v>
      </c>
      <c r="F45" s="545">
        <v>12</v>
      </c>
      <c r="G45" s="545">
        <v>1956</v>
      </c>
      <c r="H45" s="525">
        <v>1</v>
      </c>
      <c r="I45" s="525">
        <v>163</v>
      </c>
      <c r="J45" s="545">
        <v>18</v>
      </c>
      <c r="K45" s="545">
        <v>2970</v>
      </c>
      <c r="L45" s="525">
        <v>1.51840490797546</v>
      </c>
      <c r="M45" s="525">
        <v>165</v>
      </c>
      <c r="N45" s="545">
        <v>27</v>
      </c>
      <c r="O45" s="545">
        <v>4779</v>
      </c>
      <c r="P45" s="530">
        <v>2.4432515337423313</v>
      </c>
      <c r="Q45" s="546">
        <v>177</v>
      </c>
    </row>
    <row r="46" spans="1:17" ht="14.4" customHeight="1" x14ac:dyDescent="0.3">
      <c r="A46" s="524" t="s">
        <v>1315</v>
      </c>
      <c r="B46" s="525" t="s">
        <v>418</v>
      </c>
      <c r="C46" s="525" t="s">
        <v>1267</v>
      </c>
      <c r="D46" s="525" t="s">
        <v>1309</v>
      </c>
      <c r="E46" s="525" t="s">
        <v>1310</v>
      </c>
      <c r="F46" s="545"/>
      <c r="G46" s="545"/>
      <c r="H46" s="525"/>
      <c r="I46" s="525"/>
      <c r="J46" s="545">
        <v>5</v>
      </c>
      <c r="K46" s="545">
        <v>2930</v>
      </c>
      <c r="L46" s="525"/>
      <c r="M46" s="525">
        <v>586</v>
      </c>
      <c r="N46" s="545"/>
      <c r="O46" s="545"/>
      <c r="P46" s="530"/>
      <c r="Q46" s="546"/>
    </row>
    <row r="47" spans="1:17" ht="14.4" customHeight="1" x14ac:dyDescent="0.3">
      <c r="A47" s="524" t="s">
        <v>1315</v>
      </c>
      <c r="B47" s="525" t="s">
        <v>418</v>
      </c>
      <c r="C47" s="525" t="s">
        <v>1267</v>
      </c>
      <c r="D47" s="525" t="s">
        <v>1288</v>
      </c>
      <c r="E47" s="525" t="s">
        <v>1289</v>
      </c>
      <c r="F47" s="545">
        <v>9</v>
      </c>
      <c r="G47" s="545">
        <v>621</v>
      </c>
      <c r="H47" s="525">
        <v>1</v>
      </c>
      <c r="I47" s="525">
        <v>69</v>
      </c>
      <c r="J47" s="545">
        <v>1</v>
      </c>
      <c r="K47" s="545">
        <v>70</v>
      </c>
      <c r="L47" s="525">
        <v>0.11272141706924316</v>
      </c>
      <c r="M47" s="525">
        <v>70</v>
      </c>
      <c r="N47" s="545"/>
      <c r="O47" s="545"/>
      <c r="P47" s="530"/>
      <c r="Q47" s="546"/>
    </row>
    <row r="48" spans="1:17" ht="14.4" customHeight="1" x14ac:dyDescent="0.3">
      <c r="A48" s="524" t="s">
        <v>1315</v>
      </c>
      <c r="B48" s="525" t="s">
        <v>418</v>
      </c>
      <c r="C48" s="525" t="s">
        <v>1267</v>
      </c>
      <c r="D48" s="525" t="s">
        <v>1290</v>
      </c>
      <c r="E48" s="525" t="s">
        <v>1291</v>
      </c>
      <c r="F48" s="545">
        <v>61</v>
      </c>
      <c r="G48" s="545">
        <v>12566</v>
      </c>
      <c r="H48" s="525">
        <v>1</v>
      </c>
      <c r="I48" s="525">
        <v>206</v>
      </c>
      <c r="J48" s="545">
        <v>4</v>
      </c>
      <c r="K48" s="545">
        <v>840</v>
      </c>
      <c r="L48" s="525">
        <v>6.6847047588731501E-2</v>
      </c>
      <c r="M48" s="525">
        <v>210</v>
      </c>
      <c r="N48" s="545">
        <v>37</v>
      </c>
      <c r="O48" s="545">
        <v>8214</v>
      </c>
      <c r="P48" s="530">
        <v>0.65366862963552441</v>
      </c>
      <c r="Q48" s="546">
        <v>222</v>
      </c>
    </row>
    <row r="49" spans="1:17" ht="14.4" customHeight="1" x14ac:dyDescent="0.3">
      <c r="A49" s="524" t="s">
        <v>1315</v>
      </c>
      <c r="B49" s="525" t="s">
        <v>418</v>
      </c>
      <c r="C49" s="525" t="s">
        <v>1267</v>
      </c>
      <c r="D49" s="525" t="s">
        <v>1292</v>
      </c>
      <c r="E49" s="525" t="s">
        <v>1293</v>
      </c>
      <c r="F49" s="545">
        <v>170</v>
      </c>
      <c r="G49" s="545">
        <v>12920</v>
      </c>
      <c r="H49" s="525">
        <v>1</v>
      </c>
      <c r="I49" s="525">
        <v>76</v>
      </c>
      <c r="J49" s="545">
        <v>47</v>
      </c>
      <c r="K49" s="545">
        <v>3619</v>
      </c>
      <c r="L49" s="525">
        <v>0.28010835913312693</v>
      </c>
      <c r="M49" s="525">
        <v>77</v>
      </c>
      <c r="N49" s="545">
        <v>35</v>
      </c>
      <c r="O49" s="545">
        <v>2695</v>
      </c>
      <c r="P49" s="530">
        <v>0.20859133126934984</v>
      </c>
      <c r="Q49" s="546">
        <v>77</v>
      </c>
    </row>
    <row r="50" spans="1:17" ht="14.4" customHeight="1" x14ac:dyDescent="0.3">
      <c r="A50" s="524" t="s">
        <v>1315</v>
      </c>
      <c r="B50" s="525" t="s">
        <v>418</v>
      </c>
      <c r="C50" s="525" t="s">
        <v>1267</v>
      </c>
      <c r="D50" s="525" t="s">
        <v>1324</v>
      </c>
      <c r="E50" s="525" t="s">
        <v>1325</v>
      </c>
      <c r="F50" s="545">
        <v>1</v>
      </c>
      <c r="G50" s="545">
        <v>56</v>
      </c>
      <c r="H50" s="525">
        <v>1</v>
      </c>
      <c r="I50" s="525">
        <v>56</v>
      </c>
      <c r="J50" s="545"/>
      <c r="K50" s="545"/>
      <c r="L50" s="525"/>
      <c r="M50" s="525"/>
      <c r="N50" s="545"/>
      <c r="O50" s="545"/>
      <c r="P50" s="530"/>
      <c r="Q50" s="546"/>
    </row>
    <row r="51" spans="1:17" ht="14.4" customHeight="1" x14ac:dyDescent="0.3">
      <c r="A51" s="524" t="s">
        <v>1315</v>
      </c>
      <c r="B51" s="525" t="s">
        <v>418</v>
      </c>
      <c r="C51" s="525" t="s">
        <v>1267</v>
      </c>
      <c r="D51" s="525" t="s">
        <v>1294</v>
      </c>
      <c r="E51" s="525" t="s">
        <v>1295</v>
      </c>
      <c r="F51" s="545">
        <v>41</v>
      </c>
      <c r="G51" s="545">
        <v>8446</v>
      </c>
      <c r="H51" s="525">
        <v>1</v>
      </c>
      <c r="I51" s="525">
        <v>206</v>
      </c>
      <c r="J51" s="545">
        <v>10</v>
      </c>
      <c r="K51" s="545">
        <v>2100</v>
      </c>
      <c r="L51" s="525">
        <v>0.24863840871418422</v>
      </c>
      <c r="M51" s="525">
        <v>210</v>
      </c>
      <c r="N51" s="545"/>
      <c r="O51" s="545"/>
      <c r="P51" s="530"/>
      <c r="Q51" s="546"/>
    </row>
    <row r="52" spans="1:17" ht="14.4" customHeight="1" x14ac:dyDescent="0.3">
      <c r="A52" s="524" t="s">
        <v>1315</v>
      </c>
      <c r="B52" s="525" t="s">
        <v>418</v>
      </c>
      <c r="C52" s="525" t="s">
        <v>1267</v>
      </c>
      <c r="D52" s="525" t="s">
        <v>1296</v>
      </c>
      <c r="E52" s="525" t="s">
        <v>1297</v>
      </c>
      <c r="F52" s="545">
        <v>7</v>
      </c>
      <c r="G52" s="545">
        <v>392</v>
      </c>
      <c r="H52" s="525">
        <v>1</v>
      </c>
      <c r="I52" s="525">
        <v>56</v>
      </c>
      <c r="J52" s="545"/>
      <c r="K52" s="545"/>
      <c r="L52" s="525"/>
      <c r="M52" s="525"/>
      <c r="N52" s="545">
        <v>9</v>
      </c>
      <c r="O52" s="545">
        <v>531</v>
      </c>
      <c r="P52" s="530">
        <v>1.3545918367346939</v>
      </c>
      <c r="Q52" s="546">
        <v>59</v>
      </c>
    </row>
    <row r="53" spans="1:17" ht="14.4" customHeight="1" x14ac:dyDescent="0.3">
      <c r="A53" s="524" t="s">
        <v>1315</v>
      </c>
      <c r="B53" s="525" t="s">
        <v>418</v>
      </c>
      <c r="C53" s="525" t="s">
        <v>1267</v>
      </c>
      <c r="D53" s="525" t="s">
        <v>1326</v>
      </c>
      <c r="E53" s="525" t="s">
        <v>1327</v>
      </c>
      <c r="F53" s="545">
        <v>51</v>
      </c>
      <c r="G53" s="545">
        <v>16677</v>
      </c>
      <c r="H53" s="525">
        <v>1</v>
      </c>
      <c r="I53" s="525">
        <v>327</v>
      </c>
      <c r="J53" s="545">
        <v>36</v>
      </c>
      <c r="K53" s="545">
        <v>11916</v>
      </c>
      <c r="L53" s="525">
        <v>0.71451699946033465</v>
      </c>
      <c r="M53" s="525">
        <v>331</v>
      </c>
      <c r="N53" s="545">
        <v>7</v>
      </c>
      <c r="O53" s="545">
        <v>2478</v>
      </c>
      <c r="P53" s="530">
        <v>0.14858787551717934</v>
      </c>
      <c r="Q53" s="546">
        <v>354</v>
      </c>
    </row>
    <row r="54" spans="1:17" ht="14.4" customHeight="1" x14ac:dyDescent="0.3">
      <c r="A54" s="524" t="s">
        <v>1315</v>
      </c>
      <c r="B54" s="525" t="s">
        <v>418</v>
      </c>
      <c r="C54" s="525" t="s">
        <v>1267</v>
      </c>
      <c r="D54" s="525" t="s">
        <v>1328</v>
      </c>
      <c r="E54" s="525" t="s">
        <v>1329</v>
      </c>
      <c r="F54" s="545">
        <v>5</v>
      </c>
      <c r="G54" s="545">
        <v>3225</v>
      </c>
      <c r="H54" s="525">
        <v>1</v>
      </c>
      <c r="I54" s="525">
        <v>645</v>
      </c>
      <c r="J54" s="545">
        <v>8</v>
      </c>
      <c r="K54" s="545">
        <v>5224</v>
      </c>
      <c r="L54" s="525">
        <v>1.6198449612403101</v>
      </c>
      <c r="M54" s="525">
        <v>653</v>
      </c>
      <c r="N54" s="545">
        <v>1</v>
      </c>
      <c r="O54" s="545">
        <v>701</v>
      </c>
      <c r="P54" s="530">
        <v>0.21736434108527131</v>
      </c>
      <c r="Q54" s="546">
        <v>701</v>
      </c>
    </row>
    <row r="55" spans="1:17" ht="14.4" customHeight="1" x14ac:dyDescent="0.3">
      <c r="A55" s="524" t="s">
        <v>1330</v>
      </c>
      <c r="B55" s="525" t="s">
        <v>418</v>
      </c>
      <c r="C55" s="525" t="s">
        <v>1267</v>
      </c>
      <c r="D55" s="525" t="s">
        <v>1268</v>
      </c>
      <c r="E55" s="525" t="s">
        <v>1269</v>
      </c>
      <c r="F55" s="545"/>
      <c r="G55" s="545"/>
      <c r="H55" s="525"/>
      <c r="I55" s="525"/>
      <c r="J55" s="545">
        <v>1</v>
      </c>
      <c r="K55" s="545">
        <v>35</v>
      </c>
      <c r="L55" s="525"/>
      <c r="M55" s="525">
        <v>35</v>
      </c>
      <c r="N55" s="545"/>
      <c r="O55" s="545"/>
      <c r="P55" s="530"/>
      <c r="Q55" s="546"/>
    </row>
    <row r="56" spans="1:17" ht="14.4" customHeight="1" x14ac:dyDescent="0.3">
      <c r="A56" s="524" t="s">
        <v>1330</v>
      </c>
      <c r="B56" s="525" t="s">
        <v>418</v>
      </c>
      <c r="C56" s="525" t="s">
        <v>1267</v>
      </c>
      <c r="D56" s="525" t="s">
        <v>1331</v>
      </c>
      <c r="E56" s="525" t="s">
        <v>1332</v>
      </c>
      <c r="F56" s="545">
        <v>52</v>
      </c>
      <c r="G56" s="545">
        <v>8476</v>
      </c>
      <c r="H56" s="525">
        <v>1</v>
      </c>
      <c r="I56" s="525">
        <v>163</v>
      </c>
      <c r="J56" s="545">
        <v>46</v>
      </c>
      <c r="K56" s="545">
        <v>7590</v>
      </c>
      <c r="L56" s="525">
        <v>0.89546956111373288</v>
      </c>
      <c r="M56" s="525">
        <v>165</v>
      </c>
      <c r="N56" s="545">
        <v>32</v>
      </c>
      <c r="O56" s="545">
        <v>5664</v>
      </c>
      <c r="P56" s="530">
        <v>0.66823973572439832</v>
      </c>
      <c r="Q56" s="546">
        <v>177</v>
      </c>
    </row>
    <row r="57" spans="1:17" ht="14.4" customHeight="1" x14ac:dyDescent="0.3">
      <c r="A57" s="524" t="s">
        <v>1330</v>
      </c>
      <c r="B57" s="525" t="s">
        <v>418</v>
      </c>
      <c r="C57" s="525" t="s">
        <v>1267</v>
      </c>
      <c r="D57" s="525" t="s">
        <v>1278</v>
      </c>
      <c r="E57" s="525" t="s">
        <v>1279</v>
      </c>
      <c r="F57" s="545"/>
      <c r="G57" s="545"/>
      <c r="H57" s="525"/>
      <c r="I57" s="525"/>
      <c r="J57" s="545"/>
      <c r="K57" s="545"/>
      <c r="L57" s="525"/>
      <c r="M57" s="525"/>
      <c r="N57" s="545">
        <v>3</v>
      </c>
      <c r="O57" s="545">
        <v>99.99</v>
      </c>
      <c r="P57" s="530"/>
      <c r="Q57" s="546">
        <v>33.33</v>
      </c>
    </row>
    <row r="58" spans="1:17" ht="14.4" customHeight="1" x14ac:dyDescent="0.3">
      <c r="A58" s="524" t="s">
        <v>1330</v>
      </c>
      <c r="B58" s="525" t="s">
        <v>418</v>
      </c>
      <c r="C58" s="525" t="s">
        <v>1267</v>
      </c>
      <c r="D58" s="525" t="s">
        <v>1333</v>
      </c>
      <c r="E58" s="525" t="s">
        <v>1334</v>
      </c>
      <c r="F58" s="545">
        <v>2</v>
      </c>
      <c r="G58" s="545">
        <v>212</v>
      </c>
      <c r="H58" s="525">
        <v>1</v>
      </c>
      <c r="I58" s="525">
        <v>106</v>
      </c>
      <c r="J58" s="545">
        <v>2</v>
      </c>
      <c r="K58" s="545">
        <v>216</v>
      </c>
      <c r="L58" s="525">
        <v>1.0188679245283019</v>
      </c>
      <c r="M58" s="525">
        <v>108</v>
      </c>
      <c r="N58" s="545">
        <v>2</v>
      </c>
      <c r="O58" s="545">
        <v>232</v>
      </c>
      <c r="P58" s="530">
        <v>1.0943396226415094</v>
      </c>
      <c r="Q58" s="546">
        <v>116</v>
      </c>
    </row>
    <row r="59" spans="1:17" ht="14.4" customHeight="1" x14ac:dyDescent="0.3">
      <c r="A59" s="524" t="s">
        <v>1330</v>
      </c>
      <c r="B59" s="525" t="s">
        <v>418</v>
      </c>
      <c r="C59" s="525" t="s">
        <v>1267</v>
      </c>
      <c r="D59" s="525" t="s">
        <v>1280</v>
      </c>
      <c r="E59" s="525" t="s">
        <v>1281</v>
      </c>
      <c r="F59" s="545"/>
      <c r="G59" s="545"/>
      <c r="H59" s="525"/>
      <c r="I59" s="525"/>
      <c r="J59" s="545">
        <v>1</v>
      </c>
      <c r="K59" s="545">
        <v>36</v>
      </c>
      <c r="L59" s="525"/>
      <c r="M59" s="525">
        <v>36</v>
      </c>
      <c r="N59" s="545"/>
      <c r="O59" s="545"/>
      <c r="P59" s="530"/>
      <c r="Q59" s="546"/>
    </row>
    <row r="60" spans="1:17" ht="14.4" customHeight="1" x14ac:dyDescent="0.3">
      <c r="A60" s="524" t="s">
        <v>1330</v>
      </c>
      <c r="B60" s="525" t="s">
        <v>418</v>
      </c>
      <c r="C60" s="525" t="s">
        <v>1267</v>
      </c>
      <c r="D60" s="525" t="s">
        <v>1335</v>
      </c>
      <c r="E60" s="525" t="s">
        <v>1336</v>
      </c>
      <c r="F60" s="545">
        <v>8</v>
      </c>
      <c r="G60" s="545">
        <v>2616</v>
      </c>
      <c r="H60" s="525">
        <v>1</v>
      </c>
      <c r="I60" s="525">
        <v>327</v>
      </c>
      <c r="J60" s="545"/>
      <c r="K60" s="545"/>
      <c r="L60" s="525"/>
      <c r="M60" s="525"/>
      <c r="N60" s="545">
        <v>8</v>
      </c>
      <c r="O60" s="545">
        <v>2832</v>
      </c>
      <c r="P60" s="530">
        <v>1.0825688073394495</v>
      </c>
      <c r="Q60" s="546">
        <v>354</v>
      </c>
    </row>
    <row r="61" spans="1:17" ht="14.4" customHeight="1" x14ac:dyDescent="0.3">
      <c r="A61" s="524" t="s">
        <v>1330</v>
      </c>
      <c r="B61" s="525" t="s">
        <v>418</v>
      </c>
      <c r="C61" s="525" t="s">
        <v>1267</v>
      </c>
      <c r="D61" s="525" t="s">
        <v>1337</v>
      </c>
      <c r="E61" s="525" t="s">
        <v>1338</v>
      </c>
      <c r="F61" s="545">
        <v>26</v>
      </c>
      <c r="G61" s="545">
        <v>16770</v>
      </c>
      <c r="H61" s="525">
        <v>1</v>
      </c>
      <c r="I61" s="525">
        <v>645</v>
      </c>
      <c r="J61" s="545">
        <v>16</v>
      </c>
      <c r="K61" s="545">
        <v>10448</v>
      </c>
      <c r="L61" s="525">
        <v>0.62301729278473461</v>
      </c>
      <c r="M61" s="525">
        <v>653</v>
      </c>
      <c r="N61" s="545">
        <v>23</v>
      </c>
      <c r="O61" s="545">
        <v>16123</v>
      </c>
      <c r="P61" s="530">
        <v>0.96141920095408473</v>
      </c>
      <c r="Q61" s="546">
        <v>701</v>
      </c>
    </row>
    <row r="62" spans="1:17" ht="14.4" customHeight="1" x14ac:dyDescent="0.3">
      <c r="A62" s="524" t="s">
        <v>1330</v>
      </c>
      <c r="B62" s="525" t="s">
        <v>418</v>
      </c>
      <c r="C62" s="525" t="s">
        <v>1267</v>
      </c>
      <c r="D62" s="525" t="s">
        <v>1290</v>
      </c>
      <c r="E62" s="525" t="s">
        <v>1291</v>
      </c>
      <c r="F62" s="545">
        <v>4</v>
      </c>
      <c r="G62" s="545">
        <v>824</v>
      </c>
      <c r="H62" s="525">
        <v>1</v>
      </c>
      <c r="I62" s="525">
        <v>206</v>
      </c>
      <c r="J62" s="545">
        <v>1</v>
      </c>
      <c r="K62" s="545">
        <v>210</v>
      </c>
      <c r="L62" s="525">
        <v>0.25485436893203883</v>
      </c>
      <c r="M62" s="525">
        <v>210</v>
      </c>
      <c r="N62" s="545">
        <v>11</v>
      </c>
      <c r="O62" s="545">
        <v>2442</v>
      </c>
      <c r="P62" s="530">
        <v>2.9635922330097086</v>
      </c>
      <c r="Q62" s="546">
        <v>222</v>
      </c>
    </row>
    <row r="63" spans="1:17" ht="14.4" customHeight="1" x14ac:dyDescent="0.3">
      <c r="A63" s="524" t="s">
        <v>1330</v>
      </c>
      <c r="B63" s="525" t="s">
        <v>418</v>
      </c>
      <c r="C63" s="525" t="s">
        <v>1267</v>
      </c>
      <c r="D63" s="525" t="s">
        <v>1292</v>
      </c>
      <c r="E63" s="525" t="s">
        <v>1293</v>
      </c>
      <c r="F63" s="545"/>
      <c r="G63" s="545"/>
      <c r="H63" s="525"/>
      <c r="I63" s="525"/>
      <c r="J63" s="545">
        <v>3</v>
      </c>
      <c r="K63" s="545">
        <v>231</v>
      </c>
      <c r="L63" s="525"/>
      <c r="M63" s="525">
        <v>77</v>
      </c>
      <c r="N63" s="545">
        <v>47</v>
      </c>
      <c r="O63" s="545">
        <v>3619</v>
      </c>
      <c r="P63" s="530"/>
      <c r="Q63" s="546">
        <v>77</v>
      </c>
    </row>
    <row r="64" spans="1:17" ht="14.4" customHeight="1" x14ac:dyDescent="0.3">
      <c r="A64" s="524" t="s">
        <v>1330</v>
      </c>
      <c r="B64" s="525" t="s">
        <v>418</v>
      </c>
      <c r="C64" s="525" t="s">
        <v>1267</v>
      </c>
      <c r="D64" s="525" t="s">
        <v>1294</v>
      </c>
      <c r="E64" s="525" t="s">
        <v>1295</v>
      </c>
      <c r="F64" s="545"/>
      <c r="G64" s="545"/>
      <c r="H64" s="525"/>
      <c r="I64" s="525"/>
      <c r="J64" s="545">
        <v>26</v>
      </c>
      <c r="K64" s="545">
        <v>5460</v>
      </c>
      <c r="L64" s="525"/>
      <c r="M64" s="525">
        <v>210</v>
      </c>
      <c r="N64" s="545">
        <v>36</v>
      </c>
      <c r="O64" s="545">
        <v>7992</v>
      </c>
      <c r="P64" s="530"/>
      <c r="Q64" s="546">
        <v>222</v>
      </c>
    </row>
    <row r="65" spans="1:17" ht="14.4" customHeight="1" x14ac:dyDescent="0.3">
      <c r="A65" s="524" t="s">
        <v>1339</v>
      </c>
      <c r="B65" s="525" t="s">
        <v>418</v>
      </c>
      <c r="C65" s="525" t="s">
        <v>1267</v>
      </c>
      <c r="D65" s="525" t="s">
        <v>1340</v>
      </c>
      <c r="E65" s="525" t="s">
        <v>1341</v>
      </c>
      <c r="F65" s="545">
        <v>11</v>
      </c>
      <c r="G65" s="545">
        <v>1672</v>
      </c>
      <c r="H65" s="525">
        <v>1</v>
      </c>
      <c r="I65" s="525">
        <v>152</v>
      </c>
      <c r="J65" s="545">
        <v>35</v>
      </c>
      <c r="K65" s="545">
        <v>5460</v>
      </c>
      <c r="L65" s="525">
        <v>3.2655502392344498</v>
      </c>
      <c r="M65" s="525">
        <v>156</v>
      </c>
      <c r="N65" s="545">
        <v>72</v>
      </c>
      <c r="O65" s="545">
        <v>11736</v>
      </c>
      <c r="P65" s="530">
        <v>7.0191387559808609</v>
      </c>
      <c r="Q65" s="546">
        <v>163</v>
      </c>
    </row>
    <row r="66" spans="1:17" ht="14.4" customHeight="1" x14ac:dyDescent="0.3">
      <c r="A66" s="524" t="s">
        <v>1339</v>
      </c>
      <c r="B66" s="525" t="s">
        <v>418</v>
      </c>
      <c r="C66" s="525" t="s">
        <v>1267</v>
      </c>
      <c r="D66" s="525" t="s">
        <v>1342</v>
      </c>
      <c r="E66" s="525" t="s">
        <v>1343</v>
      </c>
      <c r="F66" s="545">
        <v>600</v>
      </c>
      <c r="G66" s="545">
        <v>47400</v>
      </c>
      <c r="H66" s="525">
        <v>1</v>
      </c>
      <c r="I66" s="525">
        <v>79</v>
      </c>
      <c r="J66" s="545">
        <v>318</v>
      </c>
      <c r="K66" s="545">
        <v>25758</v>
      </c>
      <c r="L66" s="525">
        <v>0.54341772151898737</v>
      </c>
      <c r="M66" s="525">
        <v>81</v>
      </c>
      <c r="N66" s="545">
        <v>963</v>
      </c>
      <c r="O66" s="545">
        <v>82818</v>
      </c>
      <c r="P66" s="530">
        <v>1.7472151898734176</v>
      </c>
      <c r="Q66" s="546">
        <v>86</v>
      </c>
    </row>
    <row r="67" spans="1:17" ht="14.4" customHeight="1" x14ac:dyDescent="0.3">
      <c r="A67" s="524" t="s">
        <v>1339</v>
      </c>
      <c r="B67" s="525" t="s">
        <v>418</v>
      </c>
      <c r="C67" s="525" t="s">
        <v>1267</v>
      </c>
      <c r="D67" s="525" t="s">
        <v>1344</v>
      </c>
      <c r="E67" s="525" t="s">
        <v>1345</v>
      </c>
      <c r="F67" s="545">
        <v>259</v>
      </c>
      <c r="G67" s="545">
        <v>19684</v>
      </c>
      <c r="H67" s="525">
        <v>1</v>
      </c>
      <c r="I67" s="525">
        <v>76</v>
      </c>
      <c r="J67" s="545">
        <v>311</v>
      </c>
      <c r="K67" s="545">
        <v>24258</v>
      </c>
      <c r="L67" s="525">
        <v>1.2323714692135745</v>
      </c>
      <c r="M67" s="525">
        <v>78</v>
      </c>
      <c r="N67" s="545">
        <v>685</v>
      </c>
      <c r="O67" s="545">
        <v>55485</v>
      </c>
      <c r="P67" s="530">
        <v>2.8187868319447267</v>
      </c>
      <c r="Q67" s="546">
        <v>81</v>
      </c>
    </row>
    <row r="68" spans="1:17" ht="14.4" customHeight="1" x14ac:dyDescent="0.3">
      <c r="A68" s="524" t="s">
        <v>1339</v>
      </c>
      <c r="B68" s="525" t="s">
        <v>418</v>
      </c>
      <c r="C68" s="525" t="s">
        <v>1267</v>
      </c>
      <c r="D68" s="525" t="s">
        <v>1346</v>
      </c>
      <c r="E68" s="525" t="s">
        <v>1347</v>
      </c>
      <c r="F68" s="545"/>
      <c r="G68" s="545"/>
      <c r="H68" s="525"/>
      <c r="I68" s="525"/>
      <c r="J68" s="545">
        <v>1</v>
      </c>
      <c r="K68" s="545">
        <v>78</v>
      </c>
      <c r="L68" s="525"/>
      <c r="M68" s="525">
        <v>78</v>
      </c>
      <c r="N68" s="545"/>
      <c r="O68" s="545"/>
      <c r="P68" s="530"/>
      <c r="Q68" s="546"/>
    </row>
    <row r="69" spans="1:17" ht="14.4" customHeight="1" x14ac:dyDescent="0.3">
      <c r="A69" s="524" t="s">
        <v>1339</v>
      </c>
      <c r="B69" s="525" t="s">
        <v>418</v>
      </c>
      <c r="C69" s="525" t="s">
        <v>1267</v>
      </c>
      <c r="D69" s="525" t="s">
        <v>1348</v>
      </c>
      <c r="E69" s="525" t="s">
        <v>1349</v>
      </c>
      <c r="F69" s="545">
        <v>18</v>
      </c>
      <c r="G69" s="545">
        <v>6804</v>
      </c>
      <c r="H69" s="525">
        <v>1</v>
      </c>
      <c r="I69" s="525">
        <v>378</v>
      </c>
      <c r="J69" s="545">
        <v>64</v>
      </c>
      <c r="K69" s="545">
        <v>24576</v>
      </c>
      <c r="L69" s="525">
        <v>3.6119929453262785</v>
      </c>
      <c r="M69" s="525">
        <v>384</v>
      </c>
      <c r="N69" s="545">
        <v>72</v>
      </c>
      <c r="O69" s="545">
        <v>29448</v>
      </c>
      <c r="P69" s="530">
        <v>4.3280423280423284</v>
      </c>
      <c r="Q69" s="546">
        <v>409</v>
      </c>
    </row>
    <row r="70" spans="1:17" ht="14.4" customHeight="1" x14ac:dyDescent="0.3">
      <c r="A70" s="524" t="s">
        <v>1339</v>
      </c>
      <c r="B70" s="525" t="s">
        <v>418</v>
      </c>
      <c r="C70" s="525" t="s">
        <v>1267</v>
      </c>
      <c r="D70" s="525" t="s">
        <v>1350</v>
      </c>
      <c r="E70" s="525" t="s">
        <v>1351</v>
      </c>
      <c r="F70" s="545">
        <v>40</v>
      </c>
      <c r="G70" s="545">
        <v>3040</v>
      </c>
      <c r="H70" s="525">
        <v>1</v>
      </c>
      <c r="I70" s="525">
        <v>76</v>
      </c>
      <c r="J70" s="545">
        <v>241</v>
      </c>
      <c r="K70" s="545">
        <v>18798</v>
      </c>
      <c r="L70" s="525">
        <v>6.1835526315789471</v>
      </c>
      <c r="M70" s="525">
        <v>78</v>
      </c>
      <c r="N70" s="545">
        <v>317</v>
      </c>
      <c r="O70" s="545">
        <v>25677</v>
      </c>
      <c r="P70" s="530">
        <v>8.4463815789473689</v>
      </c>
      <c r="Q70" s="546">
        <v>81</v>
      </c>
    </row>
    <row r="71" spans="1:17" ht="14.4" customHeight="1" x14ac:dyDescent="0.3">
      <c r="A71" s="524" t="s">
        <v>1339</v>
      </c>
      <c r="B71" s="525" t="s">
        <v>418</v>
      </c>
      <c r="C71" s="525" t="s">
        <v>1267</v>
      </c>
      <c r="D71" s="525" t="s">
        <v>1352</v>
      </c>
      <c r="E71" s="525" t="s">
        <v>1353</v>
      </c>
      <c r="F71" s="545">
        <v>3</v>
      </c>
      <c r="G71" s="545">
        <v>303</v>
      </c>
      <c r="H71" s="525">
        <v>1</v>
      </c>
      <c r="I71" s="525">
        <v>101</v>
      </c>
      <c r="J71" s="545">
        <v>8</v>
      </c>
      <c r="K71" s="545">
        <v>832</v>
      </c>
      <c r="L71" s="525">
        <v>2.7458745874587458</v>
      </c>
      <c r="M71" s="525">
        <v>104</v>
      </c>
      <c r="N71" s="545">
        <v>11</v>
      </c>
      <c r="O71" s="545">
        <v>1188</v>
      </c>
      <c r="P71" s="530">
        <v>3.9207920792079207</v>
      </c>
      <c r="Q71" s="546">
        <v>108</v>
      </c>
    </row>
    <row r="72" spans="1:17" ht="14.4" customHeight="1" x14ac:dyDescent="0.3">
      <c r="A72" s="524" t="s">
        <v>1339</v>
      </c>
      <c r="B72" s="525" t="s">
        <v>418</v>
      </c>
      <c r="C72" s="525" t="s">
        <v>1267</v>
      </c>
      <c r="D72" s="525" t="s">
        <v>1354</v>
      </c>
      <c r="E72" s="525" t="s">
        <v>1355</v>
      </c>
      <c r="F72" s="545">
        <v>36</v>
      </c>
      <c r="G72" s="545">
        <v>2268</v>
      </c>
      <c r="H72" s="525">
        <v>1</v>
      </c>
      <c r="I72" s="525">
        <v>63</v>
      </c>
      <c r="J72" s="545">
        <v>289</v>
      </c>
      <c r="K72" s="545">
        <v>18785</v>
      </c>
      <c r="L72" s="525">
        <v>8.2826278659611994</v>
      </c>
      <c r="M72" s="525">
        <v>65</v>
      </c>
      <c r="N72" s="545">
        <v>316</v>
      </c>
      <c r="O72" s="545">
        <v>21172</v>
      </c>
      <c r="P72" s="530">
        <v>9.3350970017636676</v>
      </c>
      <c r="Q72" s="546">
        <v>67</v>
      </c>
    </row>
    <row r="73" spans="1:17" ht="14.4" customHeight="1" x14ac:dyDescent="0.3">
      <c r="A73" s="524" t="s">
        <v>1339</v>
      </c>
      <c r="B73" s="525" t="s">
        <v>418</v>
      </c>
      <c r="C73" s="525" t="s">
        <v>1267</v>
      </c>
      <c r="D73" s="525" t="s">
        <v>1356</v>
      </c>
      <c r="E73" s="525" t="s">
        <v>1357</v>
      </c>
      <c r="F73" s="545">
        <v>18</v>
      </c>
      <c r="G73" s="545">
        <v>4590</v>
      </c>
      <c r="H73" s="525">
        <v>1</v>
      </c>
      <c r="I73" s="525">
        <v>255</v>
      </c>
      <c r="J73" s="545">
        <v>42</v>
      </c>
      <c r="K73" s="545">
        <v>10878</v>
      </c>
      <c r="L73" s="525">
        <v>2.3699346405228758</v>
      </c>
      <c r="M73" s="525">
        <v>259</v>
      </c>
      <c r="N73" s="545">
        <v>96</v>
      </c>
      <c r="O73" s="545">
        <v>26592</v>
      </c>
      <c r="P73" s="530">
        <v>5.7934640522875815</v>
      </c>
      <c r="Q73" s="546">
        <v>277</v>
      </c>
    </row>
    <row r="74" spans="1:17" ht="14.4" customHeight="1" x14ac:dyDescent="0.3">
      <c r="A74" s="524" t="s">
        <v>1339</v>
      </c>
      <c r="B74" s="525" t="s">
        <v>418</v>
      </c>
      <c r="C74" s="525" t="s">
        <v>1267</v>
      </c>
      <c r="D74" s="525" t="s">
        <v>1358</v>
      </c>
      <c r="E74" s="525" t="s">
        <v>1359</v>
      </c>
      <c r="F74" s="545">
        <v>21</v>
      </c>
      <c r="G74" s="545">
        <v>5586</v>
      </c>
      <c r="H74" s="525">
        <v>1</v>
      </c>
      <c r="I74" s="525">
        <v>266</v>
      </c>
      <c r="J74" s="545">
        <v>11</v>
      </c>
      <c r="K74" s="545">
        <v>2970</v>
      </c>
      <c r="L74" s="525">
        <v>0.53168635875402792</v>
      </c>
      <c r="M74" s="525">
        <v>270</v>
      </c>
      <c r="N74" s="545">
        <v>24</v>
      </c>
      <c r="O74" s="545">
        <v>6888</v>
      </c>
      <c r="P74" s="530">
        <v>1.2330827067669172</v>
      </c>
      <c r="Q74" s="546">
        <v>287</v>
      </c>
    </row>
    <row r="75" spans="1:17" ht="14.4" customHeight="1" thickBot="1" x14ac:dyDescent="0.35">
      <c r="A75" s="532" t="s">
        <v>1339</v>
      </c>
      <c r="B75" s="533" t="s">
        <v>418</v>
      </c>
      <c r="C75" s="533" t="s">
        <v>1267</v>
      </c>
      <c r="D75" s="533" t="s">
        <v>1360</v>
      </c>
      <c r="E75" s="533" t="s">
        <v>1361</v>
      </c>
      <c r="F75" s="547"/>
      <c r="G75" s="547"/>
      <c r="H75" s="533"/>
      <c r="I75" s="533"/>
      <c r="J75" s="547">
        <v>10</v>
      </c>
      <c r="K75" s="547">
        <v>1560</v>
      </c>
      <c r="L75" s="533"/>
      <c r="M75" s="533">
        <v>156</v>
      </c>
      <c r="N75" s="547">
        <v>15</v>
      </c>
      <c r="O75" s="547">
        <v>2445</v>
      </c>
      <c r="P75" s="538"/>
      <c r="Q75" s="548">
        <v>163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250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12272</v>
      </c>
      <c r="C3" s="222">
        <f t="shared" ref="C3:R3" si="0">SUBTOTAL(9,C6:C1048576)</f>
        <v>4</v>
      </c>
      <c r="D3" s="222">
        <f t="shared" si="0"/>
        <v>4151</v>
      </c>
      <c r="E3" s="222">
        <f t="shared" si="0"/>
        <v>0.78179966284653857</v>
      </c>
      <c r="F3" s="222">
        <f t="shared" si="0"/>
        <v>4444.33</v>
      </c>
      <c r="G3" s="225">
        <f>IF(B3&lt;&gt;0,F3/B3,"")</f>
        <v>0.36215205345501955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02"/>
      <c r="B5" s="603">
        <v>2014</v>
      </c>
      <c r="C5" s="604"/>
      <c r="D5" s="604">
        <v>2015</v>
      </c>
      <c r="E5" s="604"/>
      <c r="F5" s="604">
        <v>2016</v>
      </c>
      <c r="G5" s="605" t="s">
        <v>2</v>
      </c>
      <c r="H5" s="603">
        <v>2014</v>
      </c>
      <c r="I5" s="604"/>
      <c r="J5" s="604">
        <v>2015</v>
      </c>
      <c r="K5" s="604"/>
      <c r="L5" s="604">
        <v>2016</v>
      </c>
      <c r="M5" s="605" t="s">
        <v>2</v>
      </c>
      <c r="N5" s="603">
        <v>2014</v>
      </c>
      <c r="O5" s="604"/>
      <c r="P5" s="604">
        <v>2015</v>
      </c>
      <c r="Q5" s="604"/>
      <c r="R5" s="604">
        <v>2016</v>
      </c>
      <c r="S5" s="605" t="s">
        <v>2</v>
      </c>
    </row>
    <row r="6" spans="1:19" ht="14.4" customHeight="1" x14ac:dyDescent="0.3">
      <c r="A6" s="556" t="s">
        <v>1363</v>
      </c>
      <c r="B6" s="606"/>
      <c r="C6" s="518"/>
      <c r="D6" s="606"/>
      <c r="E6" s="518"/>
      <c r="F6" s="606">
        <v>210.32999999999998</v>
      </c>
      <c r="G6" s="523"/>
      <c r="H6" s="606"/>
      <c r="I6" s="518"/>
      <c r="J6" s="606"/>
      <c r="K6" s="518"/>
      <c r="L6" s="606"/>
      <c r="M6" s="523"/>
      <c r="N6" s="606"/>
      <c r="O6" s="518"/>
      <c r="P6" s="606"/>
      <c r="Q6" s="518"/>
      <c r="R6" s="606"/>
      <c r="S6" s="122"/>
    </row>
    <row r="7" spans="1:19" ht="14.4" customHeight="1" x14ac:dyDescent="0.3">
      <c r="A7" s="557" t="s">
        <v>1364</v>
      </c>
      <c r="B7" s="607">
        <v>940</v>
      </c>
      <c r="C7" s="525">
        <v>1</v>
      </c>
      <c r="D7" s="607"/>
      <c r="E7" s="525"/>
      <c r="F7" s="607"/>
      <c r="G7" s="530"/>
      <c r="H7" s="607"/>
      <c r="I7" s="525"/>
      <c r="J7" s="607"/>
      <c r="K7" s="525"/>
      <c r="L7" s="607"/>
      <c r="M7" s="530"/>
      <c r="N7" s="607"/>
      <c r="O7" s="525"/>
      <c r="P7" s="607"/>
      <c r="Q7" s="525"/>
      <c r="R7" s="607"/>
      <c r="S7" s="531"/>
    </row>
    <row r="8" spans="1:19" ht="14.4" customHeight="1" x14ac:dyDescent="0.3">
      <c r="A8" s="557" t="s">
        <v>1365</v>
      </c>
      <c r="B8" s="607">
        <v>1880</v>
      </c>
      <c r="C8" s="525">
        <v>1</v>
      </c>
      <c r="D8" s="607"/>
      <c r="E8" s="525"/>
      <c r="F8" s="607">
        <v>957</v>
      </c>
      <c r="G8" s="530">
        <v>0.50904255319148939</v>
      </c>
      <c r="H8" s="607"/>
      <c r="I8" s="525"/>
      <c r="J8" s="607"/>
      <c r="K8" s="525"/>
      <c r="L8" s="607"/>
      <c r="M8" s="530"/>
      <c r="N8" s="607"/>
      <c r="O8" s="525"/>
      <c r="P8" s="607"/>
      <c r="Q8" s="525"/>
      <c r="R8" s="607"/>
      <c r="S8" s="531"/>
    </row>
    <row r="9" spans="1:19" ht="14.4" customHeight="1" x14ac:dyDescent="0.3">
      <c r="A9" s="557" t="s">
        <v>1366</v>
      </c>
      <c r="B9" s="607">
        <v>3650</v>
      </c>
      <c r="C9" s="525">
        <v>1</v>
      </c>
      <c r="D9" s="607">
        <v>653</v>
      </c>
      <c r="E9" s="525">
        <v>0.1789041095890411</v>
      </c>
      <c r="F9" s="607"/>
      <c r="G9" s="530"/>
      <c r="H9" s="607"/>
      <c r="I9" s="525"/>
      <c r="J9" s="607"/>
      <c r="K9" s="525"/>
      <c r="L9" s="607"/>
      <c r="M9" s="530"/>
      <c r="N9" s="607"/>
      <c r="O9" s="525"/>
      <c r="P9" s="607"/>
      <c r="Q9" s="525"/>
      <c r="R9" s="607"/>
      <c r="S9" s="531"/>
    </row>
    <row r="10" spans="1:19" ht="14.4" customHeight="1" thickBot="1" x14ac:dyDescent="0.35">
      <c r="A10" s="609" t="s">
        <v>1367</v>
      </c>
      <c r="B10" s="608">
        <v>5802</v>
      </c>
      <c r="C10" s="533">
        <v>1</v>
      </c>
      <c r="D10" s="608">
        <v>3498</v>
      </c>
      <c r="E10" s="533">
        <v>0.60289555325749744</v>
      </c>
      <c r="F10" s="608">
        <v>3277</v>
      </c>
      <c r="G10" s="538">
        <v>0.56480523957256124</v>
      </c>
      <c r="H10" s="608"/>
      <c r="I10" s="533"/>
      <c r="J10" s="608"/>
      <c r="K10" s="533"/>
      <c r="L10" s="608"/>
      <c r="M10" s="538"/>
      <c r="N10" s="608"/>
      <c r="O10" s="533"/>
      <c r="P10" s="608"/>
      <c r="Q10" s="533"/>
      <c r="R10" s="608"/>
      <c r="S10" s="53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1373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250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19</v>
      </c>
      <c r="G3" s="103">
        <f t="shared" si="0"/>
        <v>12272</v>
      </c>
      <c r="H3" s="103"/>
      <c r="I3" s="103"/>
      <c r="J3" s="103">
        <f t="shared" si="0"/>
        <v>10</v>
      </c>
      <c r="K3" s="103">
        <f t="shared" si="0"/>
        <v>4151</v>
      </c>
      <c r="L3" s="103"/>
      <c r="M3" s="103"/>
      <c r="N3" s="103">
        <f t="shared" si="0"/>
        <v>7</v>
      </c>
      <c r="O3" s="103">
        <f t="shared" si="0"/>
        <v>4444.33</v>
      </c>
      <c r="P3" s="75">
        <f>IF(G3=0,0,O3/G3)</f>
        <v>0.36215205345501955</v>
      </c>
      <c r="Q3" s="104">
        <f>IF(N3=0,0,O3/N3)</f>
        <v>634.90428571428572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6" t="s">
        <v>97</v>
      </c>
      <c r="E4" s="408" t="s">
        <v>70</v>
      </c>
      <c r="F4" s="414">
        <v>2014</v>
      </c>
      <c r="G4" s="415"/>
      <c r="H4" s="105"/>
      <c r="I4" s="105"/>
      <c r="J4" s="414">
        <v>2015</v>
      </c>
      <c r="K4" s="415"/>
      <c r="L4" s="105"/>
      <c r="M4" s="105"/>
      <c r="N4" s="414">
        <v>2016</v>
      </c>
      <c r="O4" s="415"/>
      <c r="P4" s="417" t="s">
        <v>2</v>
      </c>
      <c r="Q4" s="405" t="s">
        <v>98</v>
      </c>
    </row>
    <row r="5" spans="1:17" ht="14.4" customHeight="1" thickBot="1" x14ac:dyDescent="0.35">
      <c r="A5" s="618"/>
      <c r="B5" s="616"/>
      <c r="C5" s="618"/>
      <c r="D5" s="626"/>
      <c r="E5" s="620"/>
      <c r="F5" s="627" t="s">
        <v>72</v>
      </c>
      <c r="G5" s="628" t="s">
        <v>14</v>
      </c>
      <c r="H5" s="629"/>
      <c r="I5" s="629"/>
      <c r="J5" s="627" t="s">
        <v>72</v>
      </c>
      <c r="K5" s="628" t="s">
        <v>14</v>
      </c>
      <c r="L5" s="629"/>
      <c r="M5" s="629"/>
      <c r="N5" s="627" t="s">
        <v>72</v>
      </c>
      <c r="O5" s="628" t="s">
        <v>14</v>
      </c>
      <c r="P5" s="630"/>
      <c r="Q5" s="625"/>
    </row>
    <row r="6" spans="1:17" ht="14.4" customHeight="1" x14ac:dyDescent="0.3">
      <c r="A6" s="517" t="s">
        <v>1368</v>
      </c>
      <c r="B6" s="518" t="s">
        <v>1298</v>
      </c>
      <c r="C6" s="518" t="s">
        <v>1267</v>
      </c>
      <c r="D6" s="518" t="s">
        <v>1278</v>
      </c>
      <c r="E6" s="518" t="s">
        <v>1279</v>
      </c>
      <c r="F6" s="116"/>
      <c r="G6" s="116"/>
      <c r="H6" s="116"/>
      <c r="I6" s="116"/>
      <c r="J6" s="116"/>
      <c r="K6" s="116"/>
      <c r="L6" s="116"/>
      <c r="M6" s="116"/>
      <c r="N6" s="116">
        <v>1</v>
      </c>
      <c r="O6" s="116">
        <v>33.33</v>
      </c>
      <c r="P6" s="523"/>
      <c r="Q6" s="544">
        <v>33.33</v>
      </c>
    </row>
    <row r="7" spans="1:17" ht="14.4" customHeight="1" x14ac:dyDescent="0.3">
      <c r="A7" s="524" t="s">
        <v>1368</v>
      </c>
      <c r="B7" s="525" t="s">
        <v>1298</v>
      </c>
      <c r="C7" s="525" t="s">
        <v>1267</v>
      </c>
      <c r="D7" s="525" t="s">
        <v>1313</v>
      </c>
      <c r="E7" s="525" t="s">
        <v>1314</v>
      </c>
      <c r="F7" s="545"/>
      <c r="G7" s="545"/>
      <c r="H7" s="545"/>
      <c r="I7" s="545"/>
      <c r="J7" s="545"/>
      <c r="K7" s="545"/>
      <c r="L7" s="545"/>
      <c r="M7" s="545"/>
      <c r="N7" s="545">
        <v>1</v>
      </c>
      <c r="O7" s="545">
        <v>177</v>
      </c>
      <c r="P7" s="530"/>
      <c r="Q7" s="546">
        <v>177</v>
      </c>
    </row>
    <row r="8" spans="1:17" ht="14.4" customHeight="1" x14ac:dyDescent="0.3">
      <c r="A8" s="524" t="s">
        <v>1369</v>
      </c>
      <c r="B8" s="525" t="s">
        <v>1298</v>
      </c>
      <c r="C8" s="525" t="s">
        <v>1267</v>
      </c>
      <c r="D8" s="525" t="s">
        <v>1303</v>
      </c>
      <c r="E8" s="525" t="s">
        <v>1304</v>
      </c>
      <c r="F8" s="545">
        <v>1</v>
      </c>
      <c r="G8" s="545">
        <v>940</v>
      </c>
      <c r="H8" s="545">
        <v>1</v>
      </c>
      <c r="I8" s="545">
        <v>940</v>
      </c>
      <c r="J8" s="545"/>
      <c r="K8" s="545"/>
      <c r="L8" s="545"/>
      <c r="M8" s="545"/>
      <c r="N8" s="545"/>
      <c r="O8" s="545"/>
      <c r="P8" s="530"/>
      <c r="Q8" s="546"/>
    </row>
    <row r="9" spans="1:17" ht="14.4" customHeight="1" x14ac:dyDescent="0.3">
      <c r="A9" s="524" t="s">
        <v>1370</v>
      </c>
      <c r="B9" s="525" t="s">
        <v>1298</v>
      </c>
      <c r="C9" s="525" t="s">
        <v>1267</v>
      </c>
      <c r="D9" s="525" t="s">
        <v>1303</v>
      </c>
      <c r="E9" s="525" t="s">
        <v>1304</v>
      </c>
      <c r="F9" s="545">
        <v>2</v>
      </c>
      <c r="G9" s="545">
        <v>1880</v>
      </c>
      <c r="H9" s="545">
        <v>1</v>
      </c>
      <c r="I9" s="545">
        <v>940</v>
      </c>
      <c r="J9" s="545"/>
      <c r="K9" s="545"/>
      <c r="L9" s="545"/>
      <c r="M9" s="545"/>
      <c r="N9" s="545">
        <v>1</v>
      </c>
      <c r="O9" s="545">
        <v>957</v>
      </c>
      <c r="P9" s="530">
        <v>0.50904255319148939</v>
      </c>
      <c r="Q9" s="546">
        <v>957</v>
      </c>
    </row>
    <row r="10" spans="1:17" ht="14.4" customHeight="1" x14ac:dyDescent="0.3">
      <c r="A10" s="524" t="s">
        <v>1371</v>
      </c>
      <c r="B10" s="525" t="s">
        <v>1266</v>
      </c>
      <c r="C10" s="525" t="s">
        <v>1267</v>
      </c>
      <c r="D10" s="525" t="s">
        <v>1270</v>
      </c>
      <c r="E10" s="525" t="s">
        <v>1271</v>
      </c>
      <c r="F10" s="545">
        <v>2</v>
      </c>
      <c r="G10" s="545">
        <v>260</v>
      </c>
      <c r="H10" s="545">
        <v>1</v>
      </c>
      <c r="I10" s="545">
        <v>130</v>
      </c>
      <c r="J10" s="545"/>
      <c r="K10" s="545"/>
      <c r="L10" s="545"/>
      <c r="M10" s="545"/>
      <c r="N10" s="545"/>
      <c r="O10" s="545"/>
      <c r="P10" s="530"/>
      <c r="Q10" s="546"/>
    </row>
    <row r="11" spans="1:17" ht="14.4" customHeight="1" x14ac:dyDescent="0.3">
      <c r="A11" s="524" t="s">
        <v>1371</v>
      </c>
      <c r="B11" s="525" t="s">
        <v>1266</v>
      </c>
      <c r="C11" s="525" t="s">
        <v>1267</v>
      </c>
      <c r="D11" s="525" t="s">
        <v>1284</v>
      </c>
      <c r="E11" s="525" t="s">
        <v>1285</v>
      </c>
      <c r="F11" s="545">
        <v>2</v>
      </c>
      <c r="G11" s="545">
        <v>1290</v>
      </c>
      <c r="H11" s="545">
        <v>1</v>
      </c>
      <c r="I11" s="545">
        <v>645</v>
      </c>
      <c r="J11" s="545"/>
      <c r="K11" s="545"/>
      <c r="L11" s="545"/>
      <c r="M11" s="545"/>
      <c r="N11" s="545"/>
      <c r="O11" s="545"/>
      <c r="P11" s="530"/>
      <c r="Q11" s="546"/>
    </row>
    <row r="12" spans="1:17" ht="14.4" customHeight="1" x14ac:dyDescent="0.3">
      <c r="A12" s="524" t="s">
        <v>1371</v>
      </c>
      <c r="B12" s="525" t="s">
        <v>1298</v>
      </c>
      <c r="C12" s="525" t="s">
        <v>1267</v>
      </c>
      <c r="D12" s="525" t="s">
        <v>1303</v>
      </c>
      <c r="E12" s="525" t="s">
        <v>1304</v>
      </c>
      <c r="F12" s="545">
        <v>1</v>
      </c>
      <c r="G12" s="545">
        <v>940</v>
      </c>
      <c r="H12" s="545">
        <v>1</v>
      </c>
      <c r="I12" s="545">
        <v>940</v>
      </c>
      <c r="J12" s="545"/>
      <c r="K12" s="545"/>
      <c r="L12" s="545"/>
      <c r="M12" s="545"/>
      <c r="N12" s="545"/>
      <c r="O12" s="545"/>
      <c r="P12" s="530"/>
      <c r="Q12" s="546"/>
    </row>
    <row r="13" spans="1:17" ht="14.4" customHeight="1" x14ac:dyDescent="0.3">
      <c r="A13" s="524" t="s">
        <v>1371</v>
      </c>
      <c r="B13" s="525" t="s">
        <v>1298</v>
      </c>
      <c r="C13" s="525" t="s">
        <v>1267</v>
      </c>
      <c r="D13" s="525" t="s">
        <v>1309</v>
      </c>
      <c r="E13" s="525" t="s">
        <v>1310</v>
      </c>
      <c r="F13" s="545">
        <v>2</v>
      </c>
      <c r="G13" s="545">
        <v>1160</v>
      </c>
      <c r="H13" s="545">
        <v>1</v>
      </c>
      <c r="I13" s="545">
        <v>580</v>
      </c>
      <c r="J13" s="545"/>
      <c r="K13" s="545"/>
      <c r="L13" s="545"/>
      <c r="M13" s="545"/>
      <c r="N13" s="545"/>
      <c r="O13" s="545"/>
      <c r="P13" s="530"/>
      <c r="Q13" s="546"/>
    </row>
    <row r="14" spans="1:17" ht="14.4" customHeight="1" x14ac:dyDescent="0.3">
      <c r="A14" s="524" t="s">
        <v>1371</v>
      </c>
      <c r="B14" s="525" t="s">
        <v>1330</v>
      </c>
      <c r="C14" s="525" t="s">
        <v>1267</v>
      </c>
      <c r="D14" s="525" t="s">
        <v>1337</v>
      </c>
      <c r="E14" s="525" t="s">
        <v>1338</v>
      </c>
      <c r="F14" s="545"/>
      <c r="G14" s="545"/>
      <c r="H14" s="545"/>
      <c r="I14" s="545"/>
      <c r="J14" s="545">
        <v>1</v>
      </c>
      <c r="K14" s="545">
        <v>653</v>
      </c>
      <c r="L14" s="545"/>
      <c r="M14" s="545">
        <v>653</v>
      </c>
      <c r="N14" s="545"/>
      <c r="O14" s="545"/>
      <c r="P14" s="530"/>
      <c r="Q14" s="546"/>
    </row>
    <row r="15" spans="1:17" ht="14.4" customHeight="1" x14ac:dyDescent="0.3">
      <c r="A15" s="524" t="s">
        <v>1372</v>
      </c>
      <c r="B15" s="525" t="s">
        <v>1266</v>
      </c>
      <c r="C15" s="525" t="s">
        <v>1267</v>
      </c>
      <c r="D15" s="525" t="s">
        <v>1270</v>
      </c>
      <c r="E15" s="525" t="s">
        <v>1271</v>
      </c>
      <c r="F15" s="545">
        <v>2</v>
      </c>
      <c r="G15" s="545">
        <v>260</v>
      </c>
      <c r="H15" s="545">
        <v>1</v>
      </c>
      <c r="I15" s="545">
        <v>130</v>
      </c>
      <c r="J15" s="545">
        <v>1</v>
      </c>
      <c r="K15" s="545">
        <v>134</v>
      </c>
      <c r="L15" s="545">
        <v>0.51538461538461533</v>
      </c>
      <c r="M15" s="545">
        <v>134</v>
      </c>
      <c r="N15" s="545">
        <v>1</v>
      </c>
      <c r="O15" s="545">
        <v>138</v>
      </c>
      <c r="P15" s="530">
        <v>0.53076923076923077</v>
      </c>
      <c r="Q15" s="546">
        <v>138</v>
      </c>
    </row>
    <row r="16" spans="1:17" ht="14.4" customHeight="1" x14ac:dyDescent="0.3">
      <c r="A16" s="524" t="s">
        <v>1372</v>
      </c>
      <c r="B16" s="525" t="s">
        <v>1266</v>
      </c>
      <c r="C16" s="525" t="s">
        <v>1267</v>
      </c>
      <c r="D16" s="525" t="s">
        <v>1272</v>
      </c>
      <c r="E16" s="525" t="s">
        <v>1273</v>
      </c>
      <c r="F16" s="545">
        <v>2</v>
      </c>
      <c r="G16" s="545">
        <v>3410</v>
      </c>
      <c r="H16" s="545">
        <v>1</v>
      </c>
      <c r="I16" s="545">
        <v>1705</v>
      </c>
      <c r="J16" s="545">
        <v>1</v>
      </c>
      <c r="K16" s="545">
        <v>1721</v>
      </c>
      <c r="L16" s="545">
        <v>0.5046920821114369</v>
      </c>
      <c r="M16" s="545">
        <v>1721</v>
      </c>
      <c r="N16" s="545">
        <v>1</v>
      </c>
      <c r="O16" s="545">
        <v>1815</v>
      </c>
      <c r="P16" s="530">
        <v>0.532258064516129</v>
      </c>
      <c r="Q16" s="546">
        <v>1815</v>
      </c>
    </row>
    <row r="17" spans="1:17" ht="14.4" customHeight="1" x14ac:dyDescent="0.3">
      <c r="A17" s="524" t="s">
        <v>1372</v>
      </c>
      <c r="B17" s="525" t="s">
        <v>1266</v>
      </c>
      <c r="C17" s="525" t="s">
        <v>1267</v>
      </c>
      <c r="D17" s="525" t="s">
        <v>1274</v>
      </c>
      <c r="E17" s="525" t="s">
        <v>1275</v>
      </c>
      <c r="F17" s="545"/>
      <c r="G17" s="545"/>
      <c r="H17" s="545"/>
      <c r="I17" s="545"/>
      <c r="J17" s="545">
        <v>1</v>
      </c>
      <c r="K17" s="545">
        <v>588</v>
      </c>
      <c r="L17" s="545"/>
      <c r="M17" s="545">
        <v>588</v>
      </c>
      <c r="N17" s="545">
        <v>1</v>
      </c>
      <c r="O17" s="545">
        <v>623</v>
      </c>
      <c r="P17" s="530"/>
      <c r="Q17" s="546">
        <v>623</v>
      </c>
    </row>
    <row r="18" spans="1:17" ht="14.4" customHeight="1" x14ac:dyDescent="0.3">
      <c r="A18" s="524" t="s">
        <v>1372</v>
      </c>
      <c r="B18" s="525" t="s">
        <v>1266</v>
      </c>
      <c r="C18" s="525" t="s">
        <v>1267</v>
      </c>
      <c r="D18" s="525" t="s">
        <v>1276</v>
      </c>
      <c r="E18" s="525" t="s">
        <v>1277</v>
      </c>
      <c r="F18" s="545">
        <v>1</v>
      </c>
      <c r="G18" s="545">
        <v>327</v>
      </c>
      <c r="H18" s="545">
        <v>1</v>
      </c>
      <c r="I18" s="545">
        <v>327</v>
      </c>
      <c r="J18" s="545"/>
      <c r="K18" s="545"/>
      <c r="L18" s="545"/>
      <c r="M18" s="545"/>
      <c r="N18" s="545"/>
      <c r="O18" s="545"/>
      <c r="P18" s="530"/>
      <c r="Q18" s="546"/>
    </row>
    <row r="19" spans="1:17" ht="14.4" customHeight="1" x14ac:dyDescent="0.3">
      <c r="A19" s="524" t="s">
        <v>1372</v>
      </c>
      <c r="B19" s="525" t="s">
        <v>1266</v>
      </c>
      <c r="C19" s="525" t="s">
        <v>1267</v>
      </c>
      <c r="D19" s="525" t="s">
        <v>1284</v>
      </c>
      <c r="E19" s="525" t="s">
        <v>1285</v>
      </c>
      <c r="F19" s="545">
        <v>1</v>
      </c>
      <c r="G19" s="545">
        <v>645</v>
      </c>
      <c r="H19" s="545">
        <v>1</v>
      </c>
      <c r="I19" s="545">
        <v>645</v>
      </c>
      <c r="J19" s="545">
        <v>1</v>
      </c>
      <c r="K19" s="545">
        <v>653</v>
      </c>
      <c r="L19" s="545">
        <v>1.0124031007751939</v>
      </c>
      <c r="M19" s="545">
        <v>653</v>
      </c>
      <c r="N19" s="545">
        <v>1</v>
      </c>
      <c r="O19" s="545">
        <v>701</v>
      </c>
      <c r="P19" s="530">
        <v>1.0868217054263567</v>
      </c>
      <c r="Q19" s="546">
        <v>701</v>
      </c>
    </row>
    <row r="20" spans="1:17" ht="14.4" customHeight="1" x14ac:dyDescent="0.3">
      <c r="A20" s="524" t="s">
        <v>1372</v>
      </c>
      <c r="B20" s="525" t="s">
        <v>1298</v>
      </c>
      <c r="C20" s="525" t="s">
        <v>1267</v>
      </c>
      <c r="D20" s="525" t="s">
        <v>1309</v>
      </c>
      <c r="E20" s="525" t="s">
        <v>1310</v>
      </c>
      <c r="F20" s="545">
        <v>2</v>
      </c>
      <c r="G20" s="545">
        <v>1160</v>
      </c>
      <c r="H20" s="545">
        <v>1</v>
      </c>
      <c r="I20" s="545">
        <v>580</v>
      </c>
      <c r="J20" s="545"/>
      <c r="K20" s="545"/>
      <c r="L20" s="545"/>
      <c r="M20" s="545"/>
      <c r="N20" s="545"/>
      <c r="O20" s="545"/>
      <c r="P20" s="530"/>
      <c r="Q20" s="546"/>
    </row>
    <row r="21" spans="1:17" ht="14.4" customHeight="1" x14ac:dyDescent="0.3">
      <c r="A21" s="524" t="s">
        <v>1372</v>
      </c>
      <c r="B21" s="525" t="s">
        <v>1315</v>
      </c>
      <c r="C21" s="525" t="s">
        <v>1267</v>
      </c>
      <c r="D21" s="525" t="s">
        <v>1278</v>
      </c>
      <c r="E21" s="525" t="s">
        <v>1279</v>
      </c>
      <c r="F21" s="545">
        <v>1</v>
      </c>
      <c r="G21" s="545">
        <v>0</v>
      </c>
      <c r="H21" s="545"/>
      <c r="I21" s="545">
        <v>0</v>
      </c>
      <c r="J21" s="545"/>
      <c r="K21" s="545"/>
      <c r="L21" s="545"/>
      <c r="M21" s="545"/>
      <c r="N21" s="545"/>
      <c r="O21" s="545"/>
      <c r="P21" s="530"/>
      <c r="Q21" s="546"/>
    </row>
    <row r="22" spans="1:17" ht="14.4" customHeight="1" x14ac:dyDescent="0.3">
      <c r="A22" s="524" t="s">
        <v>1372</v>
      </c>
      <c r="B22" s="525" t="s">
        <v>1339</v>
      </c>
      <c r="C22" s="525" t="s">
        <v>1267</v>
      </c>
      <c r="D22" s="525" t="s">
        <v>1342</v>
      </c>
      <c r="E22" s="525" t="s">
        <v>1343</v>
      </c>
      <c r="F22" s="545"/>
      <c r="G22" s="545"/>
      <c r="H22" s="545"/>
      <c r="I22" s="545"/>
      <c r="J22" s="545">
        <v>4</v>
      </c>
      <c r="K22" s="545">
        <v>324</v>
      </c>
      <c r="L22" s="545"/>
      <c r="M22" s="545">
        <v>81</v>
      </c>
      <c r="N22" s="545"/>
      <c r="O22" s="545"/>
      <c r="P22" s="530"/>
      <c r="Q22" s="546"/>
    </row>
    <row r="23" spans="1:17" ht="14.4" customHeight="1" thickBot="1" x14ac:dyDescent="0.35">
      <c r="A23" s="532" t="s">
        <v>1372</v>
      </c>
      <c r="B23" s="533" t="s">
        <v>1339</v>
      </c>
      <c r="C23" s="533" t="s">
        <v>1267</v>
      </c>
      <c r="D23" s="533" t="s">
        <v>1344</v>
      </c>
      <c r="E23" s="533" t="s">
        <v>1345</v>
      </c>
      <c r="F23" s="547"/>
      <c r="G23" s="547"/>
      <c r="H23" s="547"/>
      <c r="I23" s="547"/>
      <c r="J23" s="547">
        <v>1</v>
      </c>
      <c r="K23" s="547">
        <v>78</v>
      </c>
      <c r="L23" s="547"/>
      <c r="M23" s="547">
        <v>78</v>
      </c>
      <c r="N23" s="547"/>
      <c r="O23" s="547"/>
      <c r="P23" s="538"/>
      <c r="Q23" s="548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136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4" t="s">
        <v>250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2014</v>
      </c>
      <c r="C3" s="40">
        <v>2015</v>
      </c>
      <c r="D3" s="7"/>
      <c r="E3" s="331">
        <v>2016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0.22811000000000001</v>
      </c>
      <c r="C5" s="29">
        <v>0</v>
      </c>
      <c r="D5" s="8"/>
      <c r="E5" s="117">
        <v>0.26619999999999999</v>
      </c>
      <c r="F5" s="28">
        <v>3.5748068955093331</v>
      </c>
      <c r="G5" s="116">
        <f>E5-F5</f>
        <v>-3.3086068955093331</v>
      </c>
      <c r="H5" s="122">
        <f>IF(F5&lt;0.00000001,"",E5/F5)</f>
        <v>7.4465560736833095E-2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1.05145</v>
      </c>
      <c r="C6" s="31">
        <v>0.51983999999999997</v>
      </c>
      <c r="D6" s="8"/>
      <c r="E6" s="118">
        <v>3.0422000000000002</v>
      </c>
      <c r="F6" s="30">
        <v>11.684794946321333</v>
      </c>
      <c r="G6" s="119">
        <f>E6-F6</f>
        <v>-8.6425949463213314</v>
      </c>
      <c r="H6" s="123">
        <f>IF(F6&lt;0.00000001,"",E6/F6)</f>
        <v>0.26035544602840988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760.23306000000207</v>
      </c>
      <c r="C7" s="31">
        <v>658.71869000000095</v>
      </c>
      <c r="D7" s="8"/>
      <c r="E7" s="118">
        <v>907.57684999999992</v>
      </c>
      <c r="F7" s="30">
        <v>807.50022259196157</v>
      </c>
      <c r="G7" s="119">
        <f>E7-F7</f>
        <v>100.07662740803835</v>
      </c>
      <c r="H7" s="123">
        <f>IF(F7&lt;0.00000001,"",E7/F7)</f>
        <v>1.1239338697478083</v>
      </c>
    </row>
    <row r="8" spans="1:8" ht="14.4" customHeight="1" thickBot="1" x14ac:dyDescent="0.35">
      <c r="A8" s="1" t="s">
        <v>76</v>
      </c>
      <c r="B8" s="11">
        <v>127.8950700000009</v>
      </c>
      <c r="C8" s="33">
        <v>146.33732000000015</v>
      </c>
      <c r="D8" s="8"/>
      <c r="E8" s="120">
        <v>184.18998999999997</v>
      </c>
      <c r="F8" s="32">
        <v>180.50334984767278</v>
      </c>
      <c r="G8" s="121">
        <f>E8-F8</f>
        <v>3.6866401523271861</v>
      </c>
      <c r="H8" s="124">
        <f>IF(F8&lt;0.00000001,"",E8/F8)</f>
        <v>1.020424220134631</v>
      </c>
    </row>
    <row r="9" spans="1:8" ht="14.4" customHeight="1" thickBot="1" x14ac:dyDescent="0.35">
      <c r="A9" s="2" t="s">
        <v>77</v>
      </c>
      <c r="B9" s="3">
        <v>889.40769000000296</v>
      </c>
      <c r="C9" s="35">
        <v>805.57585000000108</v>
      </c>
      <c r="D9" s="8"/>
      <c r="E9" s="3">
        <v>1095.0752399999999</v>
      </c>
      <c r="F9" s="34">
        <v>1003.263174281465</v>
      </c>
      <c r="G9" s="34">
        <f>E9-F9</f>
        <v>91.812065718534882</v>
      </c>
      <c r="H9" s="125">
        <f>IF(F9&lt;0.00000001,"",E9/F9)</f>
        <v>1.0915134414101171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380.92</v>
      </c>
      <c r="C11" s="29">
        <f>IF(ISERROR(VLOOKUP("Celkem:",'ZV Vykáz.-A'!A:F,4,0)),0,VLOOKUP("Celkem:",'ZV Vykáz.-A'!A:F,4,0)/1000)</f>
        <v>492.50400000000002</v>
      </c>
      <c r="D11" s="8"/>
      <c r="E11" s="117">
        <f>IF(ISERROR(VLOOKUP("Celkem:",'ZV Vykáz.-A'!A:F,6,0)),0,VLOOKUP("Celkem:",'ZV Vykáz.-A'!A:F,6,0)/1000)</f>
        <v>805.69394000000011</v>
      </c>
      <c r="F11" s="28">
        <f>B11</f>
        <v>380.92</v>
      </c>
      <c r="G11" s="116">
        <f>E11-F11</f>
        <v>424.7739400000001</v>
      </c>
      <c r="H11" s="122">
        <f>IF(F11&lt;0.00000001,"",E11/F11)</f>
        <v>2.115126378242151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380.92</v>
      </c>
      <c r="C13" s="37">
        <f>SUM(C11:C12)</f>
        <v>492.50400000000002</v>
      </c>
      <c r="D13" s="8"/>
      <c r="E13" s="5">
        <f>SUM(E11:E12)</f>
        <v>805.69394000000011</v>
      </c>
      <c r="F13" s="36">
        <f>SUM(F11:F12)</f>
        <v>380.92</v>
      </c>
      <c r="G13" s="36">
        <f>E13-F13</f>
        <v>424.7739400000001</v>
      </c>
      <c r="H13" s="126">
        <f>IF(F13&lt;0.00000001,"",E13/F13)</f>
        <v>2.115126378242151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0.42828503090635384</v>
      </c>
      <c r="C15" s="39">
        <f>IF(C9=0,"",C13/C9)</f>
        <v>0.61136887358279091</v>
      </c>
      <c r="D15" s="8"/>
      <c r="E15" s="6">
        <f>IF(E9=0,"",E13/E9)</f>
        <v>0.73574299789665609</v>
      </c>
      <c r="F15" s="38">
        <f>IF(F9=0,"",F13/F9)</f>
        <v>0.37968103461269187</v>
      </c>
      <c r="G15" s="38">
        <f>IF(ISERROR(F15-E15),"",E15-F15)</f>
        <v>0.35606196328396422</v>
      </c>
      <c r="H15" s="127">
        <f>IF(ISERROR(F15-E15),"",IF(F15&lt;0.00000001,"",E15/F15))</f>
        <v>1.9377923331018596</v>
      </c>
    </row>
    <row r="17" spans="1:8" ht="14.4" customHeight="1" x14ac:dyDescent="0.3">
      <c r="A17" s="113" t="s">
        <v>157</v>
      </c>
    </row>
    <row r="18" spans="1:8" ht="14.4" customHeight="1" x14ac:dyDescent="0.3">
      <c r="A18" s="287" t="s">
        <v>191</v>
      </c>
      <c r="B18" s="288"/>
      <c r="C18" s="288"/>
      <c r="D18" s="288"/>
      <c r="E18" s="288"/>
      <c r="F18" s="288"/>
      <c r="G18" s="288"/>
      <c r="H18" s="288"/>
    </row>
    <row r="19" spans="1:8" x14ac:dyDescent="0.3">
      <c r="A19" s="286" t="s">
        <v>190</v>
      </c>
      <c r="B19" s="288"/>
      <c r="C19" s="288"/>
      <c r="D19" s="288"/>
      <c r="E19" s="288"/>
      <c r="F19" s="288"/>
      <c r="G19" s="288"/>
      <c r="H19" s="288"/>
    </row>
    <row r="20" spans="1:8" ht="14.4" customHeight="1" x14ac:dyDescent="0.3">
      <c r="A20" s="114" t="s">
        <v>216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249</v>
      </c>
    </row>
    <row r="23" spans="1:8" ht="14.4" customHeight="1" x14ac:dyDescent="0.3">
      <c r="A23" s="115" t="s">
        <v>159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4" operator="greaterThan">
      <formula>0</formula>
    </cfRule>
  </conditionalFormatting>
  <conditionalFormatting sqref="G11:G13 G15">
    <cfRule type="cellIs" dxfId="59" priority="3" operator="lessThan">
      <formula>0</formula>
    </cfRule>
  </conditionalFormatting>
  <conditionalFormatting sqref="H5:H9">
    <cfRule type="cellIs" dxfId="58" priority="2" operator="greaterThan">
      <formula>1</formula>
    </cfRule>
  </conditionalFormatting>
  <conditionalFormatting sqref="H11:H13 H15">
    <cfRule type="cellIs" dxfId="5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4" t="s">
        <v>250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0.62438740691481021</v>
      </c>
      <c r="C4" s="201">
        <f t="shared" ref="C4:M4" si="0">(C10+C8)/C6</f>
        <v>0.7357429339741075</v>
      </c>
      <c r="D4" s="201">
        <f t="shared" si="0"/>
        <v>0.7357429339741075</v>
      </c>
      <c r="E4" s="201">
        <f t="shared" si="0"/>
        <v>0.7357429339741075</v>
      </c>
      <c r="F4" s="201">
        <f t="shared" si="0"/>
        <v>0.7357429339741075</v>
      </c>
      <c r="G4" s="201">
        <f t="shared" si="0"/>
        <v>0.7357429339741075</v>
      </c>
      <c r="H4" s="201">
        <f t="shared" si="0"/>
        <v>0.7357429339741075</v>
      </c>
      <c r="I4" s="201">
        <f t="shared" si="0"/>
        <v>0.7357429339741075</v>
      </c>
      <c r="J4" s="201">
        <f t="shared" si="0"/>
        <v>0.7357429339741075</v>
      </c>
      <c r="K4" s="201">
        <f t="shared" si="0"/>
        <v>0.7357429339741075</v>
      </c>
      <c r="L4" s="201">
        <f t="shared" si="0"/>
        <v>0.7357429339741075</v>
      </c>
      <c r="M4" s="201">
        <f t="shared" si="0"/>
        <v>0.7357429339741075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553.19755999999995</v>
      </c>
      <c r="C5" s="201">
        <f>IF(ISERROR(VLOOKUP($A5,'Man Tab'!$A:$Q,COLUMN()+2,0)),0,VLOOKUP($A5,'Man Tab'!$A:$Q,COLUMN()+2,0))</f>
        <v>541.87768000000005</v>
      </c>
      <c r="D5" s="201">
        <f>IF(ISERROR(VLOOKUP($A5,'Man Tab'!$A:$Q,COLUMN()+2,0)),0,VLOOKUP($A5,'Man Tab'!$A:$Q,COLUMN()+2,0))</f>
        <v>0</v>
      </c>
      <c r="E5" s="201">
        <f>IF(ISERROR(VLOOKUP($A5,'Man Tab'!$A:$Q,COLUMN()+2,0)),0,VLOOKUP($A5,'Man Tab'!$A:$Q,COLUMN()+2,0))</f>
        <v>0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553.19755999999995</v>
      </c>
      <c r="C6" s="203">
        <f t="shared" ref="C6:M6" si="1">C5+B6</f>
        <v>1095.0752400000001</v>
      </c>
      <c r="D6" s="203">
        <f t="shared" si="1"/>
        <v>1095.0752400000001</v>
      </c>
      <c r="E6" s="203">
        <f t="shared" si="1"/>
        <v>1095.0752400000001</v>
      </c>
      <c r="F6" s="203">
        <f t="shared" si="1"/>
        <v>1095.0752400000001</v>
      </c>
      <c r="G6" s="203">
        <f t="shared" si="1"/>
        <v>1095.0752400000001</v>
      </c>
      <c r="H6" s="203">
        <f t="shared" si="1"/>
        <v>1095.0752400000001</v>
      </c>
      <c r="I6" s="203">
        <f t="shared" si="1"/>
        <v>1095.0752400000001</v>
      </c>
      <c r="J6" s="203">
        <f t="shared" si="1"/>
        <v>1095.0752400000001</v>
      </c>
      <c r="K6" s="203">
        <f t="shared" si="1"/>
        <v>1095.0752400000001</v>
      </c>
      <c r="L6" s="203">
        <f t="shared" si="1"/>
        <v>1095.0752400000001</v>
      </c>
      <c r="M6" s="203">
        <f t="shared" si="1"/>
        <v>1095.0752400000001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345409.59000000008</v>
      </c>
      <c r="C9" s="202">
        <v>460284.28</v>
      </c>
      <c r="D9" s="202">
        <v>0</v>
      </c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345.40959000000009</v>
      </c>
      <c r="C10" s="203">
        <f t="shared" ref="C10:M10" si="3">C9/1000+B10</f>
        <v>805.69387000000006</v>
      </c>
      <c r="D10" s="203">
        <f t="shared" si="3"/>
        <v>805.69387000000006</v>
      </c>
      <c r="E10" s="203">
        <f t="shared" si="3"/>
        <v>805.69387000000006</v>
      </c>
      <c r="F10" s="203">
        <f t="shared" si="3"/>
        <v>805.69387000000006</v>
      </c>
      <c r="G10" s="203">
        <f t="shared" si="3"/>
        <v>805.69387000000006</v>
      </c>
      <c r="H10" s="203">
        <f t="shared" si="3"/>
        <v>805.69387000000006</v>
      </c>
      <c r="I10" s="203">
        <f t="shared" si="3"/>
        <v>805.69387000000006</v>
      </c>
      <c r="J10" s="203">
        <f t="shared" si="3"/>
        <v>805.69387000000006</v>
      </c>
      <c r="K10" s="203">
        <f t="shared" si="3"/>
        <v>805.69387000000006</v>
      </c>
      <c r="L10" s="203">
        <f t="shared" si="3"/>
        <v>805.69387000000006</v>
      </c>
      <c r="M10" s="203">
        <f t="shared" si="3"/>
        <v>805.69387000000006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2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0.37968103461269187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0.37968103461269187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4" t="s">
        <v>252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4" customFormat="1" ht="14.4" customHeight="1" thickBot="1" x14ac:dyDescent="0.3">
      <c r="A2" s="234" t="s">
        <v>250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2016</v>
      </c>
      <c r="C4" s="139" t="s">
        <v>30</v>
      </c>
      <c r="D4" s="129" t="s">
        <v>229</v>
      </c>
      <c r="E4" s="129" t="s">
        <v>230</v>
      </c>
      <c r="F4" s="129" t="s">
        <v>231</v>
      </c>
      <c r="G4" s="129" t="s">
        <v>232</v>
      </c>
      <c r="H4" s="129" t="s">
        <v>233</v>
      </c>
      <c r="I4" s="129" t="s">
        <v>234</v>
      </c>
      <c r="J4" s="129" t="s">
        <v>235</v>
      </c>
      <c r="K4" s="129" t="s">
        <v>236</v>
      </c>
      <c r="L4" s="129" t="s">
        <v>237</v>
      </c>
      <c r="M4" s="129" t="s">
        <v>238</v>
      </c>
      <c r="N4" s="129" t="s">
        <v>239</v>
      </c>
      <c r="O4" s="129" t="s">
        <v>240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251</v>
      </c>
    </row>
    <row r="7" spans="1:17" ht="14.4" customHeight="1" x14ac:dyDescent="0.3">
      <c r="A7" s="15" t="s">
        <v>35</v>
      </c>
      <c r="B7" s="51">
        <v>21.448841373055998</v>
      </c>
      <c r="C7" s="52">
        <v>1.787403447754</v>
      </c>
      <c r="D7" s="52">
        <v>0.26619999999999999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0.26619999999999999</v>
      </c>
      <c r="Q7" s="95">
        <v>7.4465560735999997E-2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251</v>
      </c>
    </row>
    <row r="9" spans="1:17" ht="14.4" customHeight="1" x14ac:dyDescent="0.3">
      <c r="A9" s="15" t="s">
        <v>37</v>
      </c>
      <c r="B9" s="51">
        <v>70.108769677927995</v>
      </c>
      <c r="C9" s="52">
        <v>5.8423974731600001</v>
      </c>
      <c r="D9" s="52">
        <v>1.7391000000000001</v>
      </c>
      <c r="E9" s="52">
        <v>1.3030999999999999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3.0421999999999998</v>
      </c>
      <c r="Q9" s="95">
        <v>0.26035544602799998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251</v>
      </c>
    </row>
    <row r="11" spans="1:17" ht="14.4" customHeight="1" x14ac:dyDescent="0.3">
      <c r="A11" s="15" t="s">
        <v>39</v>
      </c>
      <c r="B11" s="51">
        <v>39.167511356836997</v>
      </c>
      <c r="C11" s="52">
        <v>3.263959279736</v>
      </c>
      <c r="D11" s="52">
        <v>3.7907299999999999</v>
      </c>
      <c r="E11" s="52">
        <v>1.1644099999999999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4.9551400000000001</v>
      </c>
      <c r="Q11" s="95">
        <v>0.75906890609199995</v>
      </c>
    </row>
    <row r="12" spans="1:17" ht="14.4" customHeight="1" x14ac:dyDescent="0.3">
      <c r="A12" s="15" t="s">
        <v>40</v>
      </c>
      <c r="B12" s="51">
        <v>22.485524481300001</v>
      </c>
      <c r="C12" s="52">
        <v>1.8737937067749999</v>
      </c>
      <c r="D12" s="52">
        <v>0.159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0.159</v>
      </c>
      <c r="Q12" s="95">
        <v>4.2427295870999998E-2</v>
      </c>
    </row>
    <row r="13" spans="1:17" ht="14.4" customHeight="1" x14ac:dyDescent="0.3">
      <c r="A13" s="15" t="s">
        <v>41</v>
      </c>
      <c r="B13" s="51">
        <v>7.8931607550100003</v>
      </c>
      <c r="C13" s="52">
        <v>0.65776339625000002</v>
      </c>
      <c r="D13" s="52">
        <v>2.2159800000000001</v>
      </c>
      <c r="E13" s="52">
        <v>2.9124599999999998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5.1284400000000003</v>
      </c>
      <c r="Q13" s="95">
        <v>3.8983926661399999</v>
      </c>
    </row>
    <row r="14" spans="1:17" ht="14.4" customHeight="1" x14ac:dyDescent="0.3">
      <c r="A14" s="15" t="s">
        <v>42</v>
      </c>
      <c r="B14" s="51">
        <v>175.12989433487701</v>
      </c>
      <c r="C14" s="52">
        <v>14.594157861238999</v>
      </c>
      <c r="D14" s="52">
        <v>20.219000000000001</v>
      </c>
      <c r="E14" s="52">
        <v>15.734999999999999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35.954000000000001</v>
      </c>
      <c r="Q14" s="95">
        <v>1.2317942680159999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251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251</v>
      </c>
    </row>
    <row r="17" spans="1:17" ht="14.4" customHeight="1" x14ac:dyDescent="0.3">
      <c r="A17" s="15" t="s">
        <v>45</v>
      </c>
      <c r="B17" s="51">
        <v>129.365627981583</v>
      </c>
      <c r="C17" s="52">
        <v>10.780468998465</v>
      </c>
      <c r="D17" s="52">
        <v>0.13400000000000001</v>
      </c>
      <c r="E17" s="52">
        <v>0.90991999999999995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1.04392</v>
      </c>
      <c r="Q17" s="95">
        <v>4.8417188535000003E-2</v>
      </c>
    </row>
    <row r="18" spans="1:17" ht="14.4" customHeight="1" x14ac:dyDescent="0.3">
      <c r="A18" s="15" t="s">
        <v>46</v>
      </c>
      <c r="B18" s="51">
        <v>1.7450796022299999</v>
      </c>
      <c r="C18" s="52">
        <v>0.14542330018499999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>
        <v>0</v>
      </c>
    </row>
    <row r="19" spans="1:17" ht="14.4" customHeight="1" x14ac:dyDescent="0.3">
      <c r="A19" s="15" t="s">
        <v>47</v>
      </c>
      <c r="B19" s="51">
        <v>266.53109752280801</v>
      </c>
      <c r="C19" s="52">
        <v>22.210924793566999</v>
      </c>
      <c r="D19" s="52">
        <v>29.046119999999998</v>
      </c>
      <c r="E19" s="52">
        <v>18.34637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47.392490000000002</v>
      </c>
      <c r="Q19" s="95">
        <v>1.0668734066779999</v>
      </c>
    </row>
    <row r="20" spans="1:17" ht="14.4" customHeight="1" x14ac:dyDescent="0.3">
      <c r="A20" s="15" t="s">
        <v>48</v>
      </c>
      <c r="B20" s="51">
        <v>4845.0013355517704</v>
      </c>
      <c r="C20" s="52">
        <v>403.75011129598101</v>
      </c>
      <c r="D20" s="52">
        <v>460.59242999999998</v>
      </c>
      <c r="E20" s="52">
        <v>446.98442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907.57685000000004</v>
      </c>
      <c r="Q20" s="95">
        <v>1.123933869747</v>
      </c>
    </row>
    <row r="21" spans="1:17" ht="14.4" customHeight="1" x14ac:dyDescent="0.3">
      <c r="A21" s="16" t="s">
        <v>49</v>
      </c>
      <c r="B21" s="51">
        <v>418.00104275795297</v>
      </c>
      <c r="C21" s="52">
        <v>34.833420229829002</v>
      </c>
      <c r="D21" s="52">
        <v>34.847999999999999</v>
      </c>
      <c r="E21" s="52">
        <v>54.107999999999997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88.956000000000003</v>
      </c>
      <c r="Q21" s="95">
        <v>1.2768771974299999</v>
      </c>
    </row>
    <row r="22" spans="1:17" ht="14.4" customHeight="1" x14ac:dyDescent="0.3">
      <c r="A22" s="15" t="s">
        <v>50</v>
      </c>
      <c r="B22" s="51">
        <v>17.356750793088999</v>
      </c>
      <c r="C22" s="52">
        <v>1.446395899424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>
        <v>0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251</v>
      </c>
    </row>
    <row r="24" spans="1:17" ht="14.4" customHeight="1" x14ac:dyDescent="0.3">
      <c r="A24" s="16" t="s">
        <v>52</v>
      </c>
      <c r="B24" s="51">
        <v>5.3444095003390002</v>
      </c>
      <c r="C24" s="52">
        <v>0.445367458361</v>
      </c>
      <c r="D24" s="52">
        <v>0.187</v>
      </c>
      <c r="E24" s="52">
        <v>0.413999999999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0.60099999999999998</v>
      </c>
      <c r="Q24" s="95">
        <v>0.67472374633099996</v>
      </c>
    </row>
    <row r="25" spans="1:17" ht="14.4" customHeight="1" x14ac:dyDescent="0.3">
      <c r="A25" s="17" t="s">
        <v>53</v>
      </c>
      <c r="B25" s="54">
        <v>6019.5790456887898</v>
      </c>
      <c r="C25" s="55">
        <v>501.63158714073199</v>
      </c>
      <c r="D25" s="55">
        <v>553.19755999999995</v>
      </c>
      <c r="E25" s="55">
        <v>541.87768000000005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1095.0752399999999</v>
      </c>
      <c r="Q25" s="96">
        <v>1.0915134414100001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88.045609999999996</v>
      </c>
      <c r="E26" s="52">
        <v>85.818399999999997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173.86401000000001</v>
      </c>
      <c r="Q26" s="95" t="s">
        <v>251</v>
      </c>
    </row>
    <row r="27" spans="1:17" ht="14.4" customHeight="1" x14ac:dyDescent="0.3">
      <c r="A27" s="18" t="s">
        <v>55</v>
      </c>
      <c r="B27" s="54">
        <v>6019.5790456887898</v>
      </c>
      <c r="C27" s="55">
        <v>501.63158714073199</v>
      </c>
      <c r="D27" s="55">
        <v>641.24316999999996</v>
      </c>
      <c r="E27" s="55">
        <v>627.69608000000005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1268.9392499999999</v>
      </c>
      <c r="Q27" s="96">
        <v>1.2648119481789999</v>
      </c>
    </row>
    <row r="28" spans="1:17" ht="14.4" customHeight="1" x14ac:dyDescent="0.3">
      <c r="A28" s="16" t="s">
        <v>56</v>
      </c>
      <c r="B28" s="51">
        <v>1660.6495073603601</v>
      </c>
      <c r="C28" s="52">
        <v>138.387458946696</v>
      </c>
      <c r="D28" s="52">
        <v>137.14536000000001</v>
      </c>
      <c r="E28" s="52">
        <v>164.40647000000001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301.55183</v>
      </c>
      <c r="Q28" s="95">
        <v>1.0895200775239999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251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10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0.41399999999999998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0.41399999999999998</v>
      </c>
      <c r="Q31" s="97" t="s">
        <v>251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157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241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4" t="s">
        <v>250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246</v>
      </c>
      <c r="G4" s="346" t="s">
        <v>64</v>
      </c>
      <c r="H4" s="141" t="s">
        <v>141</v>
      </c>
      <c r="I4" s="344" t="s">
        <v>65</v>
      </c>
      <c r="J4" s="346" t="s">
        <v>219</v>
      </c>
      <c r="K4" s="347" t="s">
        <v>248</v>
      </c>
    </row>
    <row r="5" spans="1:11" ht="42" thickBot="1" x14ac:dyDescent="0.35">
      <c r="A5" s="78"/>
      <c r="B5" s="24" t="s">
        <v>242</v>
      </c>
      <c r="C5" s="25" t="s">
        <v>243</v>
      </c>
      <c r="D5" s="26" t="s">
        <v>244</v>
      </c>
      <c r="E5" s="26" t="s">
        <v>245</v>
      </c>
      <c r="F5" s="345"/>
      <c r="G5" s="345"/>
      <c r="H5" s="25" t="s">
        <v>247</v>
      </c>
      <c r="I5" s="345"/>
      <c r="J5" s="345"/>
      <c r="K5" s="348"/>
    </row>
    <row r="6" spans="1:11" ht="14.4" customHeight="1" thickBot="1" x14ac:dyDescent="0.35">
      <c r="A6" s="436" t="s">
        <v>253</v>
      </c>
      <c r="B6" s="418">
        <v>5860.7553299187903</v>
      </c>
      <c r="C6" s="418">
        <v>6513.9129499999999</v>
      </c>
      <c r="D6" s="419">
        <v>653.15762008121101</v>
      </c>
      <c r="E6" s="420">
        <v>1.1114459797939999</v>
      </c>
      <c r="F6" s="418">
        <v>6019.5790456887898</v>
      </c>
      <c r="G6" s="419">
        <v>1003.26317428146</v>
      </c>
      <c r="H6" s="421">
        <v>541.87768000000005</v>
      </c>
      <c r="I6" s="418">
        <v>1095.0752399999999</v>
      </c>
      <c r="J6" s="419">
        <v>91.812065718534996</v>
      </c>
      <c r="K6" s="422">
        <v>0.18191890690099999</v>
      </c>
    </row>
    <row r="7" spans="1:11" ht="14.4" customHeight="1" thickBot="1" x14ac:dyDescent="0.35">
      <c r="A7" s="437" t="s">
        <v>254</v>
      </c>
      <c r="B7" s="418">
        <v>263.19565429683399</v>
      </c>
      <c r="C7" s="418">
        <v>293.06166999999999</v>
      </c>
      <c r="D7" s="419">
        <v>29.866015703165999</v>
      </c>
      <c r="E7" s="420">
        <v>1.113474577621</v>
      </c>
      <c r="F7" s="418">
        <v>336.23370197900999</v>
      </c>
      <c r="G7" s="419">
        <v>56.038950329834996</v>
      </c>
      <c r="H7" s="421">
        <v>21.528970000000001</v>
      </c>
      <c r="I7" s="418">
        <v>49.918979999999998</v>
      </c>
      <c r="J7" s="419">
        <v>-6.1199703298349997</v>
      </c>
      <c r="K7" s="422">
        <v>0.14846512918300001</v>
      </c>
    </row>
    <row r="8" spans="1:11" ht="14.4" customHeight="1" thickBot="1" x14ac:dyDescent="0.35">
      <c r="A8" s="438" t="s">
        <v>255</v>
      </c>
      <c r="B8" s="418">
        <v>83.341351398821004</v>
      </c>
      <c r="C8" s="418">
        <v>115.43267</v>
      </c>
      <c r="D8" s="419">
        <v>32.091318601178003</v>
      </c>
      <c r="E8" s="420">
        <v>1.3850587740960001</v>
      </c>
      <c r="F8" s="418">
        <v>161.10380764413301</v>
      </c>
      <c r="G8" s="419">
        <v>26.850634607355001</v>
      </c>
      <c r="H8" s="421">
        <v>5.7939699999999998</v>
      </c>
      <c r="I8" s="418">
        <v>13.964980000000001</v>
      </c>
      <c r="J8" s="419">
        <v>-12.885654607355001</v>
      </c>
      <c r="K8" s="422">
        <v>8.6683115714000003E-2</v>
      </c>
    </row>
    <row r="9" spans="1:11" ht="14.4" customHeight="1" thickBot="1" x14ac:dyDescent="0.35">
      <c r="A9" s="439" t="s">
        <v>256</v>
      </c>
      <c r="B9" s="423">
        <v>0</v>
      </c>
      <c r="C9" s="423">
        <v>-1.3999999999999999E-4</v>
      </c>
      <c r="D9" s="424">
        <v>-1.3999999999999999E-4</v>
      </c>
      <c r="E9" s="425" t="s">
        <v>257</v>
      </c>
      <c r="F9" s="423">
        <v>0</v>
      </c>
      <c r="G9" s="424">
        <v>0</v>
      </c>
      <c r="H9" s="426">
        <v>0</v>
      </c>
      <c r="I9" s="423">
        <v>0</v>
      </c>
      <c r="J9" s="424">
        <v>0</v>
      </c>
      <c r="K9" s="427" t="s">
        <v>251</v>
      </c>
    </row>
    <row r="10" spans="1:11" ht="14.4" customHeight="1" thickBot="1" x14ac:dyDescent="0.35">
      <c r="A10" s="440" t="s">
        <v>258</v>
      </c>
      <c r="B10" s="418">
        <v>0</v>
      </c>
      <c r="C10" s="418">
        <v>-1.3999999999999999E-4</v>
      </c>
      <c r="D10" s="419">
        <v>-1.3999999999999999E-4</v>
      </c>
      <c r="E10" s="428" t="s">
        <v>257</v>
      </c>
      <c r="F10" s="418">
        <v>0</v>
      </c>
      <c r="G10" s="419">
        <v>0</v>
      </c>
      <c r="H10" s="421">
        <v>0</v>
      </c>
      <c r="I10" s="418">
        <v>0</v>
      </c>
      <c r="J10" s="419">
        <v>0</v>
      </c>
      <c r="K10" s="429" t="s">
        <v>251</v>
      </c>
    </row>
    <row r="11" spans="1:11" ht="14.4" customHeight="1" thickBot="1" x14ac:dyDescent="0.35">
      <c r="A11" s="439" t="s">
        <v>259</v>
      </c>
      <c r="B11" s="423">
        <v>7</v>
      </c>
      <c r="C11" s="423">
        <v>13.82549</v>
      </c>
      <c r="D11" s="424">
        <v>6.8254900000000003</v>
      </c>
      <c r="E11" s="430">
        <v>1.9750700000000001</v>
      </c>
      <c r="F11" s="423">
        <v>21.448841373055998</v>
      </c>
      <c r="G11" s="424">
        <v>3.574806895509</v>
      </c>
      <c r="H11" s="426">
        <v>0</v>
      </c>
      <c r="I11" s="423">
        <v>0.26619999999999999</v>
      </c>
      <c r="J11" s="424">
        <v>-3.308606895509</v>
      </c>
      <c r="K11" s="431">
        <v>1.2410926789E-2</v>
      </c>
    </row>
    <row r="12" spans="1:11" ht="14.4" customHeight="1" thickBot="1" x14ac:dyDescent="0.35">
      <c r="A12" s="440" t="s">
        <v>260</v>
      </c>
      <c r="B12" s="418">
        <v>7</v>
      </c>
      <c r="C12" s="418">
        <v>3.9034900000000001</v>
      </c>
      <c r="D12" s="419">
        <v>-3.0965099999999999</v>
      </c>
      <c r="E12" s="420">
        <v>0.55764142857099996</v>
      </c>
      <c r="F12" s="418">
        <v>14.448839443465999</v>
      </c>
      <c r="G12" s="419">
        <v>2.4081399072440002</v>
      </c>
      <c r="H12" s="421">
        <v>0</v>
      </c>
      <c r="I12" s="418">
        <v>0.26619999999999999</v>
      </c>
      <c r="J12" s="419">
        <v>-2.1419399072440002</v>
      </c>
      <c r="K12" s="422">
        <v>1.8423625028000001E-2</v>
      </c>
    </row>
    <row r="13" spans="1:11" ht="14.4" customHeight="1" thickBot="1" x14ac:dyDescent="0.35">
      <c r="A13" s="440" t="s">
        <v>261</v>
      </c>
      <c r="B13" s="418">
        <v>0</v>
      </c>
      <c r="C13" s="418">
        <v>9.9220000000000006</v>
      </c>
      <c r="D13" s="419">
        <v>9.9220000000000006</v>
      </c>
      <c r="E13" s="428" t="s">
        <v>257</v>
      </c>
      <c r="F13" s="418">
        <v>7.0000019295889997</v>
      </c>
      <c r="G13" s="419">
        <v>1.1666669882639999</v>
      </c>
      <c r="H13" s="421">
        <v>0</v>
      </c>
      <c r="I13" s="418">
        <v>0</v>
      </c>
      <c r="J13" s="419">
        <v>-1.1666669882639999</v>
      </c>
      <c r="K13" s="422">
        <v>0</v>
      </c>
    </row>
    <row r="14" spans="1:11" ht="14.4" customHeight="1" thickBot="1" x14ac:dyDescent="0.35">
      <c r="A14" s="439" t="s">
        <v>262</v>
      </c>
      <c r="B14" s="423">
        <v>36.592359256896998</v>
      </c>
      <c r="C14" s="423">
        <v>35.035780000000003</v>
      </c>
      <c r="D14" s="424">
        <v>-1.5565792568970001</v>
      </c>
      <c r="E14" s="430">
        <v>0.957461631649</v>
      </c>
      <c r="F14" s="423">
        <v>70.108769677927995</v>
      </c>
      <c r="G14" s="424">
        <v>11.684794946321</v>
      </c>
      <c r="H14" s="426">
        <v>1.3030999999999999</v>
      </c>
      <c r="I14" s="423">
        <v>3.0421999999999998</v>
      </c>
      <c r="J14" s="424">
        <v>-8.6425949463209992</v>
      </c>
      <c r="K14" s="431">
        <v>4.3392574337999999E-2</v>
      </c>
    </row>
    <row r="15" spans="1:11" ht="14.4" customHeight="1" thickBot="1" x14ac:dyDescent="0.35">
      <c r="A15" s="440" t="s">
        <v>263</v>
      </c>
      <c r="B15" s="418">
        <v>10</v>
      </c>
      <c r="C15" s="418">
        <v>8.8934999999999995</v>
      </c>
      <c r="D15" s="419">
        <v>-1.1065</v>
      </c>
      <c r="E15" s="420">
        <v>0.88934999999999997</v>
      </c>
      <c r="F15" s="418">
        <v>5.0000013782780002</v>
      </c>
      <c r="G15" s="419">
        <v>0.83333356304600004</v>
      </c>
      <c r="H15" s="421">
        <v>0</v>
      </c>
      <c r="I15" s="418">
        <v>0</v>
      </c>
      <c r="J15" s="419">
        <v>-0.83333356304600004</v>
      </c>
      <c r="K15" s="422">
        <v>0</v>
      </c>
    </row>
    <row r="16" spans="1:11" ht="14.4" customHeight="1" thickBot="1" x14ac:dyDescent="0.35">
      <c r="A16" s="440" t="s">
        <v>264</v>
      </c>
      <c r="B16" s="418">
        <v>0.417359986854</v>
      </c>
      <c r="C16" s="418">
        <v>0.57843</v>
      </c>
      <c r="D16" s="419">
        <v>0.161070013145</v>
      </c>
      <c r="E16" s="420">
        <v>1.3859258630889999</v>
      </c>
      <c r="F16" s="418">
        <v>0</v>
      </c>
      <c r="G16" s="419">
        <v>0</v>
      </c>
      <c r="H16" s="421">
        <v>0</v>
      </c>
      <c r="I16" s="418">
        <v>0.14369999999999999</v>
      </c>
      <c r="J16" s="419">
        <v>0.14369999999999999</v>
      </c>
      <c r="K16" s="429" t="s">
        <v>251</v>
      </c>
    </row>
    <row r="17" spans="1:11" ht="14.4" customHeight="1" thickBot="1" x14ac:dyDescent="0.35">
      <c r="A17" s="440" t="s">
        <v>265</v>
      </c>
      <c r="B17" s="418">
        <v>24.999999307052999</v>
      </c>
      <c r="C17" s="418">
        <v>25.455089999999998</v>
      </c>
      <c r="D17" s="419">
        <v>0.45509069294600002</v>
      </c>
      <c r="E17" s="420">
        <v>1.0182036282219999</v>
      </c>
      <c r="F17" s="418">
        <v>64.000007994013998</v>
      </c>
      <c r="G17" s="419">
        <v>10.666667999002</v>
      </c>
      <c r="H17" s="421">
        <v>1.3030999999999999</v>
      </c>
      <c r="I17" s="418">
        <v>2.8984999999999999</v>
      </c>
      <c r="J17" s="419">
        <v>-7.7681679990020003</v>
      </c>
      <c r="K17" s="422">
        <v>4.5289056842999997E-2</v>
      </c>
    </row>
    <row r="18" spans="1:11" ht="14.4" customHeight="1" thickBot="1" x14ac:dyDescent="0.35">
      <c r="A18" s="440" t="s">
        <v>266</v>
      </c>
      <c r="B18" s="418">
        <v>0.17499999448699999</v>
      </c>
      <c r="C18" s="418">
        <v>1.09E-2</v>
      </c>
      <c r="D18" s="419">
        <v>-0.16409999448699999</v>
      </c>
      <c r="E18" s="420">
        <v>6.2285716247000002E-2</v>
      </c>
      <c r="F18" s="418">
        <v>1.0900003004E-2</v>
      </c>
      <c r="G18" s="419">
        <v>1.8166671670000001E-3</v>
      </c>
      <c r="H18" s="421">
        <v>0</v>
      </c>
      <c r="I18" s="418">
        <v>0</v>
      </c>
      <c r="J18" s="419">
        <v>-1.8166671670000001E-3</v>
      </c>
      <c r="K18" s="422">
        <v>0</v>
      </c>
    </row>
    <row r="19" spans="1:11" ht="14.4" customHeight="1" thickBot="1" x14ac:dyDescent="0.35">
      <c r="A19" s="440" t="s">
        <v>267</v>
      </c>
      <c r="B19" s="418">
        <v>0.99999996850200001</v>
      </c>
      <c r="C19" s="418">
        <v>0</v>
      </c>
      <c r="D19" s="419">
        <v>-0.99999996850200001</v>
      </c>
      <c r="E19" s="420">
        <v>0</v>
      </c>
      <c r="F19" s="418">
        <v>1.0000002756549999</v>
      </c>
      <c r="G19" s="419">
        <v>0.16666671260900001</v>
      </c>
      <c r="H19" s="421">
        <v>0</v>
      </c>
      <c r="I19" s="418">
        <v>0</v>
      </c>
      <c r="J19" s="419">
        <v>-0.16666671260900001</v>
      </c>
      <c r="K19" s="422">
        <v>0</v>
      </c>
    </row>
    <row r="20" spans="1:11" ht="14.4" customHeight="1" thickBot="1" x14ac:dyDescent="0.35">
      <c r="A20" s="440" t="s">
        <v>268</v>
      </c>
      <c r="B20" s="418">
        <v>0</v>
      </c>
      <c r="C20" s="418">
        <v>9.7860000000000003E-2</v>
      </c>
      <c r="D20" s="419">
        <v>9.7860000000000003E-2</v>
      </c>
      <c r="E20" s="428" t="s">
        <v>257</v>
      </c>
      <c r="F20" s="418">
        <v>9.7860026975E-2</v>
      </c>
      <c r="G20" s="419">
        <v>1.6310004494999999E-2</v>
      </c>
      <c r="H20" s="421">
        <v>0</v>
      </c>
      <c r="I20" s="418">
        <v>0</v>
      </c>
      <c r="J20" s="419">
        <v>-1.6310004494999999E-2</v>
      </c>
      <c r="K20" s="422">
        <v>0</v>
      </c>
    </row>
    <row r="21" spans="1:11" ht="14.4" customHeight="1" thickBot="1" x14ac:dyDescent="0.35">
      <c r="A21" s="439" t="s">
        <v>269</v>
      </c>
      <c r="B21" s="423">
        <v>32.748992362406</v>
      </c>
      <c r="C21" s="423">
        <v>36.696170000000002</v>
      </c>
      <c r="D21" s="424">
        <v>3.9471776375930001</v>
      </c>
      <c r="E21" s="430">
        <v>1.1205282163770001</v>
      </c>
      <c r="F21" s="423">
        <v>39.167511356836997</v>
      </c>
      <c r="G21" s="424">
        <v>6.5279185594719999</v>
      </c>
      <c r="H21" s="426">
        <v>1.1644099999999999</v>
      </c>
      <c r="I21" s="423">
        <v>4.9551400000000001</v>
      </c>
      <c r="J21" s="424">
        <v>-1.5727785594720001</v>
      </c>
      <c r="K21" s="431">
        <v>0.126511484348</v>
      </c>
    </row>
    <row r="22" spans="1:11" ht="14.4" customHeight="1" thickBot="1" x14ac:dyDescent="0.35">
      <c r="A22" s="440" t="s">
        <v>270</v>
      </c>
      <c r="B22" s="418">
        <v>3.4138530778780001</v>
      </c>
      <c r="C22" s="418">
        <v>2.2488999999999999</v>
      </c>
      <c r="D22" s="419">
        <v>-1.164953077878</v>
      </c>
      <c r="E22" s="420">
        <v>0.65875711364699996</v>
      </c>
      <c r="F22" s="418">
        <v>1.4134690596199999</v>
      </c>
      <c r="G22" s="419">
        <v>0.23557817660300001</v>
      </c>
      <c r="H22" s="421">
        <v>0</v>
      </c>
      <c r="I22" s="418">
        <v>0</v>
      </c>
      <c r="J22" s="419">
        <v>-0.23557817660300001</v>
      </c>
      <c r="K22" s="422">
        <v>0</v>
      </c>
    </row>
    <row r="23" spans="1:11" ht="14.4" customHeight="1" thickBot="1" x14ac:dyDescent="0.35">
      <c r="A23" s="440" t="s">
        <v>271</v>
      </c>
      <c r="B23" s="418">
        <v>0.99999996850200001</v>
      </c>
      <c r="C23" s="418">
        <v>0.21332999999999999</v>
      </c>
      <c r="D23" s="419">
        <v>-0.78666996850199999</v>
      </c>
      <c r="E23" s="420">
        <v>0.21333000671899999</v>
      </c>
      <c r="F23" s="418">
        <v>0.13080912638200001</v>
      </c>
      <c r="G23" s="419">
        <v>2.1801521062999998E-2</v>
      </c>
      <c r="H23" s="421">
        <v>9.0799999999999995E-3</v>
      </c>
      <c r="I23" s="418">
        <v>0.14102999999999999</v>
      </c>
      <c r="J23" s="419">
        <v>0.119228478936</v>
      </c>
      <c r="K23" s="422">
        <v>1.0781357837959999</v>
      </c>
    </row>
    <row r="24" spans="1:11" ht="14.4" customHeight="1" thickBot="1" x14ac:dyDescent="0.35">
      <c r="A24" s="440" t="s">
        <v>272</v>
      </c>
      <c r="B24" s="418">
        <v>3.103646111157</v>
      </c>
      <c r="C24" s="418">
        <v>7.89811</v>
      </c>
      <c r="D24" s="419">
        <v>4.7944638888420004</v>
      </c>
      <c r="E24" s="420">
        <v>2.54478433337</v>
      </c>
      <c r="F24" s="418">
        <v>9.7842584132030002</v>
      </c>
      <c r="G24" s="419">
        <v>1.630709735533</v>
      </c>
      <c r="H24" s="421">
        <v>0.63451999999999997</v>
      </c>
      <c r="I24" s="418">
        <v>1.09432</v>
      </c>
      <c r="J24" s="419">
        <v>-0.53638973553299996</v>
      </c>
      <c r="K24" s="422">
        <v>0.111844960934</v>
      </c>
    </row>
    <row r="25" spans="1:11" ht="14.4" customHeight="1" thickBot="1" x14ac:dyDescent="0.35">
      <c r="A25" s="440" t="s">
        <v>273</v>
      </c>
      <c r="B25" s="418">
        <v>7.9999997480190004</v>
      </c>
      <c r="C25" s="418">
        <v>9.35947</v>
      </c>
      <c r="D25" s="419">
        <v>1.3594702519799999</v>
      </c>
      <c r="E25" s="420">
        <v>1.1699337868499999</v>
      </c>
      <c r="F25" s="418">
        <v>7.9561468012230003</v>
      </c>
      <c r="G25" s="419">
        <v>1.3260244668700001</v>
      </c>
      <c r="H25" s="421">
        <v>4.4209999999999999E-2</v>
      </c>
      <c r="I25" s="418">
        <v>2.3628300000000002</v>
      </c>
      <c r="J25" s="419">
        <v>1.036805533129</v>
      </c>
      <c r="K25" s="422">
        <v>0.29698169968799998</v>
      </c>
    </row>
    <row r="26" spans="1:11" ht="14.4" customHeight="1" thickBot="1" x14ac:dyDescent="0.35">
      <c r="A26" s="440" t="s">
        <v>274</v>
      </c>
      <c r="B26" s="418">
        <v>1.999999937004</v>
      </c>
      <c r="C26" s="418">
        <v>2.27006</v>
      </c>
      <c r="D26" s="419">
        <v>0.27006006299500002</v>
      </c>
      <c r="E26" s="420">
        <v>1.1350300357500001</v>
      </c>
      <c r="F26" s="418">
        <v>2.498793429554</v>
      </c>
      <c r="G26" s="419">
        <v>0.41646557159199998</v>
      </c>
      <c r="H26" s="421">
        <v>0</v>
      </c>
      <c r="I26" s="418">
        <v>0</v>
      </c>
      <c r="J26" s="419">
        <v>-0.41646557159199998</v>
      </c>
      <c r="K26" s="422">
        <v>0</v>
      </c>
    </row>
    <row r="27" spans="1:11" ht="14.4" customHeight="1" thickBot="1" x14ac:dyDescent="0.35">
      <c r="A27" s="440" t="s">
        <v>275</v>
      </c>
      <c r="B27" s="418">
        <v>3.4633778529999999E-2</v>
      </c>
      <c r="C27" s="418">
        <v>1.1359999999999999</v>
      </c>
      <c r="D27" s="419">
        <v>1.1013662214690001</v>
      </c>
      <c r="E27" s="420">
        <v>32.800348336356997</v>
      </c>
      <c r="F27" s="418">
        <v>0</v>
      </c>
      <c r="G27" s="419">
        <v>0</v>
      </c>
      <c r="H27" s="421">
        <v>0</v>
      </c>
      <c r="I27" s="418">
        <v>0</v>
      </c>
      <c r="J27" s="419">
        <v>0</v>
      </c>
      <c r="K27" s="429" t="s">
        <v>251</v>
      </c>
    </row>
    <row r="28" spans="1:11" ht="14.4" customHeight="1" thickBot="1" x14ac:dyDescent="0.35">
      <c r="A28" s="440" t="s">
        <v>276</v>
      </c>
      <c r="B28" s="418">
        <v>2.5871295573049999</v>
      </c>
      <c r="C28" s="418">
        <v>2.2104499999999998</v>
      </c>
      <c r="D28" s="419">
        <v>-0.37667955730500002</v>
      </c>
      <c r="E28" s="420">
        <v>0.85440251484800001</v>
      </c>
      <c r="F28" s="418">
        <v>3.2514264747569999</v>
      </c>
      <c r="G28" s="419">
        <v>0.54190441245900001</v>
      </c>
      <c r="H28" s="421">
        <v>0</v>
      </c>
      <c r="I28" s="418">
        <v>0</v>
      </c>
      <c r="J28" s="419">
        <v>-0.54190441245900001</v>
      </c>
      <c r="K28" s="422">
        <v>0</v>
      </c>
    </row>
    <row r="29" spans="1:11" ht="14.4" customHeight="1" thickBot="1" x14ac:dyDescent="0.35">
      <c r="A29" s="440" t="s">
        <v>277</v>
      </c>
      <c r="B29" s="418">
        <v>7.6097303414950002</v>
      </c>
      <c r="C29" s="418">
        <v>6.6943799999999998</v>
      </c>
      <c r="D29" s="419">
        <v>-0.91535034149500005</v>
      </c>
      <c r="E29" s="420">
        <v>0.87971316979400005</v>
      </c>
      <c r="F29" s="418">
        <v>10.506983314857999</v>
      </c>
      <c r="G29" s="419">
        <v>1.751163885809</v>
      </c>
      <c r="H29" s="421">
        <v>0.19117999999999999</v>
      </c>
      <c r="I29" s="418">
        <v>0.56144000000000005</v>
      </c>
      <c r="J29" s="419">
        <v>-1.189723885809</v>
      </c>
      <c r="K29" s="422">
        <v>5.3434937809000001E-2</v>
      </c>
    </row>
    <row r="30" spans="1:11" ht="14.4" customHeight="1" thickBot="1" x14ac:dyDescent="0.35">
      <c r="A30" s="440" t="s">
        <v>278</v>
      </c>
      <c r="B30" s="418">
        <v>4.9999998425119996</v>
      </c>
      <c r="C30" s="418">
        <v>4.66547</v>
      </c>
      <c r="D30" s="419">
        <v>-0.33452984251200002</v>
      </c>
      <c r="E30" s="420">
        <v>0.93309402938999997</v>
      </c>
      <c r="F30" s="418">
        <v>3.6256247372389998</v>
      </c>
      <c r="G30" s="419">
        <v>0.60427078953900004</v>
      </c>
      <c r="H30" s="421">
        <v>0.28542000000000001</v>
      </c>
      <c r="I30" s="418">
        <v>0.79552</v>
      </c>
      <c r="J30" s="419">
        <v>0.19124921046000001</v>
      </c>
      <c r="K30" s="422">
        <v>0.21941597866599999</v>
      </c>
    </row>
    <row r="31" spans="1:11" ht="14.4" customHeight="1" thickBot="1" x14ac:dyDescent="0.35">
      <c r="A31" s="439" t="s">
        <v>279</v>
      </c>
      <c r="B31" s="423">
        <v>0.99999996850200001</v>
      </c>
      <c r="C31" s="423">
        <v>15.904059999999999</v>
      </c>
      <c r="D31" s="424">
        <v>14.904060031497</v>
      </c>
      <c r="E31" s="430">
        <v>15.904060500939</v>
      </c>
      <c r="F31" s="423">
        <v>22.485524481300001</v>
      </c>
      <c r="G31" s="424">
        <v>3.7475874135499998</v>
      </c>
      <c r="H31" s="426">
        <v>0</v>
      </c>
      <c r="I31" s="423">
        <v>0.159</v>
      </c>
      <c r="J31" s="424">
        <v>-3.58858741355</v>
      </c>
      <c r="K31" s="431">
        <v>7.071215978E-3</v>
      </c>
    </row>
    <row r="32" spans="1:11" ht="14.4" customHeight="1" thickBot="1" x14ac:dyDescent="0.35">
      <c r="A32" s="440" t="s">
        <v>280</v>
      </c>
      <c r="B32" s="418">
        <v>0</v>
      </c>
      <c r="C32" s="418">
        <v>0.114</v>
      </c>
      <c r="D32" s="419">
        <v>0.114</v>
      </c>
      <c r="E32" s="428" t="s">
        <v>257</v>
      </c>
      <c r="F32" s="418">
        <v>0.275497947721</v>
      </c>
      <c r="G32" s="419">
        <v>4.5916324619999997E-2</v>
      </c>
      <c r="H32" s="421">
        <v>0</v>
      </c>
      <c r="I32" s="418">
        <v>0</v>
      </c>
      <c r="J32" s="419">
        <v>-4.5916324619999997E-2</v>
      </c>
      <c r="K32" s="422">
        <v>0</v>
      </c>
    </row>
    <row r="33" spans="1:11" ht="14.4" customHeight="1" thickBot="1" x14ac:dyDescent="0.35">
      <c r="A33" s="440" t="s">
        <v>281</v>
      </c>
      <c r="B33" s="418">
        <v>0</v>
      </c>
      <c r="C33" s="418">
        <v>13.486499999999999</v>
      </c>
      <c r="D33" s="419">
        <v>13.486499999999999</v>
      </c>
      <c r="E33" s="428" t="s">
        <v>257</v>
      </c>
      <c r="F33" s="418">
        <v>18.874634079621</v>
      </c>
      <c r="G33" s="419">
        <v>3.1457723466030001</v>
      </c>
      <c r="H33" s="421">
        <v>0</v>
      </c>
      <c r="I33" s="418">
        <v>0</v>
      </c>
      <c r="J33" s="419">
        <v>-3.1457723466030001</v>
      </c>
      <c r="K33" s="422">
        <v>0</v>
      </c>
    </row>
    <row r="34" spans="1:11" ht="14.4" customHeight="1" thickBot="1" x14ac:dyDescent="0.35">
      <c r="A34" s="440" t="s">
        <v>282</v>
      </c>
      <c r="B34" s="418">
        <v>0</v>
      </c>
      <c r="C34" s="418">
        <v>0.84699999999999998</v>
      </c>
      <c r="D34" s="419">
        <v>0.84699999999999998</v>
      </c>
      <c r="E34" s="428" t="s">
        <v>257</v>
      </c>
      <c r="F34" s="418">
        <v>1.6439529347399999</v>
      </c>
      <c r="G34" s="419">
        <v>0.27399215579000002</v>
      </c>
      <c r="H34" s="421">
        <v>0</v>
      </c>
      <c r="I34" s="418">
        <v>0</v>
      </c>
      <c r="J34" s="419">
        <v>-0.27399215579000002</v>
      </c>
      <c r="K34" s="422">
        <v>0</v>
      </c>
    </row>
    <row r="35" spans="1:11" ht="14.4" customHeight="1" thickBot="1" x14ac:dyDescent="0.35">
      <c r="A35" s="440" t="s">
        <v>283</v>
      </c>
      <c r="B35" s="418">
        <v>0.99999996850200001</v>
      </c>
      <c r="C35" s="418">
        <v>1.4565600000000001</v>
      </c>
      <c r="D35" s="419">
        <v>0.45656003149699997</v>
      </c>
      <c r="E35" s="420">
        <v>1.4565600458779999</v>
      </c>
      <c r="F35" s="418">
        <v>1.6914395192160001</v>
      </c>
      <c r="G35" s="419">
        <v>0.28190658653599998</v>
      </c>
      <c r="H35" s="421">
        <v>0</v>
      </c>
      <c r="I35" s="418">
        <v>0.159</v>
      </c>
      <c r="J35" s="419">
        <v>-0.12290658653600001</v>
      </c>
      <c r="K35" s="422">
        <v>9.4002769944000003E-2</v>
      </c>
    </row>
    <row r="36" spans="1:11" ht="14.4" customHeight="1" thickBot="1" x14ac:dyDescent="0.35">
      <c r="A36" s="439" t="s">
        <v>284</v>
      </c>
      <c r="B36" s="423">
        <v>5.9999998110139998</v>
      </c>
      <c r="C36" s="423">
        <v>10.038309999999999</v>
      </c>
      <c r="D36" s="424">
        <v>4.0383101889850002</v>
      </c>
      <c r="E36" s="430">
        <v>1.6730517193629999</v>
      </c>
      <c r="F36" s="423">
        <v>7.8931607550100003</v>
      </c>
      <c r="G36" s="424">
        <v>1.3155267925009999</v>
      </c>
      <c r="H36" s="426">
        <v>2.9124599999999998</v>
      </c>
      <c r="I36" s="423">
        <v>5.1284400000000003</v>
      </c>
      <c r="J36" s="424">
        <v>3.8129132074980001</v>
      </c>
      <c r="K36" s="431">
        <v>0.64973211102299999</v>
      </c>
    </row>
    <row r="37" spans="1:11" ht="14.4" customHeight="1" thickBot="1" x14ac:dyDescent="0.35">
      <c r="A37" s="440" t="s">
        <v>285</v>
      </c>
      <c r="B37" s="418">
        <v>1.999999937004</v>
      </c>
      <c r="C37" s="418">
        <v>5.9622999999999999</v>
      </c>
      <c r="D37" s="419">
        <v>3.9623000629949998</v>
      </c>
      <c r="E37" s="420">
        <v>2.9811500938990001</v>
      </c>
      <c r="F37" s="418">
        <v>0</v>
      </c>
      <c r="G37" s="419">
        <v>0</v>
      </c>
      <c r="H37" s="421">
        <v>2.9124599999999998</v>
      </c>
      <c r="I37" s="418">
        <v>3.3395800000000002</v>
      </c>
      <c r="J37" s="419">
        <v>3.3395800000000002</v>
      </c>
      <c r="K37" s="429" t="s">
        <v>251</v>
      </c>
    </row>
    <row r="38" spans="1:11" ht="14.4" customHeight="1" thickBot="1" x14ac:dyDescent="0.35">
      <c r="A38" s="440" t="s">
        <v>286</v>
      </c>
      <c r="B38" s="418">
        <v>0</v>
      </c>
      <c r="C38" s="418">
        <v>8.5180000000000006E-2</v>
      </c>
      <c r="D38" s="419">
        <v>8.5180000000000006E-2</v>
      </c>
      <c r="E38" s="428" t="s">
        <v>251</v>
      </c>
      <c r="F38" s="418">
        <v>0.110550856534</v>
      </c>
      <c r="G38" s="419">
        <v>1.8425142754999999E-2</v>
      </c>
      <c r="H38" s="421">
        <v>0</v>
      </c>
      <c r="I38" s="418">
        <v>0</v>
      </c>
      <c r="J38" s="419">
        <v>-1.8425142754999999E-2</v>
      </c>
      <c r="K38" s="422">
        <v>0</v>
      </c>
    </row>
    <row r="39" spans="1:11" ht="14.4" customHeight="1" thickBot="1" x14ac:dyDescent="0.35">
      <c r="A39" s="440" t="s">
        <v>287</v>
      </c>
      <c r="B39" s="418">
        <v>3.9999998740090001</v>
      </c>
      <c r="C39" s="418">
        <v>3.9908299999999999</v>
      </c>
      <c r="D39" s="419">
        <v>-9.1698740090000001E-3</v>
      </c>
      <c r="E39" s="420">
        <v>0.99770753142500002</v>
      </c>
      <c r="F39" s="418">
        <v>7.7826098984750001</v>
      </c>
      <c r="G39" s="419">
        <v>1.2971016497450001</v>
      </c>
      <c r="H39" s="421">
        <v>0</v>
      </c>
      <c r="I39" s="418">
        <v>1.7888599999999999</v>
      </c>
      <c r="J39" s="419">
        <v>0.491758350254</v>
      </c>
      <c r="K39" s="422">
        <v>0.22985348402799999</v>
      </c>
    </row>
    <row r="40" spans="1:11" ht="14.4" customHeight="1" thickBot="1" x14ac:dyDescent="0.35">
      <c r="A40" s="439" t="s">
        <v>288</v>
      </c>
      <c r="B40" s="423">
        <v>0</v>
      </c>
      <c r="C40" s="423">
        <v>3.9329999999999998</v>
      </c>
      <c r="D40" s="424">
        <v>3.9329999999999998</v>
      </c>
      <c r="E40" s="425" t="s">
        <v>251</v>
      </c>
      <c r="F40" s="423">
        <v>0</v>
      </c>
      <c r="G40" s="424">
        <v>0</v>
      </c>
      <c r="H40" s="426">
        <v>0.41399999999999998</v>
      </c>
      <c r="I40" s="423">
        <v>0.41399999999999998</v>
      </c>
      <c r="J40" s="424">
        <v>0.41399999999999998</v>
      </c>
      <c r="K40" s="427" t="s">
        <v>251</v>
      </c>
    </row>
    <row r="41" spans="1:11" ht="14.4" customHeight="1" thickBot="1" x14ac:dyDescent="0.35">
      <c r="A41" s="440" t="s">
        <v>289</v>
      </c>
      <c r="B41" s="418">
        <v>0</v>
      </c>
      <c r="C41" s="418">
        <v>3.9329999999999998</v>
      </c>
      <c r="D41" s="419">
        <v>3.9329999999999998</v>
      </c>
      <c r="E41" s="428" t="s">
        <v>251</v>
      </c>
      <c r="F41" s="418">
        <v>0</v>
      </c>
      <c r="G41" s="419">
        <v>0</v>
      </c>
      <c r="H41" s="421">
        <v>0.41399999999999998</v>
      </c>
      <c r="I41" s="418">
        <v>0.41399999999999998</v>
      </c>
      <c r="J41" s="419">
        <v>0.41399999999999998</v>
      </c>
      <c r="K41" s="429" t="s">
        <v>251</v>
      </c>
    </row>
    <row r="42" spans="1:11" ht="14.4" customHeight="1" thickBot="1" x14ac:dyDescent="0.35">
      <c r="A42" s="438" t="s">
        <v>42</v>
      </c>
      <c r="B42" s="418">
        <v>179.854302898013</v>
      </c>
      <c r="C42" s="418">
        <v>177.62899999999999</v>
      </c>
      <c r="D42" s="419">
        <v>-2.225302898012</v>
      </c>
      <c r="E42" s="420">
        <v>0.98762719121999998</v>
      </c>
      <c r="F42" s="418">
        <v>175.12989433487701</v>
      </c>
      <c r="G42" s="419">
        <v>29.188315722479</v>
      </c>
      <c r="H42" s="421">
        <v>15.734999999999999</v>
      </c>
      <c r="I42" s="418">
        <v>35.954000000000001</v>
      </c>
      <c r="J42" s="419">
        <v>6.7656842775200001</v>
      </c>
      <c r="K42" s="422">
        <v>0.20529904466900001</v>
      </c>
    </row>
    <row r="43" spans="1:11" ht="14.4" customHeight="1" thickBot="1" x14ac:dyDescent="0.35">
      <c r="A43" s="439" t="s">
        <v>290</v>
      </c>
      <c r="B43" s="423">
        <v>179.854302898013</v>
      </c>
      <c r="C43" s="423">
        <v>177.62899999999999</v>
      </c>
      <c r="D43" s="424">
        <v>-2.225302898012</v>
      </c>
      <c r="E43" s="430">
        <v>0.98762719121999998</v>
      </c>
      <c r="F43" s="423">
        <v>175.12989433487701</v>
      </c>
      <c r="G43" s="424">
        <v>29.188315722479</v>
      </c>
      <c r="H43" s="426">
        <v>15.734999999999999</v>
      </c>
      <c r="I43" s="423">
        <v>35.954000000000001</v>
      </c>
      <c r="J43" s="424">
        <v>6.7656842775200001</v>
      </c>
      <c r="K43" s="431">
        <v>0.20529904466900001</v>
      </c>
    </row>
    <row r="44" spans="1:11" ht="14.4" customHeight="1" thickBot="1" x14ac:dyDescent="0.35">
      <c r="A44" s="440" t="s">
        <v>291</v>
      </c>
      <c r="B44" s="418">
        <v>73.854306236754994</v>
      </c>
      <c r="C44" s="418">
        <v>74.149000000000001</v>
      </c>
      <c r="D44" s="419">
        <v>0.29469376324399998</v>
      </c>
      <c r="E44" s="420">
        <v>1.0039902042040001</v>
      </c>
      <c r="F44" s="418">
        <v>73.160508739852006</v>
      </c>
      <c r="G44" s="419">
        <v>12.193418123308</v>
      </c>
      <c r="H44" s="421">
        <v>5.202</v>
      </c>
      <c r="I44" s="418">
        <v>11.038</v>
      </c>
      <c r="J44" s="419">
        <v>-1.1554181233080001</v>
      </c>
      <c r="K44" s="422">
        <v>0.15087374582400001</v>
      </c>
    </row>
    <row r="45" spans="1:11" ht="14.4" customHeight="1" thickBot="1" x14ac:dyDescent="0.35">
      <c r="A45" s="440" t="s">
        <v>292</v>
      </c>
      <c r="B45" s="418">
        <v>49.999998425120999</v>
      </c>
      <c r="C45" s="418">
        <v>44.643000000000001</v>
      </c>
      <c r="D45" s="419">
        <v>-5.3569984251209997</v>
      </c>
      <c r="E45" s="420">
        <v>0.89286002812200005</v>
      </c>
      <c r="F45" s="418">
        <v>43.901615287989998</v>
      </c>
      <c r="G45" s="419">
        <v>7.3169358813310001</v>
      </c>
      <c r="H45" s="421">
        <v>3.4460000000000002</v>
      </c>
      <c r="I45" s="418">
        <v>8.2379999999999995</v>
      </c>
      <c r="J45" s="419">
        <v>0.92106411866799998</v>
      </c>
      <c r="K45" s="422">
        <v>0.18764685412900001</v>
      </c>
    </row>
    <row r="46" spans="1:11" ht="14.4" customHeight="1" thickBot="1" x14ac:dyDescent="0.35">
      <c r="A46" s="440" t="s">
        <v>293</v>
      </c>
      <c r="B46" s="418">
        <v>55.999998236136001</v>
      </c>
      <c r="C46" s="418">
        <v>58.837000000000003</v>
      </c>
      <c r="D46" s="419">
        <v>2.8370017638639999</v>
      </c>
      <c r="E46" s="420">
        <v>1.0506607473780001</v>
      </c>
      <c r="F46" s="418">
        <v>58.067770307033001</v>
      </c>
      <c r="G46" s="419">
        <v>9.6779617178380004</v>
      </c>
      <c r="H46" s="421">
        <v>7.0869999999999997</v>
      </c>
      <c r="I46" s="418">
        <v>16.678000000000001</v>
      </c>
      <c r="J46" s="419">
        <v>7.0000382821610003</v>
      </c>
      <c r="K46" s="422">
        <v>0.28721612543000002</v>
      </c>
    </row>
    <row r="47" spans="1:11" ht="14.4" customHeight="1" thickBot="1" x14ac:dyDescent="0.35">
      <c r="A47" s="441" t="s">
        <v>294</v>
      </c>
      <c r="B47" s="423">
        <v>322.55984174018897</v>
      </c>
      <c r="C47" s="423">
        <v>374.09733</v>
      </c>
      <c r="D47" s="424">
        <v>51.537488259810999</v>
      </c>
      <c r="E47" s="430">
        <v>1.159776517689</v>
      </c>
      <c r="F47" s="423">
        <v>397.64180510662197</v>
      </c>
      <c r="G47" s="424">
        <v>66.273634184436006</v>
      </c>
      <c r="H47" s="426">
        <v>19.25629</v>
      </c>
      <c r="I47" s="423">
        <v>48.436410000000002</v>
      </c>
      <c r="J47" s="424">
        <v>-17.837224184436</v>
      </c>
      <c r="K47" s="431">
        <v>0.121809149284</v>
      </c>
    </row>
    <row r="48" spans="1:11" ht="14.4" customHeight="1" thickBot="1" x14ac:dyDescent="0.35">
      <c r="A48" s="438" t="s">
        <v>45</v>
      </c>
      <c r="B48" s="418">
        <v>74.348924860227001</v>
      </c>
      <c r="C48" s="418">
        <v>111.54891000000001</v>
      </c>
      <c r="D48" s="419">
        <v>37.199985139771997</v>
      </c>
      <c r="E48" s="420">
        <v>1.500343282834</v>
      </c>
      <c r="F48" s="418">
        <v>129.365627981583</v>
      </c>
      <c r="G48" s="419">
        <v>21.560937996930001</v>
      </c>
      <c r="H48" s="421">
        <v>0.90991999999999995</v>
      </c>
      <c r="I48" s="418">
        <v>1.04392</v>
      </c>
      <c r="J48" s="419">
        <v>-20.517017996930001</v>
      </c>
      <c r="K48" s="422">
        <v>8.0695314220000005E-3</v>
      </c>
    </row>
    <row r="49" spans="1:11" ht="14.4" customHeight="1" thickBot="1" x14ac:dyDescent="0.35">
      <c r="A49" s="442" t="s">
        <v>295</v>
      </c>
      <c r="B49" s="418">
        <v>74.348924860227001</v>
      </c>
      <c r="C49" s="418">
        <v>111.54891000000001</v>
      </c>
      <c r="D49" s="419">
        <v>37.199985139771997</v>
      </c>
      <c r="E49" s="420">
        <v>1.500343282834</v>
      </c>
      <c r="F49" s="418">
        <v>129.365627981583</v>
      </c>
      <c r="G49" s="419">
        <v>21.560937996930001</v>
      </c>
      <c r="H49" s="421">
        <v>0.90991999999999995</v>
      </c>
      <c r="I49" s="418">
        <v>1.04392</v>
      </c>
      <c r="J49" s="419">
        <v>-20.517017996930001</v>
      </c>
      <c r="K49" s="422">
        <v>8.0695314220000005E-3</v>
      </c>
    </row>
    <row r="50" spans="1:11" ht="14.4" customHeight="1" thickBot="1" x14ac:dyDescent="0.35">
      <c r="A50" s="440" t="s">
        <v>296</v>
      </c>
      <c r="B50" s="418">
        <v>39.469972864801001</v>
      </c>
      <c r="C50" s="418">
        <v>14.904999999999999</v>
      </c>
      <c r="D50" s="419">
        <v>-24.564972864801</v>
      </c>
      <c r="E50" s="420">
        <v>0.37762883828299998</v>
      </c>
      <c r="F50" s="418">
        <v>12.694477909222</v>
      </c>
      <c r="G50" s="419">
        <v>2.1157463182030001</v>
      </c>
      <c r="H50" s="421">
        <v>0</v>
      </c>
      <c r="I50" s="418">
        <v>0</v>
      </c>
      <c r="J50" s="419">
        <v>-2.1157463182030001</v>
      </c>
      <c r="K50" s="422">
        <v>0</v>
      </c>
    </row>
    <row r="51" spans="1:11" ht="14.4" customHeight="1" thickBot="1" x14ac:dyDescent="0.35">
      <c r="A51" s="440" t="s">
        <v>297</v>
      </c>
      <c r="B51" s="418">
        <v>0</v>
      </c>
      <c r="C51" s="418">
        <v>36.31832</v>
      </c>
      <c r="D51" s="419">
        <v>36.31832</v>
      </c>
      <c r="E51" s="428" t="s">
        <v>257</v>
      </c>
      <c r="F51" s="418">
        <v>61.681015008307</v>
      </c>
      <c r="G51" s="419">
        <v>10.280169168051</v>
      </c>
      <c r="H51" s="421">
        <v>0</v>
      </c>
      <c r="I51" s="418">
        <v>0.13400000000000001</v>
      </c>
      <c r="J51" s="419">
        <v>-10.146169168050999</v>
      </c>
      <c r="K51" s="422">
        <v>2.1724674920000002E-3</v>
      </c>
    </row>
    <row r="52" spans="1:11" ht="14.4" customHeight="1" thickBot="1" x14ac:dyDescent="0.35">
      <c r="A52" s="440" t="s">
        <v>298</v>
      </c>
      <c r="B52" s="418">
        <v>23.999999244057999</v>
      </c>
      <c r="C52" s="418">
        <v>34.78378</v>
      </c>
      <c r="D52" s="419">
        <v>10.783780755941001</v>
      </c>
      <c r="E52" s="420">
        <v>1.4493242123159999</v>
      </c>
      <c r="F52" s="418">
        <v>31.594855416994999</v>
      </c>
      <c r="G52" s="419">
        <v>5.2658092361650004</v>
      </c>
      <c r="H52" s="421">
        <v>0</v>
      </c>
      <c r="I52" s="418">
        <v>0</v>
      </c>
      <c r="J52" s="419">
        <v>-5.2658092361650004</v>
      </c>
      <c r="K52" s="422">
        <v>0</v>
      </c>
    </row>
    <row r="53" spans="1:11" ht="14.4" customHeight="1" thickBot="1" x14ac:dyDescent="0.35">
      <c r="A53" s="440" t="s">
        <v>299</v>
      </c>
      <c r="B53" s="418">
        <v>10.878952751368001</v>
      </c>
      <c r="C53" s="418">
        <v>25.541810000000002</v>
      </c>
      <c r="D53" s="419">
        <v>14.662857248630999</v>
      </c>
      <c r="E53" s="420">
        <v>2.3478188189370002</v>
      </c>
      <c r="F53" s="418">
        <v>23.395279647056999</v>
      </c>
      <c r="G53" s="419">
        <v>3.899213274509</v>
      </c>
      <c r="H53" s="421">
        <v>0.90991999999999995</v>
      </c>
      <c r="I53" s="418">
        <v>0.90991999999999995</v>
      </c>
      <c r="J53" s="419">
        <v>-2.989293274509</v>
      </c>
      <c r="K53" s="422">
        <v>3.8893315818999998E-2</v>
      </c>
    </row>
    <row r="54" spans="1:11" ht="14.4" customHeight="1" thickBot="1" x14ac:dyDescent="0.35">
      <c r="A54" s="443" t="s">
        <v>46</v>
      </c>
      <c r="B54" s="423">
        <v>0</v>
      </c>
      <c r="C54" s="423">
        <v>6.7759999999999998</v>
      </c>
      <c r="D54" s="424">
        <v>6.7759999999999998</v>
      </c>
      <c r="E54" s="425" t="s">
        <v>251</v>
      </c>
      <c r="F54" s="423">
        <v>1.7450796022299999</v>
      </c>
      <c r="G54" s="424">
        <v>0.29084660037100002</v>
      </c>
      <c r="H54" s="426">
        <v>0</v>
      </c>
      <c r="I54" s="423">
        <v>0</v>
      </c>
      <c r="J54" s="424">
        <v>-0.29084660037100002</v>
      </c>
      <c r="K54" s="431">
        <v>0</v>
      </c>
    </row>
    <row r="55" spans="1:11" ht="14.4" customHeight="1" thickBot="1" x14ac:dyDescent="0.35">
      <c r="A55" s="439" t="s">
        <v>300</v>
      </c>
      <c r="B55" s="423">
        <v>0</v>
      </c>
      <c r="C55" s="423">
        <v>6.7759999999999998</v>
      </c>
      <c r="D55" s="424">
        <v>6.7759999999999998</v>
      </c>
      <c r="E55" s="425" t="s">
        <v>251</v>
      </c>
      <c r="F55" s="423">
        <v>1.7450796022299999</v>
      </c>
      <c r="G55" s="424">
        <v>0.29084660037100002</v>
      </c>
      <c r="H55" s="426">
        <v>0</v>
      </c>
      <c r="I55" s="423">
        <v>0</v>
      </c>
      <c r="J55" s="424">
        <v>-0.29084660037100002</v>
      </c>
      <c r="K55" s="431">
        <v>0</v>
      </c>
    </row>
    <row r="56" spans="1:11" ht="14.4" customHeight="1" thickBot="1" x14ac:dyDescent="0.35">
      <c r="A56" s="440" t="s">
        <v>301</v>
      </c>
      <c r="B56" s="418">
        <v>0</v>
      </c>
      <c r="C56" s="418">
        <v>5.7759999999999998</v>
      </c>
      <c r="D56" s="419">
        <v>5.7759999999999998</v>
      </c>
      <c r="E56" s="428" t="s">
        <v>251</v>
      </c>
      <c r="F56" s="418">
        <v>0</v>
      </c>
      <c r="G56" s="419">
        <v>0</v>
      </c>
      <c r="H56" s="421">
        <v>0</v>
      </c>
      <c r="I56" s="418">
        <v>0</v>
      </c>
      <c r="J56" s="419">
        <v>0</v>
      </c>
      <c r="K56" s="429" t="s">
        <v>251</v>
      </c>
    </row>
    <row r="57" spans="1:11" ht="14.4" customHeight="1" thickBot="1" x14ac:dyDescent="0.35">
      <c r="A57" s="440" t="s">
        <v>302</v>
      </c>
      <c r="B57" s="418">
        <v>0</v>
      </c>
      <c r="C57" s="418">
        <v>0.99999999999900002</v>
      </c>
      <c r="D57" s="419">
        <v>0.99999999999900002</v>
      </c>
      <c r="E57" s="428" t="s">
        <v>257</v>
      </c>
      <c r="F57" s="418">
        <v>1.7450796022299999</v>
      </c>
      <c r="G57" s="419">
        <v>0.29084660037100002</v>
      </c>
      <c r="H57" s="421">
        <v>0</v>
      </c>
      <c r="I57" s="418">
        <v>0</v>
      </c>
      <c r="J57" s="419">
        <v>-0.29084660037100002</v>
      </c>
      <c r="K57" s="422">
        <v>0</v>
      </c>
    </row>
    <row r="58" spans="1:11" ht="14.4" customHeight="1" thickBot="1" x14ac:dyDescent="0.35">
      <c r="A58" s="438" t="s">
        <v>47</v>
      </c>
      <c r="B58" s="418">
        <v>248.21091687996099</v>
      </c>
      <c r="C58" s="418">
        <v>255.77242000000001</v>
      </c>
      <c r="D58" s="419">
        <v>7.5615031200390002</v>
      </c>
      <c r="E58" s="420">
        <v>1.030464023158</v>
      </c>
      <c r="F58" s="418">
        <v>266.53109752280801</v>
      </c>
      <c r="G58" s="419">
        <v>44.421849587133998</v>
      </c>
      <c r="H58" s="421">
        <v>18.34637</v>
      </c>
      <c r="I58" s="418">
        <v>47.392490000000002</v>
      </c>
      <c r="J58" s="419">
        <v>2.9706404128649999</v>
      </c>
      <c r="K58" s="422">
        <v>0.177812234446</v>
      </c>
    </row>
    <row r="59" spans="1:11" ht="14.4" customHeight="1" thickBot="1" x14ac:dyDescent="0.35">
      <c r="A59" s="439" t="s">
        <v>303</v>
      </c>
      <c r="B59" s="423">
        <v>0.84709613800100003</v>
      </c>
      <c r="C59" s="423">
        <v>0.89500000000000002</v>
      </c>
      <c r="D59" s="424">
        <v>4.7903861998000001E-2</v>
      </c>
      <c r="E59" s="430">
        <v>1.0565506792549999</v>
      </c>
      <c r="F59" s="423">
        <v>0.82494280402200004</v>
      </c>
      <c r="G59" s="424">
        <v>0.13749046733699999</v>
      </c>
      <c r="H59" s="426">
        <v>0</v>
      </c>
      <c r="I59" s="423">
        <v>0</v>
      </c>
      <c r="J59" s="424">
        <v>-0.13749046733699999</v>
      </c>
      <c r="K59" s="431">
        <v>0</v>
      </c>
    </row>
    <row r="60" spans="1:11" ht="14.4" customHeight="1" thickBot="1" x14ac:dyDescent="0.35">
      <c r="A60" s="440" t="s">
        <v>304</v>
      </c>
      <c r="B60" s="418">
        <v>0.84709613800100003</v>
      </c>
      <c r="C60" s="418">
        <v>0.89500000000000002</v>
      </c>
      <c r="D60" s="419">
        <v>4.7903861998000001E-2</v>
      </c>
      <c r="E60" s="420">
        <v>1.0565506792549999</v>
      </c>
      <c r="F60" s="418">
        <v>0.82494280402200004</v>
      </c>
      <c r="G60" s="419">
        <v>0.13749046733699999</v>
      </c>
      <c r="H60" s="421">
        <v>0</v>
      </c>
      <c r="I60" s="418">
        <v>0</v>
      </c>
      <c r="J60" s="419">
        <v>-0.13749046733699999</v>
      </c>
      <c r="K60" s="422">
        <v>0</v>
      </c>
    </row>
    <row r="61" spans="1:11" ht="14.4" customHeight="1" thickBot="1" x14ac:dyDescent="0.35">
      <c r="A61" s="439" t="s">
        <v>305</v>
      </c>
      <c r="B61" s="423">
        <v>7.0525211648130002</v>
      </c>
      <c r="C61" s="423">
        <v>11.585710000000001</v>
      </c>
      <c r="D61" s="424">
        <v>4.5331888351860004</v>
      </c>
      <c r="E61" s="430">
        <v>1.6427756442329999</v>
      </c>
      <c r="F61" s="423">
        <v>10.392116347262</v>
      </c>
      <c r="G61" s="424">
        <v>1.7320193912099999</v>
      </c>
      <c r="H61" s="426">
        <v>1.1226400000000001</v>
      </c>
      <c r="I61" s="423">
        <v>2.4056799999999998</v>
      </c>
      <c r="J61" s="424">
        <v>0.67366060878900003</v>
      </c>
      <c r="K61" s="431">
        <v>0.23149086476799999</v>
      </c>
    </row>
    <row r="62" spans="1:11" ht="14.4" customHeight="1" thickBot="1" x14ac:dyDescent="0.35">
      <c r="A62" s="440" t="s">
        <v>306</v>
      </c>
      <c r="B62" s="418">
        <v>2.0249424230709998</v>
      </c>
      <c r="C62" s="418">
        <v>5.0589000000000004</v>
      </c>
      <c r="D62" s="419">
        <v>3.0339575769280001</v>
      </c>
      <c r="E62" s="420">
        <v>2.4982932563219999</v>
      </c>
      <c r="F62" s="418">
        <v>3.240198959168</v>
      </c>
      <c r="G62" s="419">
        <v>0.54003315986099998</v>
      </c>
      <c r="H62" s="421">
        <v>0.5605</v>
      </c>
      <c r="I62" s="418">
        <v>1.5427999999999999</v>
      </c>
      <c r="J62" s="419">
        <v>1.0027668401380001</v>
      </c>
      <c r="K62" s="422">
        <v>0.47614360088399998</v>
      </c>
    </row>
    <row r="63" spans="1:11" ht="14.4" customHeight="1" thickBot="1" x14ac:dyDescent="0.35">
      <c r="A63" s="440" t="s">
        <v>307</v>
      </c>
      <c r="B63" s="418">
        <v>5.0275787417420004</v>
      </c>
      <c r="C63" s="418">
        <v>6.5268100000000002</v>
      </c>
      <c r="D63" s="419">
        <v>1.499231258257</v>
      </c>
      <c r="E63" s="420">
        <v>1.298201447509</v>
      </c>
      <c r="F63" s="418">
        <v>7.1519173880939997</v>
      </c>
      <c r="G63" s="419">
        <v>1.1919862313489999</v>
      </c>
      <c r="H63" s="421">
        <v>0.56213999999999997</v>
      </c>
      <c r="I63" s="418">
        <v>0.86287999999999998</v>
      </c>
      <c r="J63" s="419">
        <v>-0.32910623134900002</v>
      </c>
      <c r="K63" s="422">
        <v>0.12065016319000001</v>
      </c>
    </row>
    <row r="64" spans="1:11" ht="14.4" customHeight="1" thickBot="1" x14ac:dyDescent="0.35">
      <c r="A64" s="439" t="s">
        <v>308</v>
      </c>
      <c r="B64" s="423">
        <v>7.9153635961560003</v>
      </c>
      <c r="C64" s="423">
        <v>11.540100000000001</v>
      </c>
      <c r="D64" s="424">
        <v>3.6247364038429999</v>
      </c>
      <c r="E64" s="430">
        <v>1.457936816143</v>
      </c>
      <c r="F64" s="423">
        <v>13.899839734187999</v>
      </c>
      <c r="G64" s="424">
        <v>2.3166399556980002</v>
      </c>
      <c r="H64" s="426">
        <v>0</v>
      </c>
      <c r="I64" s="423">
        <v>9.8989999999999991</v>
      </c>
      <c r="J64" s="424">
        <v>7.5823600443009997</v>
      </c>
      <c r="K64" s="431">
        <v>0.712166484599</v>
      </c>
    </row>
    <row r="65" spans="1:11" ht="14.4" customHeight="1" thickBot="1" x14ac:dyDescent="0.35">
      <c r="A65" s="440" t="s">
        <v>309</v>
      </c>
      <c r="B65" s="418">
        <v>3.9153637221470001</v>
      </c>
      <c r="C65" s="418">
        <v>3.78</v>
      </c>
      <c r="D65" s="419">
        <v>-0.13536372214699999</v>
      </c>
      <c r="E65" s="420">
        <v>0.96542754856099999</v>
      </c>
      <c r="F65" s="418">
        <v>4.0000011026219999</v>
      </c>
      <c r="G65" s="419">
        <v>0.66666685043700002</v>
      </c>
      <c r="H65" s="421">
        <v>0</v>
      </c>
      <c r="I65" s="418">
        <v>0.94499999999999995</v>
      </c>
      <c r="J65" s="419">
        <v>0.278333149562</v>
      </c>
      <c r="K65" s="422">
        <v>0.23624993487599999</v>
      </c>
    </row>
    <row r="66" spans="1:11" ht="14.4" customHeight="1" thickBot="1" x14ac:dyDescent="0.35">
      <c r="A66" s="440" t="s">
        <v>310</v>
      </c>
      <c r="B66" s="418">
        <v>3.9999998740090001</v>
      </c>
      <c r="C66" s="418">
        <v>7.7601000000000004</v>
      </c>
      <c r="D66" s="419">
        <v>3.7601001259900002</v>
      </c>
      <c r="E66" s="420">
        <v>1.9400250611059999</v>
      </c>
      <c r="F66" s="418">
        <v>9.8998386315650002</v>
      </c>
      <c r="G66" s="419">
        <v>1.64997310526</v>
      </c>
      <c r="H66" s="421">
        <v>0</v>
      </c>
      <c r="I66" s="418">
        <v>8.9540000000000006</v>
      </c>
      <c r="J66" s="419">
        <v>7.3040268947389997</v>
      </c>
      <c r="K66" s="422">
        <v>0.90445918698600003</v>
      </c>
    </row>
    <row r="67" spans="1:11" ht="14.4" customHeight="1" thickBot="1" x14ac:dyDescent="0.35">
      <c r="A67" s="439" t="s">
        <v>311</v>
      </c>
      <c r="B67" s="423">
        <v>88.564995754156996</v>
      </c>
      <c r="C67" s="423">
        <v>88.689369999999997</v>
      </c>
      <c r="D67" s="424">
        <v>0.12437424584200001</v>
      </c>
      <c r="E67" s="430">
        <v>1.00140432735</v>
      </c>
      <c r="F67" s="423">
        <v>91.119604865021003</v>
      </c>
      <c r="G67" s="424">
        <v>15.186600810836</v>
      </c>
      <c r="H67" s="426">
        <v>7.6665599999999996</v>
      </c>
      <c r="I67" s="423">
        <v>15.331469999999999</v>
      </c>
      <c r="J67" s="424">
        <v>0.14486918916300001</v>
      </c>
      <c r="K67" s="431">
        <v>0.168256546137</v>
      </c>
    </row>
    <row r="68" spans="1:11" ht="14.4" customHeight="1" thickBot="1" x14ac:dyDescent="0.35">
      <c r="A68" s="440" t="s">
        <v>312</v>
      </c>
      <c r="B68" s="418">
        <v>83.996751528019999</v>
      </c>
      <c r="C68" s="418">
        <v>83.182280000000006</v>
      </c>
      <c r="D68" s="419">
        <v>-0.81447152802</v>
      </c>
      <c r="E68" s="420">
        <v>0.99030353539600002</v>
      </c>
      <c r="F68" s="418">
        <v>86.369893281440994</v>
      </c>
      <c r="G68" s="419">
        <v>14.394982213573</v>
      </c>
      <c r="H68" s="421">
        <v>7.2601699999999996</v>
      </c>
      <c r="I68" s="418">
        <v>14.520339999999999</v>
      </c>
      <c r="J68" s="419">
        <v>0.12535778642600001</v>
      </c>
      <c r="K68" s="422">
        <v>0.16811807272500001</v>
      </c>
    </row>
    <row r="69" spans="1:11" ht="14.4" customHeight="1" thickBot="1" x14ac:dyDescent="0.35">
      <c r="A69" s="440" t="s">
        <v>313</v>
      </c>
      <c r="B69" s="418">
        <v>4.5682442261369998</v>
      </c>
      <c r="C69" s="418">
        <v>5.5070899999999998</v>
      </c>
      <c r="D69" s="419">
        <v>0.93884577386199997</v>
      </c>
      <c r="E69" s="420">
        <v>1.205515670219</v>
      </c>
      <c r="F69" s="418">
        <v>4.7497115835789998</v>
      </c>
      <c r="G69" s="419">
        <v>0.79161859726299999</v>
      </c>
      <c r="H69" s="421">
        <v>0.40638999999999997</v>
      </c>
      <c r="I69" s="418">
        <v>0.81113000000000002</v>
      </c>
      <c r="J69" s="419">
        <v>1.9511402736000001E-2</v>
      </c>
      <c r="K69" s="422">
        <v>0.17077457983</v>
      </c>
    </row>
    <row r="70" spans="1:11" ht="14.4" customHeight="1" thickBot="1" x14ac:dyDescent="0.35">
      <c r="A70" s="439" t="s">
        <v>314</v>
      </c>
      <c r="B70" s="423">
        <v>143.79566443307499</v>
      </c>
      <c r="C70" s="423">
        <v>142.96664000000001</v>
      </c>
      <c r="D70" s="424">
        <v>-0.82902443307499996</v>
      </c>
      <c r="E70" s="430">
        <v>0.99423470494499999</v>
      </c>
      <c r="F70" s="423">
        <v>150.29459377231299</v>
      </c>
      <c r="G70" s="424">
        <v>25.049098962052</v>
      </c>
      <c r="H70" s="426">
        <v>9.5571699999999993</v>
      </c>
      <c r="I70" s="423">
        <v>19.756340000000002</v>
      </c>
      <c r="J70" s="424">
        <v>-5.2927589620519999</v>
      </c>
      <c r="K70" s="431">
        <v>0.131450769479</v>
      </c>
    </row>
    <row r="71" spans="1:11" ht="14.4" customHeight="1" thickBot="1" x14ac:dyDescent="0.35">
      <c r="A71" s="440" t="s">
        <v>315</v>
      </c>
      <c r="B71" s="418">
        <v>0</v>
      </c>
      <c r="C71" s="418">
        <v>10.506</v>
      </c>
      <c r="D71" s="419">
        <v>10.506</v>
      </c>
      <c r="E71" s="428" t="s">
        <v>257</v>
      </c>
      <c r="F71" s="418">
        <v>0</v>
      </c>
      <c r="G71" s="419">
        <v>0</v>
      </c>
      <c r="H71" s="421">
        <v>0</v>
      </c>
      <c r="I71" s="418">
        <v>0</v>
      </c>
      <c r="J71" s="419">
        <v>0</v>
      </c>
      <c r="K71" s="429" t="s">
        <v>251</v>
      </c>
    </row>
    <row r="72" spans="1:11" ht="14.4" customHeight="1" thickBot="1" x14ac:dyDescent="0.35">
      <c r="A72" s="440" t="s">
        <v>316</v>
      </c>
      <c r="B72" s="418">
        <v>130.385312309455</v>
      </c>
      <c r="C72" s="418">
        <v>87.469769999999997</v>
      </c>
      <c r="D72" s="419">
        <v>-42.915542309453997</v>
      </c>
      <c r="E72" s="420">
        <v>0.67085600709600002</v>
      </c>
      <c r="F72" s="418">
        <v>87.358313067590004</v>
      </c>
      <c r="G72" s="419">
        <v>14.559718844598001</v>
      </c>
      <c r="H72" s="421">
        <v>6.0549999999999997</v>
      </c>
      <c r="I72" s="418">
        <v>12.752000000000001</v>
      </c>
      <c r="J72" s="419">
        <v>-1.8077188445979999</v>
      </c>
      <c r="K72" s="422">
        <v>0.14597351473699999</v>
      </c>
    </row>
    <row r="73" spans="1:11" ht="14.4" customHeight="1" thickBot="1" x14ac:dyDescent="0.35">
      <c r="A73" s="440" t="s">
        <v>317</v>
      </c>
      <c r="B73" s="418">
        <v>0.49402417199499998</v>
      </c>
      <c r="C73" s="418">
        <v>0.40500000000000003</v>
      </c>
      <c r="D73" s="419">
        <v>-8.9024171994999998E-2</v>
      </c>
      <c r="E73" s="420">
        <v>0.81979794301099995</v>
      </c>
      <c r="F73" s="418">
        <v>0</v>
      </c>
      <c r="G73" s="419">
        <v>0</v>
      </c>
      <c r="H73" s="421">
        <v>0</v>
      </c>
      <c r="I73" s="418">
        <v>0</v>
      </c>
      <c r="J73" s="419">
        <v>0</v>
      </c>
      <c r="K73" s="429" t="s">
        <v>251</v>
      </c>
    </row>
    <row r="74" spans="1:11" ht="14.4" customHeight="1" thickBot="1" x14ac:dyDescent="0.35">
      <c r="A74" s="440" t="s">
        <v>318</v>
      </c>
      <c r="B74" s="418">
        <v>2.3609854179949998</v>
      </c>
      <c r="C74" s="418">
        <v>5.5765799999999999</v>
      </c>
      <c r="D74" s="419">
        <v>3.2155945820039999</v>
      </c>
      <c r="E74" s="420">
        <v>2.3619713859710001</v>
      </c>
      <c r="F74" s="418">
        <v>4.6043004352679997</v>
      </c>
      <c r="G74" s="419">
        <v>0.76738340587800002</v>
      </c>
      <c r="H74" s="421">
        <v>0</v>
      </c>
      <c r="I74" s="418">
        <v>0</v>
      </c>
      <c r="J74" s="419">
        <v>-0.76738340587800002</v>
      </c>
      <c r="K74" s="422">
        <v>0</v>
      </c>
    </row>
    <row r="75" spans="1:11" ht="14.4" customHeight="1" thickBot="1" x14ac:dyDescent="0.35">
      <c r="A75" s="440" t="s">
        <v>319</v>
      </c>
      <c r="B75" s="418">
        <v>10.555342533629</v>
      </c>
      <c r="C75" s="418">
        <v>39.00929</v>
      </c>
      <c r="D75" s="419">
        <v>28.45394746637</v>
      </c>
      <c r="E75" s="420">
        <v>3.6956915302089999</v>
      </c>
      <c r="F75" s="418">
        <v>58.331980269452998</v>
      </c>
      <c r="G75" s="419">
        <v>9.7219967115750006</v>
      </c>
      <c r="H75" s="421">
        <v>3.50217</v>
      </c>
      <c r="I75" s="418">
        <v>7.00434</v>
      </c>
      <c r="J75" s="419">
        <v>-2.7176567115750001</v>
      </c>
      <c r="K75" s="422">
        <v>0.120077185236</v>
      </c>
    </row>
    <row r="76" spans="1:11" ht="14.4" customHeight="1" thickBot="1" x14ac:dyDescent="0.35">
      <c r="A76" s="439" t="s">
        <v>320</v>
      </c>
      <c r="B76" s="423">
        <v>3.5275793755999998E-2</v>
      </c>
      <c r="C76" s="423">
        <v>9.5600000000000004E-2</v>
      </c>
      <c r="D76" s="424">
        <v>6.0324206243E-2</v>
      </c>
      <c r="E76" s="430">
        <v>2.710073674312</v>
      </c>
      <c r="F76" s="423">
        <v>0</v>
      </c>
      <c r="G76" s="424">
        <v>0</v>
      </c>
      <c r="H76" s="426">
        <v>0</v>
      </c>
      <c r="I76" s="423">
        <v>0</v>
      </c>
      <c r="J76" s="424">
        <v>0</v>
      </c>
      <c r="K76" s="427" t="s">
        <v>251</v>
      </c>
    </row>
    <row r="77" spans="1:11" ht="14.4" customHeight="1" thickBot="1" x14ac:dyDescent="0.35">
      <c r="A77" s="440" t="s">
        <v>321</v>
      </c>
      <c r="B77" s="418">
        <v>3.5275793755999998E-2</v>
      </c>
      <c r="C77" s="418">
        <v>9.5600000000000004E-2</v>
      </c>
      <c r="D77" s="419">
        <v>6.0324206243E-2</v>
      </c>
      <c r="E77" s="420">
        <v>2.710073674312</v>
      </c>
      <c r="F77" s="418">
        <v>0</v>
      </c>
      <c r="G77" s="419">
        <v>0</v>
      </c>
      <c r="H77" s="421">
        <v>0</v>
      </c>
      <c r="I77" s="418">
        <v>0</v>
      </c>
      <c r="J77" s="419">
        <v>0</v>
      </c>
      <c r="K77" s="429" t="s">
        <v>251</v>
      </c>
    </row>
    <row r="78" spans="1:11" ht="14.4" customHeight="1" thickBot="1" x14ac:dyDescent="0.35">
      <c r="A78" s="437" t="s">
        <v>48</v>
      </c>
      <c r="B78" s="418">
        <v>4870.9998465752997</v>
      </c>
      <c r="C78" s="418">
        <v>5381.6827999999996</v>
      </c>
      <c r="D78" s="419">
        <v>510.682953424696</v>
      </c>
      <c r="E78" s="420">
        <v>1.104841504723</v>
      </c>
      <c r="F78" s="418">
        <v>4845.0013355517704</v>
      </c>
      <c r="G78" s="419">
        <v>807.50022259196203</v>
      </c>
      <c r="H78" s="421">
        <v>446.98442</v>
      </c>
      <c r="I78" s="418">
        <v>907.57685000000004</v>
      </c>
      <c r="J78" s="419">
        <v>100.07662740803799</v>
      </c>
      <c r="K78" s="422">
        <v>0.18732231162400001</v>
      </c>
    </row>
    <row r="79" spans="1:11" ht="14.4" customHeight="1" thickBot="1" x14ac:dyDescent="0.35">
      <c r="A79" s="443" t="s">
        <v>322</v>
      </c>
      <c r="B79" s="423">
        <v>3610.9998862622501</v>
      </c>
      <c r="C79" s="423">
        <v>3991</v>
      </c>
      <c r="D79" s="424">
        <v>380.00011373774902</v>
      </c>
      <c r="E79" s="430">
        <v>1.1052340420119999</v>
      </c>
      <c r="F79" s="423">
        <v>3709.0010224069201</v>
      </c>
      <c r="G79" s="424">
        <v>618.16683706781998</v>
      </c>
      <c r="H79" s="426">
        <v>331.00599999999997</v>
      </c>
      <c r="I79" s="423">
        <v>672.82899999999995</v>
      </c>
      <c r="J79" s="424">
        <v>54.662162932180003</v>
      </c>
      <c r="K79" s="431">
        <v>0.18140437167099999</v>
      </c>
    </row>
    <row r="80" spans="1:11" ht="14.4" customHeight="1" thickBot="1" x14ac:dyDescent="0.35">
      <c r="A80" s="439" t="s">
        <v>323</v>
      </c>
      <c r="B80" s="423">
        <v>3599.9998866087199</v>
      </c>
      <c r="C80" s="423">
        <v>3615.8490000000002</v>
      </c>
      <c r="D80" s="424">
        <v>15.849113391275999</v>
      </c>
      <c r="E80" s="430">
        <v>1.0044025316359999</v>
      </c>
      <c r="F80" s="423">
        <v>3200.0008820981802</v>
      </c>
      <c r="G80" s="424">
        <v>533.33348034969595</v>
      </c>
      <c r="H80" s="426">
        <v>293.14600000000002</v>
      </c>
      <c r="I80" s="423">
        <v>591.82399999999996</v>
      </c>
      <c r="J80" s="424">
        <v>58.490519650304002</v>
      </c>
      <c r="K80" s="431">
        <v>0.18494494901799999</v>
      </c>
    </row>
    <row r="81" spans="1:11" ht="14.4" customHeight="1" thickBot="1" x14ac:dyDescent="0.35">
      <c r="A81" s="440" t="s">
        <v>324</v>
      </c>
      <c r="B81" s="418">
        <v>3599.9998866087199</v>
      </c>
      <c r="C81" s="418">
        <v>3615.8490000000002</v>
      </c>
      <c r="D81" s="419">
        <v>15.849113391275999</v>
      </c>
      <c r="E81" s="420">
        <v>1.0044025316359999</v>
      </c>
      <c r="F81" s="418">
        <v>3200.0008820981802</v>
      </c>
      <c r="G81" s="419">
        <v>533.33348034969595</v>
      </c>
      <c r="H81" s="421">
        <v>293.14600000000002</v>
      </c>
      <c r="I81" s="418">
        <v>591.82399999999996</v>
      </c>
      <c r="J81" s="419">
        <v>58.490519650304002</v>
      </c>
      <c r="K81" s="422">
        <v>0.18494494901799999</v>
      </c>
    </row>
    <row r="82" spans="1:11" ht="14.4" customHeight="1" thickBot="1" x14ac:dyDescent="0.35">
      <c r="A82" s="439" t="s">
        <v>325</v>
      </c>
      <c r="B82" s="423">
        <v>0</v>
      </c>
      <c r="C82" s="423">
        <v>368.4</v>
      </c>
      <c r="D82" s="424">
        <v>368.4</v>
      </c>
      <c r="E82" s="425" t="s">
        <v>257</v>
      </c>
      <c r="F82" s="423">
        <v>500.00013782783998</v>
      </c>
      <c r="G82" s="424">
        <v>83.333356304640006</v>
      </c>
      <c r="H82" s="426">
        <v>35.4</v>
      </c>
      <c r="I82" s="423">
        <v>72.599999999999994</v>
      </c>
      <c r="J82" s="424">
        <v>-10.733356304639999</v>
      </c>
      <c r="K82" s="431">
        <v>0.14519995997400001</v>
      </c>
    </row>
    <row r="83" spans="1:11" ht="14.4" customHeight="1" thickBot="1" x14ac:dyDescent="0.35">
      <c r="A83" s="440" t="s">
        <v>326</v>
      </c>
      <c r="B83" s="418">
        <v>0</v>
      </c>
      <c r="C83" s="418">
        <v>368.4</v>
      </c>
      <c r="D83" s="419">
        <v>368.4</v>
      </c>
      <c r="E83" s="428" t="s">
        <v>257</v>
      </c>
      <c r="F83" s="418">
        <v>500.00013782783998</v>
      </c>
      <c r="G83" s="419">
        <v>83.333356304640006</v>
      </c>
      <c r="H83" s="421">
        <v>35.4</v>
      </c>
      <c r="I83" s="418">
        <v>72.599999999999994</v>
      </c>
      <c r="J83" s="419">
        <v>-10.733356304639999</v>
      </c>
      <c r="K83" s="422">
        <v>0.14519995997400001</v>
      </c>
    </row>
    <row r="84" spans="1:11" ht="14.4" customHeight="1" thickBot="1" x14ac:dyDescent="0.35">
      <c r="A84" s="439" t="s">
        <v>327</v>
      </c>
      <c r="B84" s="423">
        <v>10.999999653526</v>
      </c>
      <c r="C84" s="423">
        <v>6.7510000000000003</v>
      </c>
      <c r="D84" s="424">
        <v>-4.248999653526</v>
      </c>
      <c r="E84" s="430">
        <v>0.61372729205800003</v>
      </c>
      <c r="F84" s="423">
        <v>9.0000024809009993</v>
      </c>
      <c r="G84" s="424">
        <v>1.5000004134830001</v>
      </c>
      <c r="H84" s="426">
        <v>2.46</v>
      </c>
      <c r="I84" s="423">
        <v>8.4049999999999994</v>
      </c>
      <c r="J84" s="424">
        <v>6.9049995865160003</v>
      </c>
      <c r="K84" s="431">
        <v>0.93388863145699996</v>
      </c>
    </row>
    <row r="85" spans="1:11" ht="14.4" customHeight="1" thickBot="1" x14ac:dyDescent="0.35">
      <c r="A85" s="440" t="s">
        <v>328</v>
      </c>
      <c r="B85" s="418">
        <v>10.999999653526</v>
      </c>
      <c r="C85" s="418">
        <v>6.7510000000000003</v>
      </c>
      <c r="D85" s="419">
        <v>-4.248999653526</v>
      </c>
      <c r="E85" s="420">
        <v>0.61372729205800003</v>
      </c>
      <c r="F85" s="418">
        <v>9.0000024809009993</v>
      </c>
      <c r="G85" s="419">
        <v>1.5000004134830001</v>
      </c>
      <c r="H85" s="421">
        <v>2.46</v>
      </c>
      <c r="I85" s="418">
        <v>8.4049999999999994</v>
      </c>
      <c r="J85" s="419">
        <v>6.9049995865160003</v>
      </c>
      <c r="K85" s="422">
        <v>0.93388863145699996</v>
      </c>
    </row>
    <row r="86" spans="1:11" ht="14.4" customHeight="1" thickBot="1" x14ac:dyDescent="0.35">
      <c r="A86" s="438" t="s">
        <v>329</v>
      </c>
      <c r="B86" s="418">
        <v>1223.99996144697</v>
      </c>
      <c r="C86" s="418">
        <v>1354.45425</v>
      </c>
      <c r="D86" s="419">
        <v>130.45428855303399</v>
      </c>
      <c r="E86" s="420">
        <v>1.106580304462</v>
      </c>
      <c r="F86" s="418">
        <v>1088.0002999133801</v>
      </c>
      <c r="G86" s="419">
        <v>181.33338331889701</v>
      </c>
      <c r="H86" s="421">
        <v>111.54438</v>
      </c>
      <c r="I86" s="418">
        <v>225.74347</v>
      </c>
      <c r="J86" s="419">
        <v>44.410086681103003</v>
      </c>
      <c r="K86" s="422">
        <v>0.20748474979000001</v>
      </c>
    </row>
    <row r="87" spans="1:11" ht="14.4" customHeight="1" thickBot="1" x14ac:dyDescent="0.35">
      <c r="A87" s="439" t="s">
        <v>330</v>
      </c>
      <c r="B87" s="423">
        <v>323.99998979478499</v>
      </c>
      <c r="C87" s="423">
        <v>358.39193</v>
      </c>
      <c r="D87" s="424">
        <v>34.391940205213999</v>
      </c>
      <c r="E87" s="430">
        <v>1.106147966939</v>
      </c>
      <c r="F87" s="423">
        <v>288.00007938883601</v>
      </c>
      <c r="G87" s="424">
        <v>48.000013231472003</v>
      </c>
      <c r="H87" s="426">
        <v>29.407879999999999</v>
      </c>
      <c r="I87" s="423">
        <v>59.63747</v>
      </c>
      <c r="J87" s="424">
        <v>11.637456768527001</v>
      </c>
      <c r="K87" s="431">
        <v>0.20707449152900001</v>
      </c>
    </row>
    <row r="88" spans="1:11" ht="14.4" customHeight="1" thickBot="1" x14ac:dyDescent="0.35">
      <c r="A88" s="440" t="s">
        <v>331</v>
      </c>
      <c r="B88" s="418">
        <v>323.99998979478499</v>
      </c>
      <c r="C88" s="418">
        <v>358.39193</v>
      </c>
      <c r="D88" s="419">
        <v>34.391940205213999</v>
      </c>
      <c r="E88" s="420">
        <v>1.106147966939</v>
      </c>
      <c r="F88" s="418">
        <v>288.00007938883601</v>
      </c>
      <c r="G88" s="419">
        <v>48.000013231472003</v>
      </c>
      <c r="H88" s="421">
        <v>29.407879999999999</v>
      </c>
      <c r="I88" s="418">
        <v>59.63747</v>
      </c>
      <c r="J88" s="419">
        <v>11.637456768527001</v>
      </c>
      <c r="K88" s="422">
        <v>0.20707449152900001</v>
      </c>
    </row>
    <row r="89" spans="1:11" ht="14.4" customHeight="1" thickBot="1" x14ac:dyDescent="0.35">
      <c r="A89" s="439" t="s">
        <v>332</v>
      </c>
      <c r="B89" s="423">
        <v>899.99997165218099</v>
      </c>
      <c r="C89" s="423">
        <v>996.06232</v>
      </c>
      <c r="D89" s="424">
        <v>96.062348347818997</v>
      </c>
      <c r="E89" s="430">
        <v>1.1067359459699999</v>
      </c>
      <c r="F89" s="423">
        <v>800.00022052454403</v>
      </c>
      <c r="G89" s="424">
        <v>133.33337008742399</v>
      </c>
      <c r="H89" s="426">
        <v>82.136499999999998</v>
      </c>
      <c r="I89" s="423">
        <v>166.10599999999999</v>
      </c>
      <c r="J89" s="424">
        <v>32.772629912576001</v>
      </c>
      <c r="K89" s="431">
        <v>0.207632442764</v>
      </c>
    </row>
    <row r="90" spans="1:11" ht="14.4" customHeight="1" thickBot="1" x14ac:dyDescent="0.35">
      <c r="A90" s="440" t="s">
        <v>333</v>
      </c>
      <c r="B90" s="418">
        <v>899.99997165218099</v>
      </c>
      <c r="C90" s="418">
        <v>996.06232</v>
      </c>
      <c r="D90" s="419">
        <v>96.062348347818997</v>
      </c>
      <c r="E90" s="420">
        <v>1.1067359459699999</v>
      </c>
      <c r="F90" s="418">
        <v>800.00022052454403</v>
      </c>
      <c r="G90" s="419">
        <v>133.33337008742399</v>
      </c>
      <c r="H90" s="421">
        <v>82.136499999999998</v>
      </c>
      <c r="I90" s="418">
        <v>166.10599999999999</v>
      </c>
      <c r="J90" s="419">
        <v>32.772629912576001</v>
      </c>
      <c r="K90" s="422">
        <v>0.207632442764</v>
      </c>
    </row>
    <row r="91" spans="1:11" ht="14.4" customHeight="1" thickBot="1" x14ac:dyDescent="0.35">
      <c r="A91" s="438" t="s">
        <v>334</v>
      </c>
      <c r="B91" s="418">
        <v>35.999998866086997</v>
      </c>
      <c r="C91" s="418">
        <v>36.228549999999998</v>
      </c>
      <c r="D91" s="419">
        <v>0.22855113391199999</v>
      </c>
      <c r="E91" s="420">
        <v>1.006348642808</v>
      </c>
      <c r="F91" s="418">
        <v>48.000013231472003</v>
      </c>
      <c r="G91" s="419">
        <v>8.0000022052449999</v>
      </c>
      <c r="H91" s="421">
        <v>4.4340400000000004</v>
      </c>
      <c r="I91" s="418">
        <v>9.0043799999999994</v>
      </c>
      <c r="J91" s="419">
        <v>1.004377794754</v>
      </c>
      <c r="K91" s="422">
        <v>0.18759119828900001</v>
      </c>
    </row>
    <row r="92" spans="1:11" ht="14.4" customHeight="1" thickBot="1" x14ac:dyDescent="0.35">
      <c r="A92" s="439" t="s">
        <v>335</v>
      </c>
      <c r="B92" s="423">
        <v>35.999998866086997</v>
      </c>
      <c r="C92" s="423">
        <v>36.228549999999998</v>
      </c>
      <c r="D92" s="424">
        <v>0.22855113391199999</v>
      </c>
      <c r="E92" s="430">
        <v>1.006348642808</v>
      </c>
      <c r="F92" s="423">
        <v>48.000013231472003</v>
      </c>
      <c r="G92" s="424">
        <v>8.0000022052449999</v>
      </c>
      <c r="H92" s="426">
        <v>4.4340400000000004</v>
      </c>
      <c r="I92" s="423">
        <v>9.0043799999999994</v>
      </c>
      <c r="J92" s="424">
        <v>1.004377794754</v>
      </c>
      <c r="K92" s="431">
        <v>0.18759119828900001</v>
      </c>
    </row>
    <row r="93" spans="1:11" ht="14.4" customHeight="1" thickBot="1" x14ac:dyDescent="0.35">
      <c r="A93" s="440" t="s">
        <v>336</v>
      </c>
      <c r="B93" s="418">
        <v>35.999998866086997</v>
      </c>
      <c r="C93" s="418">
        <v>36.228549999999998</v>
      </c>
      <c r="D93" s="419">
        <v>0.22855113391199999</v>
      </c>
      <c r="E93" s="420">
        <v>1.006348642808</v>
      </c>
      <c r="F93" s="418">
        <v>48.000013231472003</v>
      </c>
      <c r="G93" s="419">
        <v>8.0000022052449999</v>
      </c>
      <c r="H93" s="421">
        <v>4.4340400000000004</v>
      </c>
      <c r="I93" s="418">
        <v>9.0043799999999994</v>
      </c>
      <c r="J93" s="419">
        <v>1.004377794754</v>
      </c>
      <c r="K93" s="422">
        <v>0.18759119828900001</v>
      </c>
    </row>
    <row r="94" spans="1:11" ht="14.4" customHeight="1" thickBot="1" x14ac:dyDescent="0.35">
      <c r="A94" s="437" t="s">
        <v>337</v>
      </c>
      <c r="B94" s="418">
        <v>0</v>
      </c>
      <c r="C94" s="418">
        <v>5.5539500000000004</v>
      </c>
      <c r="D94" s="419">
        <v>5.5539500000000004</v>
      </c>
      <c r="E94" s="428" t="s">
        <v>251</v>
      </c>
      <c r="F94" s="418">
        <v>5.3444095003390002</v>
      </c>
      <c r="G94" s="419">
        <v>0.89073491672299998</v>
      </c>
      <c r="H94" s="421">
        <v>0</v>
      </c>
      <c r="I94" s="418">
        <v>0.187</v>
      </c>
      <c r="J94" s="419">
        <v>-0.70373491672300004</v>
      </c>
      <c r="K94" s="422">
        <v>3.4989833767000003E-2</v>
      </c>
    </row>
    <row r="95" spans="1:11" ht="14.4" customHeight="1" thickBot="1" x14ac:dyDescent="0.35">
      <c r="A95" s="438" t="s">
        <v>338</v>
      </c>
      <c r="B95" s="418">
        <v>0</v>
      </c>
      <c r="C95" s="418">
        <v>5.5539500000000004</v>
      </c>
      <c r="D95" s="419">
        <v>5.5539500000000004</v>
      </c>
      <c r="E95" s="428" t="s">
        <v>251</v>
      </c>
      <c r="F95" s="418">
        <v>5.3444095003390002</v>
      </c>
      <c r="G95" s="419">
        <v>0.89073491672299998</v>
      </c>
      <c r="H95" s="421">
        <v>0</v>
      </c>
      <c r="I95" s="418">
        <v>0.187</v>
      </c>
      <c r="J95" s="419">
        <v>-0.70373491672300004</v>
      </c>
      <c r="K95" s="422">
        <v>3.4989833767000003E-2</v>
      </c>
    </row>
    <row r="96" spans="1:11" ht="14.4" customHeight="1" thickBot="1" x14ac:dyDescent="0.35">
      <c r="A96" s="439" t="s">
        <v>339</v>
      </c>
      <c r="B96" s="423">
        <v>0</v>
      </c>
      <c r="C96" s="423">
        <v>5.5539500000000004</v>
      </c>
      <c r="D96" s="424">
        <v>5.5539500000000004</v>
      </c>
      <c r="E96" s="425" t="s">
        <v>251</v>
      </c>
      <c r="F96" s="423">
        <v>5.3444095003390002</v>
      </c>
      <c r="G96" s="424">
        <v>0.89073491672299998</v>
      </c>
      <c r="H96" s="426">
        <v>0</v>
      </c>
      <c r="I96" s="423">
        <v>0.187</v>
      </c>
      <c r="J96" s="424">
        <v>-0.70373491672300004</v>
      </c>
      <c r="K96" s="431">
        <v>3.4989833767000003E-2</v>
      </c>
    </row>
    <row r="97" spans="1:11" ht="14.4" customHeight="1" thickBot="1" x14ac:dyDescent="0.35">
      <c r="A97" s="440" t="s">
        <v>340</v>
      </c>
      <c r="B97" s="418">
        <v>0</v>
      </c>
      <c r="C97" s="418">
        <v>2.4539499999999999</v>
      </c>
      <c r="D97" s="419">
        <v>2.4539499999999999</v>
      </c>
      <c r="E97" s="428" t="s">
        <v>251</v>
      </c>
      <c r="F97" s="418">
        <v>0</v>
      </c>
      <c r="G97" s="419">
        <v>0</v>
      </c>
      <c r="H97" s="421">
        <v>0</v>
      </c>
      <c r="I97" s="418">
        <v>0.187</v>
      </c>
      <c r="J97" s="419">
        <v>0.187</v>
      </c>
      <c r="K97" s="429" t="s">
        <v>251</v>
      </c>
    </row>
    <row r="98" spans="1:11" ht="14.4" customHeight="1" thickBot="1" x14ac:dyDescent="0.35">
      <c r="A98" s="440" t="s">
        <v>341</v>
      </c>
      <c r="B98" s="418">
        <v>0</v>
      </c>
      <c r="C98" s="418">
        <v>3</v>
      </c>
      <c r="D98" s="419">
        <v>3</v>
      </c>
      <c r="E98" s="428" t="s">
        <v>257</v>
      </c>
      <c r="F98" s="418">
        <v>5.2579656258669996</v>
      </c>
      <c r="G98" s="419">
        <v>0.87632760431099999</v>
      </c>
      <c r="H98" s="421">
        <v>0</v>
      </c>
      <c r="I98" s="418">
        <v>0</v>
      </c>
      <c r="J98" s="419">
        <v>-0.87632760431099999</v>
      </c>
      <c r="K98" s="422">
        <v>0</v>
      </c>
    </row>
    <row r="99" spans="1:11" ht="14.4" customHeight="1" thickBot="1" x14ac:dyDescent="0.35">
      <c r="A99" s="440" t="s">
        <v>342</v>
      </c>
      <c r="B99" s="418">
        <v>0</v>
      </c>
      <c r="C99" s="418">
        <v>0.1</v>
      </c>
      <c r="D99" s="419">
        <v>0.1</v>
      </c>
      <c r="E99" s="428" t="s">
        <v>257</v>
      </c>
      <c r="F99" s="418">
        <v>8.6443874471999999E-2</v>
      </c>
      <c r="G99" s="419">
        <v>1.4407312412E-2</v>
      </c>
      <c r="H99" s="421">
        <v>0</v>
      </c>
      <c r="I99" s="418">
        <v>0</v>
      </c>
      <c r="J99" s="419">
        <v>-1.4407312412E-2</v>
      </c>
      <c r="K99" s="422">
        <v>0</v>
      </c>
    </row>
    <row r="100" spans="1:11" ht="14.4" customHeight="1" thickBot="1" x14ac:dyDescent="0.35">
      <c r="A100" s="437" t="s">
        <v>343</v>
      </c>
      <c r="B100" s="418">
        <v>403.99998730646502</v>
      </c>
      <c r="C100" s="418">
        <v>459.5172</v>
      </c>
      <c r="D100" s="419">
        <v>55.517212693535001</v>
      </c>
      <c r="E100" s="420">
        <v>1.1374188476180001</v>
      </c>
      <c r="F100" s="418">
        <v>435.35779355104302</v>
      </c>
      <c r="G100" s="419">
        <v>72.559632258506994</v>
      </c>
      <c r="H100" s="421">
        <v>54.107999999999997</v>
      </c>
      <c r="I100" s="418">
        <v>88.956000000000003</v>
      </c>
      <c r="J100" s="419">
        <v>16.396367741492</v>
      </c>
      <c r="K100" s="422">
        <v>0.204328488699</v>
      </c>
    </row>
    <row r="101" spans="1:11" ht="14.4" customHeight="1" thickBot="1" x14ac:dyDescent="0.35">
      <c r="A101" s="438" t="s">
        <v>344</v>
      </c>
      <c r="B101" s="418">
        <v>402.99998730646502</v>
      </c>
      <c r="C101" s="418">
        <v>407.83800000000002</v>
      </c>
      <c r="D101" s="419">
        <v>4.8380126935350001</v>
      </c>
      <c r="E101" s="420">
        <v>1.012004994654</v>
      </c>
      <c r="F101" s="418">
        <v>418.00104275795297</v>
      </c>
      <c r="G101" s="419">
        <v>69.666840459658005</v>
      </c>
      <c r="H101" s="421">
        <v>54.107999999999997</v>
      </c>
      <c r="I101" s="418">
        <v>88.956000000000003</v>
      </c>
      <c r="J101" s="419">
        <v>19.289159540341</v>
      </c>
      <c r="K101" s="422">
        <v>0.212812866238</v>
      </c>
    </row>
    <row r="102" spans="1:11" ht="14.4" customHeight="1" thickBot="1" x14ac:dyDescent="0.35">
      <c r="A102" s="439" t="s">
        <v>345</v>
      </c>
      <c r="B102" s="423">
        <v>402.99998730646502</v>
      </c>
      <c r="C102" s="423">
        <v>407.83800000000002</v>
      </c>
      <c r="D102" s="424">
        <v>4.8380126935350001</v>
      </c>
      <c r="E102" s="430">
        <v>1.012004994654</v>
      </c>
      <c r="F102" s="423">
        <v>418.00104275795297</v>
      </c>
      <c r="G102" s="424">
        <v>69.666840459658005</v>
      </c>
      <c r="H102" s="426">
        <v>33.884</v>
      </c>
      <c r="I102" s="423">
        <v>68.731999999999999</v>
      </c>
      <c r="J102" s="424">
        <v>-0.934840459658</v>
      </c>
      <c r="K102" s="431">
        <v>0.16443021181600001</v>
      </c>
    </row>
    <row r="103" spans="1:11" ht="14.4" customHeight="1" thickBot="1" x14ac:dyDescent="0.35">
      <c r="A103" s="440" t="s">
        <v>346</v>
      </c>
      <c r="B103" s="418">
        <v>28.999999086569002</v>
      </c>
      <c r="C103" s="418">
        <v>30.157</v>
      </c>
      <c r="D103" s="419">
        <v>1.1570009134300001</v>
      </c>
      <c r="E103" s="420">
        <v>1.0398965844779999</v>
      </c>
      <c r="F103" s="418">
        <v>38.000094796177002</v>
      </c>
      <c r="G103" s="419">
        <v>6.3333491326960001</v>
      </c>
      <c r="H103" s="421">
        <v>3.13</v>
      </c>
      <c r="I103" s="418">
        <v>6.26</v>
      </c>
      <c r="J103" s="419">
        <v>-7.3349132696000005E-2</v>
      </c>
      <c r="K103" s="422">
        <v>0.16473643114700001</v>
      </c>
    </row>
    <row r="104" spans="1:11" ht="14.4" customHeight="1" thickBot="1" x14ac:dyDescent="0.35">
      <c r="A104" s="440" t="s">
        <v>347</v>
      </c>
      <c r="B104" s="418">
        <v>241.999992377578</v>
      </c>
      <c r="C104" s="418">
        <v>246.15600000000001</v>
      </c>
      <c r="D104" s="419">
        <v>4.1560076224219999</v>
      </c>
      <c r="E104" s="420">
        <v>1.0171735857569999</v>
      </c>
      <c r="F104" s="418">
        <v>258.00064361615301</v>
      </c>
      <c r="G104" s="419">
        <v>43.000107269357997</v>
      </c>
      <c r="H104" s="421">
        <v>21.181999999999999</v>
      </c>
      <c r="I104" s="418">
        <v>42.712000000000003</v>
      </c>
      <c r="J104" s="419">
        <v>-0.28810726935800002</v>
      </c>
      <c r="K104" s="422">
        <v>0.16554997460900001</v>
      </c>
    </row>
    <row r="105" spans="1:11" ht="14.4" customHeight="1" thickBot="1" x14ac:dyDescent="0.35">
      <c r="A105" s="440" t="s">
        <v>348</v>
      </c>
      <c r="B105" s="418">
        <v>0</v>
      </c>
      <c r="C105" s="418">
        <v>0.13400000000000001</v>
      </c>
      <c r="D105" s="419">
        <v>0.13400000000000001</v>
      </c>
      <c r="E105" s="428" t="s">
        <v>251</v>
      </c>
      <c r="F105" s="418">
        <v>0</v>
      </c>
      <c r="G105" s="419">
        <v>0</v>
      </c>
      <c r="H105" s="421">
        <v>1.2999999999999999E-2</v>
      </c>
      <c r="I105" s="418">
        <v>2.5999999999999999E-2</v>
      </c>
      <c r="J105" s="419">
        <v>2.5999999999999999E-2</v>
      </c>
      <c r="K105" s="429" t="s">
        <v>251</v>
      </c>
    </row>
    <row r="106" spans="1:11" ht="14.4" customHeight="1" thickBot="1" x14ac:dyDescent="0.35">
      <c r="A106" s="440" t="s">
        <v>349</v>
      </c>
      <c r="B106" s="418">
        <v>131.99999584231699</v>
      </c>
      <c r="C106" s="418">
        <v>131.39099999999999</v>
      </c>
      <c r="D106" s="419">
        <v>-0.60899584231699999</v>
      </c>
      <c r="E106" s="420">
        <v>0.99538639498799997</v>
      </c>
      <c r="F106" s="418">
        <v>122.00030434562299</v>
      </c>
      <c r="G106" s="419">
        <v>20.333384057602998</v>
      </c>
      <c r="H106" s="421">
        <v>9.5589999999999993</v>
      </c>
      <c r="I106" s="418">
        <v>19.734000000000002</v>
      </c>
      <c r="J106" s="419">
        <v>-0.59938405760299995</v>
      </c>
      <c r="K106" s="422">
        <v>0.16175369484400001</v>
      </c>
    </row>
    <row r="107" spans="1:11" ht="14.4" customHeight="1" thickBot="1" x14ac:dyDescent="0.35">
      <c r="A107" s="439" t="s">
        <v>350</v>
      </c>
      <c r="B107" s="423">
        <v>0</v>
      </c>
      <c r="C107" s="423">
        <v>0</v>
      </c>
      <c r="D107" s="424">
        <v>0</v>
      </c>
      <c r="E107" s="430">
        <v>1</v>
      </c>
      <c r="F107" s="423">
        <v>0</v>
      </c>
      <c r="G107" s="424">
        <v>0</v>
      </c>
      <c r="H107" s="426">
        <v>20.224</v>
      </c>
      <c r="I107" s="423">
        <v>20.224</v>
      </c>
      <c r="J107" s="424">
        <v>20.224</v>
      </c>
      <c r="K107" s="427" t="s">
        <v>257</v>
      </c>
    </row>
    <row r="108" spans="1:11" ht="14.4" customHeight="1" thickBot="1" x14ac:dyDescent="0.35">
      <c r="A108" s="440" t="s">
        <v>351</v>
      </c>
      <c r="B108" s="418">
        <v>0</v>
      </c>
      <c r="C108" s="418">
        <v>0</v>
      </c>
      <c r="D108" s="419">
        <v>0</v>
      </c>
      <c r="E108" s="420">
        <v>1</v>
      </c>
      <c r="F108" s="418">
        <v>0</v>
      </c>
      <c r="G108" s="419">
        <v>0</v>
      </c>
      <c r="H108" s="421">
        <v>7.29</v>
      </c>
      <c r="I108" s="418">
        <v>7.29</v>
      </c>
      <c r="J108" s="419">
        <v>7.29</v>
      </c>
      <c r="K108" s="429" t="s">
        <v>257</v>
      </c>
    </row>
    <row r="109" spans="1:11" ht="14.4" customHeight="1" thickBot="1" x14ac:dyDescent="0.35">
      <c r="A109" s="440" t="s">
        <v>352</v>
      </c>
      <c r="B109" s="418">
        <v>0</v>
      </c>
      <c r="C109" s="418">
        <v>0</v>
      </c>
      <c r="D109" s="419">
        <v>0</v>
      </c>
      <c r="E109" s="420">
        <v>1</v>
      </c>
      <c r="F109" s="418">
        <v>0</v>
      </c>
      <c r="G109" s="419">
        <v>0</v>
      </c>
      <c r="H109" s="421">
        <v>12.933999999999999</v>
      </c>
      <c r="I109" s="418">
        <v>12.933999999999999</v>
      </c>
      <c r="J109" s="419">
        <v>12.933999999999999</v>
      </c>
      <c r="K109" s="429" t="s">
        <v>257</v>
      </c>
    </row>
    <row r="110" spans="1:11" ht="14.4" customHeight="1" thickBot="1" x14ac:dyDescent="0.35">
      <c r="A110" s="438" t="s">
        <v>353</v>
      </c>
      <c r="B110" s="418">
        <v>1</v>
      </c>
      <c r="C110" s="418">
        <v>51.679200000000002</v>
      </c>
      <c r="D110" s="419">
        <v>50.679200000000002</v>
      </c>
      <c r="E110" s="420">
        <v>51.679200000000002</v>
      </c>
      <c r="F110" s="418">
        <v>17.356750793088999</v>
      </c>
      <c r="G110" s="419">
        <v>2.8927917988480001</v>
      </c>
      <c r="H110" s="421">
        <v>0</v>
      </c>
      <c r="I110" s="418">
        <v>0</v>
      </c>
      <c r="J110" s="419">
        <v>-2.8927917988480001</v>
      </c>
      <c r="K110" s="422">
        <v>0</v>
      </c>
    </row>
    <row r="111" spans="1:11" ht="14.4" customHeight="1" thickBot="1" x14ac:dyDescent="0.35">
      <c r="A111" s="439" t="s">
        <v>354</v>
      </c>
      <c r="B111" s="423">
        <v>1</v>
      </c>
      <c r="C111" s="423">
        <v>0</v>
      </c>
      <c r="D111" s="424">
        <v>-1</v>
      </c>
      <c r="E111" s="430">
        <v>0</v>
      </c>
      <c r="F111" s="423">
        <v>0</v>
      </c>
      <c r="G111" s="424">
        <v>0</v>
      </c>
      <c r="H111" s="426">
        <v>0</v>
      </c>
      <c r="I111" s="423">
        <v>0</v>
      </c>
      <c r="J111" s="424">
        <v>0</v>
      </c>
      <c r="K111" s="431">
        <v>2</v>
      </c>
    </row>
    <row r="112" spans="1:11" ht="14.4" customHeight="1" thickBot="1" x14ac:dyDescent="0.35">
      <c r="A112" s="440" t="s">
        <v>355</v>
      </c>
      <c r="B112" s="418">
        <v>1</v>
      </c>
      <c r="C112" s="418">
        <v>0</v>
      </c>
      <c r="D112" s="419">
        <v>-1</v>
      </c>
      <c r="E112" s="420">
        <v>0</v>
      </c>
      <c r="F112" s="418">
        <v>0</v>
      </c>
      <c r="G112" s="419">
        <v>0</v>
      </c>
      <c r="H112" s="421">
        <v>0</v>
      </c>
      <c r="I112" s="418">
        <v>0</v>
      </c>
      <c r="J112" s="419">
        <v>0</v>
      </c>
      <c r="K112" s="422">
        <v>2</v>
      </c>
    </row>
    <row r="113" spans="1:11" ht="14.4" customHeight="1" thickBot="1" x14ac:dyDescent="0.35">
      <c r="A113" s="439" t="s">
        <v>356</v>
      </c>
      <c r="B113" s="423">
        <v>0</v>
      </c>
      <c r="C113" s="423">
        <v>7.0179999999999998</v>
      </c>
      <c r="D113" s="424">
        <v>7.0179999999999998</v>
      </c>
      <c r="E113" s="425" t="s">
        <v>257</v>
      </c>
      <c r="F113" s="423">
        <v>17.356750793088999</v>
      </c>
      <c r="G113" s="424">
        <v>2.8927917988480001</v>
      </c>
      <c r="H113" s="426">
        <v>0</v>
      </c>
      <c r="I113" s="423">
        <v>0</v>
      </c>
      <c r="J113" s="424">
        <v>-2.8927917988480001</v>
      </c>
      <c r="K113" s="431">
        <v>0</v>
      </c>
    </row>
    <row r="114" spans="1:11" ht="14.4" customHeight="1" thickBot="1" x14ac:dyDescent="0.35">
      <c r="A114" s="440" t="s">
        <v>357</v>
      </c>
      <c r="B114" s="418">
        <v>0</v>
      </c>
      <c r="C114" s="418">
        <v>7.0179999999999998</v>
      </c>
      <c r="D114" s="419">
        <v>7.0179999999999998</v>
      </c>
      <c r="E114" s="428" t="s">
        <v>257</v>
      </c>
      <c r="F114" s="418">
        <v>17.356750793088999</v>
      </c>
      <c r="G114" s="419">
        <v>2.8927917988480001</v>
      </c>
      <c r="H114" s="421">
        <v>0</v>
      </c>
      <c r="I114" s="418">
        <v>0</v>
      </c>
      <c r="J114" s="419">
        <v>-2.8927917988480001</v>
      </c>
      <c r="K114" s="422">
        <v>0</v>
      </c>
    </row>
    <row r="115" spans="1:11" ht="14.4" customHeight="1" thickBot="1" x14ac:dyDescent="0.35">
      <c r="A115" s="439" t="s">
        <v>358</v>
      </c>
      <c r="B115" s="423">
        <v>0</v>
      </c>
      <c r="C115" s="423">
        <v>4.7069999999999999</v>
      </c>
      <c r="D115" s="424">
        <v>4.7069999999999999</v>
      </c>
      <c r="E115" s="425" t="s">
        <v>257</v>
      </c>
      <c r="F115" s="423">
        <v>0</v>
      </c>
      <c r="G115" s="424">
        <v>0</v>
      </c>
      <c r="H115" s="426">
        <v>0</v>
      </c>
      <c r="I115" s="423">
        <v>0</v>
      </c>
      <c r="J115" s="424">
        <v>0</v>
      </c>
      <c r="K115" s="427" t="s">
        <v>251</v>
      </c>
    </row>
    <row r="116" spans="1:11" ht="14.4" customHeight="1" thickBot="1" x14ac:dyDescent="0.35">
      <c r="A116" s="440" t="s">
        <v>359</v>
      </c>
      <c r="B116" s="418">
        <v>0</v>
      </c>
      <c r="C116" s="418">
        <v>4.7069999999999999</v>
      </c>
      <c r="D116" s="419">
        <v>4.7069999999999999</v>
      </c>
      <c r="E116" s="428" t="s">
        <v>257</v>
      </c>
      <c r="F116" s="418">
        <v>0</v>
      </c>
      <c r="G116" s="419">
        <v>0</v>
      </c>
      <c r="H116" s="421">
        <v>0</v>
      </c>
      <c r="I116" s="418">
        <v>0</v>
      </c>
      <c r="J116" s="419">
        <v>0</v>
      </c>
      <c r="K116" s="429" t="s">
        <v>251</v>
      </c>
    </row>
    <row r="117" spans="1:11" ht="14.4" customHeight="1" thickBot="1" x14ac:dyDescent="0.35">
      <c r="A117" s="439" t="s">
        <v>360</v>
      </c>
      <c r="B117" s="423">
        <v>0</v>
      </c>
      <c r="C117" s="423">
        <v>39.9542</v>
      </c>
      <c r="D117" s="424">
        <v>39.9542</v>
      </c>
      <c r="E117" s="425" t="s">
        <v>257</v>
      </c>
      <c r="F117" s="423">
        <v>0</v>
      </c>
      <c r="G117" s="424">
        <v>0</v>
      </c>
      <c r="H117" s="426">
        <v>0</v>
      </c>
      <c r="I117" s="423">
        <v>0</v>
      </c>
      <c r="J117" s="424">
        <v>0</v>
      </c>
      <c r="K117" s="427" t="s">
        <v>251</v>
      </c>
    </row>
    <row r="118" spans="1:11" ht="14.4" customHeight="1" thickBot="1" x14ac:dyDescent="0.35">
      <c r="A118" s="440" t="s">
        <v>361</v>
      </c>
      <c r="B118" s="418">
        <v>0</v>
      </c>
      <c r="C118" s="418">
        <v>39.9542</v>
      </c>
      <c r="D118" s="419">
        <v>39.9542</v>
      </c>
      <c r="E118" s="428" t="s">
        <v>257</v>
      </c>
      <c r="F118" s="418">
        <v>0</v>
      </c>
      <c r="G118" s="419">
        <v>0</v>
      </c>
      <c r="H118" s="421">
        <v>0</v>
      </c>
      <c r="I118" s="418">
        <v>0</v>
      </c>
      <c r="J118" s="419">
        <v>0</v>
      </c>
      <c r="K118" s="429" t="s">
        <v>251</v>
      </c>
    </row>
    <row r="119" spans="1:11" ht="14.4" customHeight="1" thickBot="1" x14ac:dyDescent="0.35">
      <c r="A119" s="436" t="s">
        <v>362</v>
      </c>
      <c r="B119" s="418">
        <v>3549.21914071422</v>
      </c>
      <c r="C119" s="418">
        <v>5104.1220000000003</v>
      </c>
      <c r="D119" s="419">
        <v>1554.9028592857801</v>
      </c>
      <c r="E119" s="420">
        <v>1.4380971694439999</v>
      </c>
      <c r="F119" s="418">
        <v>5325.3895484635896</v>
      </c>
      <c r="G119" s="419">
        <v>887.56492474393099</v>
      </c>
      <c r="H119" s="421">
        <v>566.60779000000002</v>
      </c>
      <c r="I119" s="418">
        <v>1044.4849200000001</v>
      </c>
      <c r="J119" s="419">
        <v>156.919995256069</v>
      </c>
      <c r="K119" s="422">
        <v>0.196133054773</v>
      </c>
    </row>
    <row r="120" spans="1:11" ht="14.4" customHeight="1" thickBot="1" x14ac:dyDescent="0.35">
      <c r="A120" s="437" t="s">
        <v>363</v>
      </c>
      <c r="B120" s="418">
        <v>3500.21914071422</v>
      </c>
      <c r="C120" s="418">
        <v>5098.0463300000001</v>
      </c>
      <c r="D120" s="419">
        <v>1597.8271892857799</v>
      </c>
      <c r="E120" s="420">
        <v>1.45649347228</v>
      </c>
      <c r="F120" s="418">
        <v>5323.6498746444504</v>
      </c>
      <c r="G120" s="419">
        <v>887.27497910740794</v>
      </c>
      <c r="H120" s="421">
        <v>566.19379000000004</v>
      </c>
      <c r="I120" s="418">
        <v>1044.0709199999999</v>
      </c>
      <c r="J120" s="419">
        <v>156.795940892592</v>
      </c>
      <c r="K120" s="422">
        <v>0.19611938136099999</v>
      </c>
    </row>
    <row r="121" spans="1:11" ht="14.4" customHeight="1" thickBot="1" x14ac:dyDescent="0.35">
      <c r="A121" s="438" t="s">
        <v>364</v>
      </c>
      <c r="B121" s="418">
        <v>3500.21914071422</v>
      </c>
      <c r="C121" s="418">
        <v>5098.0463300000001</v>
      </c>
      <c r="D121" s="419">
        <v>1597.8271892857799</v>
      </c>
      <c r="E121" s="420">
        <v>1.45649347228</v>
      </c>
      <c r="F121" s="418">
        <v>5323.6498746444504</v>
      </c>
      <c r="G121" s="419">
        <v>887.27497910740794</v>
      </c>
      <c r="H121" s="421">
        <v>566.19379000000004</v>
      </c>
      <c r="I121" s="418">
        <v>1044.0709199999999</v>
      </c>
      <c r="J121" s="419">
        <v>156.795940892592</v>
      </c>
      <c r="K121" s="422">
        <v>0.19611938136099999</v>
      </c>
    </row>
    <row r="122" spans="1:11" ht="14.4" customHeight="1" thickBot="1" x14ac:dyDescent="0.35">
      <c r="A122" s="439" t="s">
        <v>365</v>
      </c>
      <c r="B122" s="423">
        <v>1441.21914071369</v>
      </c>
      <c r="C122" s="423">
        <v>1676.59492</v>
      </c>
      <c r="D122" s="424">
        <v>235.37577928631401</v>
      </c>
      <c r="E122" s="430">
        <v>1.1633171338320001</v>
      </c>
      <c r="F122" s="423">
        <v>1660.6495073603601</v>
      </c>
      <c r="G122" s="424">
        <v>276.77491789339302</v>
      </c>
      <c r="H122" s="426">
        <v>164.40647000000001</v>
      </c>
      <c r="I122" s="423">
        <v>301.55183</v>
      </c>
      <c r="J122" s="424">
        <v>24.776912106607</v>
      </c>
      <c r="K122" s="431">
        <v>0.181586679587</v>
      </c>
    </row>
    <row r="123" spans="1:11" ht="14.4" customHeight="1" thickBot="1" x14ac:dyDescent="0.35">
      <c r="A123" s="440" t="s">
        <v>366</v>
      </c>
      <c r="B123" s="418">
        <v>21.993811113014001</v>
      </c>
      <c r="C123" s="418">
        <v>114.2474</v>
      </c>
      <c r="D123" s="419">
        <v>92.253588886985</v>
      </c>
      <c r="E123" s="420">
        <v>5.1945249239860001</v>
      </c>
      <c r="F123" s="418">
        <v>119.053666113623</v>
      </c>
      <c r="G123" s="419">
        <v>19.842277685603001</v>
      </c>
      <c r="H123" s="421">
        <v>2.5476000000000001</v>
      </c>
      <c r="I123" s="418">
        <v>11.551920000000001</v>
      </c>
      <c r="J123" s="419">
        <v>-8.2903576856030003</v>
      </c>
      <c r="K123" s="422">
        <v>9.7031199265000007E-2</v>
      </c>
    </row>
    <row r="124" spans="1:11" ht="14.4" customHeight="1" thickBot="1" x14ac:dyDescent="0.35">
      <c r="A124" s="440" t="s">
        <v>367</v>
      </c>
      <c r="B124" s="418">
        <v>0.82532960067000005</v>
      </c>
      <c r="C124" s="418">
        <v>0</v>
      </c>
      <c r="D124" s="419">
        <v>-0.82532960067000005</v>
      </c>
      <c r="E124" s="420">
        <v>0</v>
      </c>
      <c r="F124" s="418">
        <v>0</v>
      </c>
      <c r="G124" s="419">
        <v>0</v>
      </c>
      <c r="H124" s="421">
        <v>0</v>
      </c>
      <c r="I124" s="418">
        <v>0</v>
      </c>
      <c r="J124" s="419">
        <v>0</v>
      </c>
      <c r="K124" s="422">
        <v>2</v>
      </c>
    </row>
    <row r="125" spans="1:11" ht="14.4" customHeight="1" thickBot="1" x14ac:dyDescent="0.35">
      <c r="A125" s="440" t="s">
        <v>368</v>
      </c>
      <c r="B125" s="418">
        <v>1418.4</v>
      </c>
      <c r="C125" s="418">
        <v>1562.34752</v>
      </c>
      <c r="D125" s="419">
        <v>143.94752</v>
      </c>
      <c r="E125" s="420">
        <v>1.1014858432029999</v>
      </c>
      <c r="F125" s="418">
        <v>1541.5958412467301</v>
      </c>
      <c r="G125" s="419">
        <v>256.93264020778901</v>
      </c>
      <c r="H125" s="421">
        <v>161.85887</v>
      </c>
      <c r="I125" s="418">
        <v>289.99991</v>
      </c>
      <c r="J125" s="419">
        <v>33.067269792211</v>
      </c>
      <c r="K125" s="422">
        <v>0.18811669196299999</v>
      </c>
    </row>
    <row r="126" spans="1:11" ht="14.4" customHeight="1" thickBot="1" x14ac:dyDescent="0.35">
      <c r="A126" s="439" t="s">
        <v>369</v>
      </c>
      <c r="B126" s="423">
        <v>0</v>
      </c>
      <c r="C126" s="423">
        <v>1.5366299999999999</v>
      </c>
      <c r="D126" s="424">
        <v>1.5366299999999999</v>
      </c>
      <c r="E126" s="425" t="s">
        <v>257</v>
      </c>
      <c r="F126" s="423">
        <v>1.0000001002679999</v>
      </c>
      <c r="G126" s="424">
        <v>0.166666683378</v>
      </c>
      <c r="H126" s="426">
        <v>0</v>
      </c>
      <c r="I126" s="423">
        <v>0</v>
      </c>
      <c r="J126" s="424">
        <v>-0.166666683378</v>
      </c>
      <c r="K126" s="431">
        <v>0</v>
      </c>
    </row>
    <row r="127" spans="1:11" ht="14.4" customHeight="1" thickBot="1" x14ac:dyDescent="0.35">
      <c r="A127" s="440" t="s">
        <v>370</v>
      </c>
      <c r="B127" s="418">
        <v>0</v>
      </c>
      <c r="C127" s="418">
        <v>1.5366299999999999</v>
      </c>
      <c r="D127" s="419">
        <v>1.5366299999999999</v>
      </c>
      <c r="E127" s="428" t="s">
        <v>257</v>
      </c>
      <c r="F127" s="418">
        <v>1.0000001002679999</v>
      </c>
      <c r="G127" s="419">
        <v>0.166666683378</v>
      </c>
      <c r="H127" s="421">
        <v>0</v>
      </c>
      <c r="I127" s="418">
        <v>0</v>
      </c>
      <c r="J127" s="419">
        <v>-0.166666683378</v>
      </c>
      <c r="K127" s="422">
        <v>0</v>
      </c>
    </row>
    <row r="128" spans="1:11" ht="14.4" customHeight="1" thickBot="1" x14ac:dyDescent="0.35">
      <c r="A128" s="439" t="s">
        <v>371</v>
      </c>
      <c r="B128" s="423">
        <v>3</v>
      </c>
      <c r="C128" s="423">
        <v>9.6020000000000003</v>
      </c>
      <c r="D128" s="424">
        <v>6.6019999999990002</v>
      </c>
      <c r="E128" s="430">
        <v>3.2006666666650001</v>
      </c>
      <c r="F128" s="423">
        <v>33.000003308864997</v>
      </c>
      <c r="G128" s="424">
        <v>5.5000005514770001</v>
      </c>
      <c r="H128" s="426">
        <v>0</v>
      </c>
      <c r="I128" s="423">
        <v>0</v>
      </c>
      <c r="J128" s="424">
        <v>-5.5000005514770001</v>
      </c>
      <c r="K128" s="431">
        <v>0</v>
      </c>
    </row>
    <row r="129" spans="1:11" ht="14.4" customHeight="1" thickBot="1" x14ac:dyDescent="0.35">
      <c r="A129" s="440" t="s">
        <v>372</v>
      </c>
      <c r="B129" s="418">
        <v>3</v>
      </c>
      <c r="C129" s="418">
        <v>9.6020000000000003</v>
      </c>
      <c r="D129" s="419">
        <v>6.6019999999990002</v>
      </c>
      <c r="E129" s="420">
        <v>3.2006666666650001</v>
      </c>
      <c r="F129" s="418">
        <v>33.000003308864997</v>
      </c>
      <c r="G129" s="419">
        <v>5.5000005514770001</v>
      </c>
      <c r="H129" s="421">
        <v>0</v>
      </c>
      <c r="I129" s="418">
        <v>0</v>
      </c>
      <c r="J129" s="419">
        <v>-5.5000005514770001</v>
      </c>
      <c r="K129" s="422">
        <v>0</v>
      </c>
    </row>
    <row r="130" spans="1:11" ht="14.4" customHeight="1" thickBot="1" x14ac:dyDescent="0.35">
      <c r="A130" s="439" t="s">
        <v>373</v>
      </c>
      <c r="B130" s="423">
        <v>0</v>
      </c>
      <c r="C130" s="423">
        <v>-6.0909599999999999</v>
      </c>
      <c r="D130" s="424">
        <v>-6.0909599999999999</v>
      </c>
      <c r="E130" s="425" t="s">
        <v>257</v>
      </c>
      <c r="F130" s="423">
        <v>0</v>
      </c>
      <c r="G130" s="424">
        <v>0</v>
      </c>
      <c r="H130" s="426">
        <v>0</v>
      </c>
      <c r="I130" s="423">
        <v>0</v>
      </c>
      <c r="J130" s="424">
        <v>0</v>
      </c>
      <c r="K130" s="427" t="s">
        <v>251</v>
      </c>
    </row>
    <row r="131" spans="1:11" ht="14.4" customHeight="1" thickBot="1" x14ac:dyDescent="0.35">
      <c r="A131" s="440" t="s">
        <v>374</v>
      </c>
      <c r="B131" s="418">
        <v>0</v>
      </c>
      <c r="C131" s="418">
        <v>-6.0909599999999999</v>
      </c>
      <c r="D131" s="419">
        <v>-6.0909599999999999</v>
      </c>
      <c r="E131" s="428" t="s">
        <v>257</v>
      </c>
      <c r="F131" s="418">
        <v>0</v>
      </c>
      <c r="G131" s="419">
        <v>0</v>
      </c>
      <c r="H131" s="421">
        <v>0</v>
      </c>
      <c r="I131" s="418">
        <v>0</v>
      </c>
      <c r="J131" s="419">
        <v>0</v>
      </c>
      <c r="K131" s="429" t="s">
        <v>251</v>
      </c>
    </row>
    <row r="132" spans="1:11" ht="14.4" customHeight="1" thickBot="1" x14ac:dyDescent="0.35">
      <c r="A132" s="439" t="s">
        <v>375</v>
      </c>
      <c r="B132" s="423">
        <v>1</v>
      </c>
      <c r="C132" s="423">
        <v>0.39689999999999998</v>
      </c>
      <c r="D132" s="424">
        <v>-0.60309999999999997</v>
      </c>
      <c r="E132" s="430">
        <v>0.396899999999</v>
      </c>
      <c r="F132" s="423">
        <v>0</v>
      </c>
      <c r="G132" s="424">
        <v>0</v>
      </c>
      <c r="H132" s="426">
        <v>0</v>
      </c>
      <c r="I132" s="423">
        <v>0</v>
      </c>
      <c r="J132" s="424">
        <v>0</v>
      </c>
      <c r="K132" s="427" t="s">
        <v>251</v>
      </c>
    </row>
    <row r="133" spans="1:11" ht="14.4" customHeight="1" thickBot="1" x14ac:dyDescent="0.35">
      <c r="A133" s="440" t="s">
        <v>376</v>
      </c>
      <c r="B133" s="418">
        <v>1</v>
      </c>
      <c r="C133" s="418">
        <v>0.39689999999999998</v>
      </c>
      <c r="D133" s="419">
        <v>-0.60309999999999997</v>
      </c>
      <c r="E133" s="420">
        <v>0.396899999999</v>
      </c>
      <c r="F133" s="418">
        <v>0</v>
      </c>
      <c r="G133" s="419">
        <v>0</v>
      </c>
      <c r="H133" s="421">
        <v>0</v>
      </c>
      <c r="I133" s="418">
        <v>0</v>
      </c>
      <c r="J133" s="419">
        <v>0</v>
      </c>
      <c r="K133" s="429" t="s">
        <v>251</v>
      </c>
    </row>
    <row r="134" spans="1:11" ht="14.4" customHeight="1" thickBot="1" x14ac:dyDescent="0.35">
      <c r="A134" s="439" t="s">
        <v>377</v>
      </c>
      <c r="B134" s="423">
        <v>2055.0000000005398</v>
      </c>
      <c r="C134" s="423">
        <v>3286.9840199999999</v>
      </c>
      <c r="D134" s="424">
        <v>1231.9840199994601</v>
      </c>
      <c r="E134" s="430">
        <v>1.599505605839</v>
      </c>
      <c r="F134" s="423">
        <v>3629.0003638749599</v>
      </c>
      <c r="G134" s="424">
        <v>604.83339397915995</v>
      </c>
      <c r="H134" s="426">
        <v>401.78564999999998</v>
      </c>
      <c r="I134" s="423">
        <v>742.51742000000002</v>
      </c>
      <c r="J134" s="424">
        <v>137.684026020841</v>
      </c>
      <c r="K134" s="431">
        <v>0.20460659838699999</v>
      </c>
    </row>
    <row r="135" spans="1:11" ht="14.4" customHeight="1" thickBot="1" x14ac:dyDescent="0.35">
      <c r="A135" s="440" t="s">
        <v>378</v>
      </c>
      <c r="B135" s="418">
        <v>503.00000000013102</v>
      </c>
      <c r="C135" s="418">
        <v>879.63868000000002</v>
      </c>
      <c r="D135" s="419">
        <v>376.638679999869</v>
      </c>
      <c r="E135" s="420">
        <v>1.7487846520870001</v>
      </c>
      <c r="F135" s="418">
        <v>1087.0001089920299</v>
      </c>
      <c r="G135" s="419">
        <v>181.16668483200499</v>
      </c>
      <c r="H135" s="421">
        <v>123.74723</v>
      </c>
      <c r="I135" s="418">
        <v>225.47125</v>
      </c>
      <c r="J135" s="419">
        <v>44.304565167993999</v>
      </c>
      <c r="K135" s="422">
        <v>0.20742523219100001</v>
      </c>
    </row>
    <row r="136" spans="1:11" ht="14.4" customHeight="1" thickBot="1" x14ac:dyDescent="0.35">
      <c r="A136" s="440" t="s">
        <v>379</v>
      </c>
      <c r="B136" s="418">
        <v>1552.00000000041</v>
      </c>
      <c r="C136" s="418">
        <v>2407.3453399999999</v>
      </c>
      <c r="D136" s="419">
        <v>855.34533999959501</v>
      </c>
      <c r="E136" s="420">
        <v>1.5511245747410001</v>
      </c>
      <c r="F136" s="418">
        <v>2542.0002548829302</v>
      </c>
      <c r="G136" s="419">
        <v>423.66670914715399</v>
      </c>
      <c r="H136" s="421">
        <v>278.03841999999997</v>
      </c>
      <c r="I136" s="418">
        <v>517.04616999999996</v>
      </c>
      <c r="J136" s="419">
        <v>93.379460852845</v>
      </c>
      <c r="K136" s="422">
        <v>0.20340130533199999</v>
      </c>
    </row>
    <row r="137" spans="1:11" ht="14.4" customHeight="1" thickBot="1" x14ac:dyDescent="0.35">
      <c r="A137" s="439" t="s">
        <v>380</v>
      </c>
      <c r="B137" s="423">
        <v>0</v>
      </c>
      <c r="C137" s="423">
        <v>129.02282</v>
      </c>
      <c r="D137" s="424">
        <v>129.02282</v>
      </c>
      <c r="E137" s="425" t="s">
        <v>251</v>
      </c>
      <c r="F137" s="423">
        <v>0</v>
      </c>
      <c r="G137" s="424">
        <v>0</v>
      </c>
      <c r="H137" s="426">
        <v>1.67E-3</v>
      </c>
      <c r="I137" s="423">
        <v>1.67E-3</v>
      </c>
      <c r="J137" s="424">
        <v>1.67E-3</v>
      </c>
      <c r="K137" s="427" t="s">
        <v>251</v>
      </c>
    </row>
    <row r="138" spans="1:11" ht="14.4" customHeight="1" thickBot="1" x14ac:dyDescent="0.35">
      <c r="A138" s="440" t="s">
        <v>381</v>
      </c>
      <c r="B138" s="418">
        <v>0</v>
      </c>
      <c r="C138" s="418">
        <v>12.4655</v>
      </c>
      <c r="D138" s="419">
        <v>12.4655</v>
      </c>
      <c r="E138" s="428" t="s">
        <v>251</v>
      </c>
      <c r="F138" s="418">
        <v>0</v>
      </c>
      <c r="G138" s="419">
        <v>0</v>
      </c>
      <c r="H138" s="421">
        <v>0</v>
      </c>
      <c r="I138" s="418">
        <v>0</v>
      </c>
      <c r="J138" s="419">
        <v>0</v>
      </c>
      <c r="K138" s="429" t="s">
        <v>251</v>
      </c>
    </row>
    <row r="139" spans="1:11" ht="14.4" customHeight="1" thickBot="1" x14ac:dyDescent="0.35">
      <c r="A139" s="440" t="s">
        <v>382</v>
      </c>
      <c r="B139" s="418">
        <v>0</v>
      </c>
      <c r="C139" s="418">
        <v>116.55732</v>
      </c>
      <c r="D139" s="419">
        <v>116.55732</v>
      </c>
      <c r="E139" s="428" t="s">
        <v>251</v>
      </c>
      <c r="F139" s="418">
        <v>0</v>
      </c>
      <c r="G139" s="419">
        <v>0</v>
      </c>
      <c r="H139" s="421">
        <v>1.67E-3</v>
      </c>
      <c r="I139" s="418">
        <v>1.67E-3</v>
      </c>
      <c r="J139" s="419">
        <v>1.67E-3</v>
      </c>
      <c r="K139" s="429" t="s">
        <v>251</v>
      </c>
    </row>
    <row r="140" spans="1:11" ht="14.4" customHeight="1" thickBot="1" x14ac:dyDescent="0.35">
      <c r="A140" s="437" t="s">
        <v>383</v>
      </c>
      <c r="B140" s="418">
        <v>49</v>
      </c>
      <c r="C140" s="418">
        <v>6.0756699999999997</v>
      </c>
      <c r="D140" s="419">
        <v>-42.924329999999998</v>
      </c>
      <c r="E140" s="420">
        <v>0.12399326530599999</v>
      </c>
      <c r="F140" s="418">
        <v>1.7396738191379999</v>
      </c>
      <c r="G140" s="419">
        <v>0.28994563652299998</v>
      </c>
      <c r="H140" s="421">
        <v>0.41399999999999998</v>
      </c>
      <c r="I140" s="418">
        <v>0.41399999999999998</v>
      </c>
      <c r="J140" s="419">
        <v>0.124054363476</v>
      </c>
      <c r="K140" s="422">
        <v>0.23797564546</v>
      </c>
    </row>
    <row r="141" spans="1:11" ht="14.4" customHeight="1" thickBot="1" x14ac:dyDescent="0.35">
      <c r="A141" s="438" t="s">
        <v>384</v>
      </c>
      <c r="B141" s="418">
        <v>0</v>
      </c>
      <c r="C141" s="418">
        <v>3.9329999999999998</v>
      </c>
      <c r="D141" s="419">
        <v>3.9329999999999998</v>
      </c>
      <c r="E141" s="428" t="s">
        <v>251</v>
      </c>
      <c r="F141" s="418">
        <v>0</v>
      </c>
      <c r="G141" s="419">
        <v>0</v>
      </c>
      <c r="H141" s="421">
        <v>0.41399999999999998</v>
      </c>
      <c r="I141" s="418">
        <v>0.41399999999999998</v>
      </c>
      <c r="J141" s="419">
        <v>0.41399999999999998</v>
      </c>
      <c r="K141" s="429" t="s">
        <v>251</v>
      </c>
    </row>
    <row r="142" spans="1:11" ht="14.4" customHeight="1" thickBot="1" x14ac:dyDescent="0.35">
      <c r="A142" s="439" t="s">
        <v>385</v>
      </c>
      <c r="B142" s="423">
        <v>0</v>
      </c>
      <c r="C142" s="423">
        <v>3.9329999999999998</v>
      </c>
      <c r="D142" s="424">
        <v>3.9329999999999998</v>
      </c>
      <c r="E142" s="425" t="s">
        <v>251</v>
      </c>
      <c r="F142" s="423">
        <v>0</v>
      </c>
      <c r="G142" s="424">
        <v>0</v>
      </c>
      <c r="H142" s="426">
        <v>0.41399999999999998</v>
      </c>
      <c r="I142" s="423">
        <v>0.41399999999999998</v>
      </c>
      <c r="J142" s="424">
        <v>0.41399999999999998</v>
      </c>
      <c r="K142" s="427" t="s">
        <v>251</v>
      </c>
    </row>
    <row r="143" spans="1:11" ht="14.4" customHeight="1" thickBot="1" x14ac:dyDescent="0.35">
      <c r="A143" s="440" t="s">
        <v>386</v>
      </c>
      <c r="B143" s="418">
        <v>0</v>
      </c>
      <c r="C143" s="418">
        <v>3.9329999999999998</v>
      </c>
      <c r="D143" s="419">
        <v>3.9329999999999998</v>
      </c>
      <c r="E143" s="428" t="s">
        <v>251</v>
      </c>
      <c r="F143" s="418">
        <v>0</v>
      </c>
      <c r="G143" s="419">
        <v>0</v>
      </c>
      <c r="H143" s="421">
        <v>0.41399999999999998</v>
      </c>
      <c r="I143" s="418">
        <v>0.41399999999999998</v>
      </c>
      <c r="J143" s="419">
        <v>0.41399999999999998</v>
      </c>
      <c r="K143" s="429" t="s">
        <v>251</v>
      </c>
    </row>
    <row r="144" spans="1:11" ht="14.4" customHeight="1" thickBot="1" x14ac:dyDescent="0.35">
      <c r="A144" s="443" t="s">
        <v>387</v>
      </c>
      <c r="B144" s="423">
        <v>49</v>
      </c>
      <c r="C144" s="423">
        <v>2.1426699999999999</v>
      </c>
      <c r="D144" s="424">
        <v>-46.857329999999997</v>
      </c>
      <c r="E144" s="430">
        <v>4.3727959183000001E-2</v>
      </c>
      <c r="F144" s="423">
        <v>1.7396738191379999</v>
      </c>
      <c r="G144" s="424">
        <v>0.28994563652299998</v>
      </c>
      <c r="H144" s="426">
        <v>0</v>
      </c>
      <c r="I144" s="423">
        <v>0</v>
      </c>
      <c r="J144" s="424">
        <v>-0.28994563652299998</v>
      </c>
      <c r="K144" s="431">
        <v>0</v>
      </c>
    </row>
    <row r="145" spans="1:11" ht="14.4" customHeight="1" thickBot="1" x14ac:dyDescent="0.35">
      <c r="A145" s="439" t="s">
        <v>388</v>
      </c>
      <c r="B145" s="423">
        <v>0</v>
      </c>
      <c r="C145" s="423">
        <v>-4.4999999999999999E-4</v>
      </c>
      <c r="D145" s="424">
        <v>-4.4999999999999999E-4</v>
      </c>
      <c r="E145" s="425" t="s">
        <v>251</v>
      </c>
      <c r="F145" s="423">
        <v>0</v>
      </c>
      <c r="G145" s="424">
        <v>0</v>
      </c>
      <c r="H145" s="426">
        <v>0</v>
      </c>
      <c r="I145" s="423">
        <v>0</v>
      </c>
      <c r="J145" s="424">
        <v>0</v>
      </c>
      <c r="K145" s="427" t="s">
        <v>251</v>
      </c>
    </row>
    <row r="146" spans="1:11" ht="14.4" customHeight="1" thickBot="1" x14ac:dyDescent="0.35">
      <c r="A146" s="440" t="s">
        <v>389</v>
      </c>
      <c r="B146" s="418">
        <v>0</v>
      </c>
      <c r="C146" s="418">
        <v>-4.4999999999999999E-4</v>
      </c>
      <c r="D146" s="419">
        <v>-4.4999999999999999E-4</v>
      </c>
      <c r="E146" s="428" t="s">
        <v>251</v>
      </c>
      <c r="F146" s="418">
        <v>0</v>
      </c>
      <c r="G146" s="419">
        <v>0</v>
      </c>
      <c r="H146" s="421">
        <v>0</v>
      </c>
      <c r="I146" s="418">
        <v>0</v>
      </c>
      <c r="J146" s="419">
        <v>0</v>
      </c>
      <c r="K146" s="429" t="s">
        <v>251</v>
      </c>
    </row>
    <row r="147" spans="1:11" ht="14.4" customHeight="1" thickBot="1" x14ac:dyDescent="0.35">
      <c r="A147" s="439" t="s">
        <v>390</v>
      </c>
      <c r="B147" s="423">
        <v>49</v>
      </c>
      <c r="C147" s="423">
        <v>2.1431200000000001</v>
      </c>
      <c r="D147" s="424">
        <v>-46.856879999999997</v>
      </c>
      <c r="E147" s="430">
        <v>4.3737142856999998E-2</v>
      </c>
      <c r="F147" s="423">
        <v>1.7396738191379999</v>
      </c>
      <c r="G147" s="424">
        <v>0.28994563652299998</v>
      </c>
      <c r="H147" s="426">
        <v>0</v>
      </c>
      <c r="I147" s="423">
        <v>0</v>
      </c>
      <c r="J147" s="424">
        <v>-0.28994563652299998</v>
      </c>
      <c r="K147" s="431">
        <v>0</v>
      </c>
    </row>
    <row r="148" spans="1:11" ht="14.4" customHeight="1" thickBot="1" x14ac:dyDescent="0.35">
      <c r="A148" s="440" t="s">
        <v>391</v>
      </c>
      <c r="B148" s="418">
        <v>0</v>
      </c>
      <c r="C148" s="418">
        <v>7.6999999999999999E-2</v>
      </c>
      <c r="D148" s="419">
        <v>7.6999999999999999E-2</v>
      </c>
      <c r="E148" s="428" t="s">
        <v>251</v>
      </c>
      <c r="F148" s="418">
        <v>7.8479441058999996E-2</v>
      </c>
      <c r="G148" s="419">
        <v>1.3079906843E-2</v>
      </c>
      <c r="H148" s="421">
        <v>0</v>
      </c>
      <c r="I148" s="418">
        <v>0</v>
      </c>
      <c r="J148" s="419">
        <v>-1.3079906843E-2</v>
      </c>
      <c r="K148" s="422">
        <v>0</v>
      </c>
    </row>
    <row r="149" spans="1:11" ht="14.4" customHeight="1" thickBot="1" x14ac:dyDescent="0.35">
      <c r="A149" s="440" t="s">
        <v>392</v>
      </c>
      <c r="B149" s="418">
        <v>49</v>
      </c>
      <c r="C149" s="418">
        <v>2.0661200000000002</v>
      </c>
      <c r="D149" s="419">
        <v>-46.933880000000002</v>
      </c>
      <c r="E149" s="420">
        <v>4.2165714285000003E-2</v>
      </c>
      <c r="F149" s="418">
        <v>1.6611943780780001</v>
      </c>
      <c r="G149" s="419">
        <v>0.27686572967900003</v>
      </c>
      <c r="H149" s="421">
        <v>0</v>
      </c>
      <c r="I149" s="418">
        <v>0</v>
      </c>
      <c r="J149" s="419">
        <v>-0.27686572967900003</v>
      </c>
      <c r="K149" s="422">
        <v>0</v>
      </c>
    </row>
    <row r="150" spans="1:11" ht="14.4" customHeight="1" thickBot="1" x14ac:dyDescent="0.35">
      <c r="A150" s="436" t="s">
        <v>393</v>
      </c>
      <c r="B150" s="418">
        <v>1109.90353845251</v>
      </c>
      <c r="C150" s="418">
        <v>1075.1789200000001</v>
      </c>
      <c r="D150" s="419">
        <v>-34.724618452503996</v>
      </c>
      <c r="E150" s="420">
        <v>0.96871384111299996</v>
      </c>
      <c r="F150" s="418">
        <v>0</v>
      </c>
      <c r="G150" s="419">
        <v>0</v>
      </c>
      <c r="H150" s="421">
        <v>85.818399999999997</v>
      </c>
      <c r="I150" s="418">
        <v>173.86401000000001</v>
      </c>
      <c r="J150" s="419">
        <v>173.86401000000001</v>
      </c>
      <c r="K150" s="429" t="s">
        <v>257</v>
      </c>
    </row>
    <row r="151" spans="1:11" ht="14.4" customHeight="1" thickBot="1" x14ac:dyDescent="0.35">
      <c r="A151" s="441" t="s">
        <v>394</v>
      </c>
      <c r="B151" s="423">
        <v>1109.90353845251</v>
      </c>
      <c r="C151" s="423">
        <v>1075.1789200000001</v>
      </c>
      <c r="D151" s="424">
        <v>-34.724618452503996</v>
      </c>
      <c r="E151" s="430">
        <v>0.96871384111299996</v>
      </c>
      <c r="F151" s="423">
        <v>0</v>
      </c>
      <c r="G151" s="424">
        <v>0</v>
      </c>
      <c r="H151" s="426">
        <v>85.818399999999997</v>
      </c>
      <c r="I151" s="423">
        <v>173.86401000000001</v>
      </c>
      <c r="J151" s="424">
        <v>173.86401000000001</v>
      </c>
      <c r="K151" s="427" t="s">
        <v>257</v>
      </c>
    </row>
    <row r="152" spans="1:11" ht="14.4" customHeight="1" thickBot="1" x14ac:dyDescent="0.35">
      <c r="A152" s="443" t="s">
        <v>54</v>
      </c>
      <c r="B152" s="423">
        <v>1109.90353845251</v>
      </c>
      <c r="C152" s="423">
        <v>1075.1789200000001</v>
      </c>
      <c r="D152" s="424">
        <v>-34.724618452503996</v>
      </c>
      <c r="E152" s="430">
        <v>0.96871384111299996</v>
      </c>
      <c r="F152" s="423">
        <v>0</v>
      </c>
      <c r="G152" s="424">
        <v>0</v>
      </c>
      <c r="H152" s="426">
        <v>85.818399999999997</v>
      </c>
      <c r="I152" s="423">
        <v>173.86401000000001</v>
      </c>
      <c r="J152" s="424">
        <v>173.86401000000001</v>
      </c>
      <c r="K152" s="427" t="s">
        <v>257</v>
      </c>
    </row>
    <row r="153" spans="1:11" ht="14.4" customHeight="1" thickBot="1" x14ac:dyDescent="0.35">
      <c r="A153" s="439" t="s">
        <v>395</v>
      </c>
      <c r="B153" s="423">
        <v>18.516847377881</v>
      </c>
      <c r="C153" s="423">
        <v>11.88425</v>
      </c>
      <c r="D153" s="424">
        <v>-6.6325973778809999</v>
      </c>
      <c r="E153" s="430">
        <v>0.64180741772399996</v>
      </c>
      <c r="F153" s="423">
        <v>0</v>
      </c>
      <c r="G153" s="424">
        <v>0</v>
      </c>
      <c r="H153" s="426">
        <v>0.95799999999999996</v>
      </c>
      <c r="I153" s="423">
        <v>1.9159999999999999</v>
      </c>
      <c r="J153" s="424">
        <v>1.9159999999999999</v>
      </c>
      <c r="K153" s="427" t="s">
        <v>257</v>
      </c>
    </row>
    <row r="154" spans="1:11" ht="14.4" customHeight="1" thickBot="1" x14ac:dyDescent="0.35">
      <c r="A154" s="440" t="s">
        <v>396</v>
      </c>
      <c r="B154" s="418">
        <v>18.516847377881</v>
      </c>
      <c r="C154" s="418">
        <v>11.88425</v>
      </c>
      <c r="D154" s="419">
        <v>-6.6325973778809999</v>
      </c>
      <c r="E154" s="420">
        <v>0.64180741772399996</v>
      </c>
      <c r="F154" s="418">
        <v>0</v>
      </c>
      <c r="G154" s="419">
        <v>0</v>
      </c>
      <c r="H154" s="421">
        <v>0.95799999999999996</v>
      </c>
      <c r="I154" s="418">
        <v>1.9159999999999999</v>
      </c>
      <c r="J154" s="419">
        <v>1.9159999999999999</v>
      </c>
      <c r="K154" s="429" t="s">
        <v>257</v>
      </c>
    </row>
    <row r="155" spans="1:11" ht="14.4" customHeight="1" thickBot="1" x14ac:dyDescent="0.35">
      <c r="A155" s="439" t="s">
        <v>397</v>
      </c>
      <c r="B155" s="423">
        <v>5.3044056967920001</v>
      </c>
      <c r="C155" s="423">
        <v>4.4091199999999997</v>
      </c>
      <c r="D155" s="424">
        <v>-0.89528569679199999</v>
      </c>
      <c r="E155" s="430">
        <v>0.83121847234699997</v>
      </c>
      <c r="F155" s="423">
        <v>0</v>
      </c>
      <c r="G155" s="424">
        <v>0</v>
      </c>
      <c r="H155" s="426">
        <v>0.14699999999999999</v>
      </c>
      <c r="I155" s="423">
        <v>0.83452000000000004</v>
      </c>
      <c r="J155" s="424">
        <v>0.83452000000000004</v>
      </c>
      <c r="K155" s="427" t="s">
        <v>257</v>
      </c>
    </row>
    <row r="156" spans="1:11" ht="14.4" customHeight="1" thickBot="1" x14ac:dyDescent="0.35">
      <c r="A156" s="440" t="s">
        <v>398</v>
      </c>
      <c r="B156" s="418">
        <v>0</v>
      </c>
      <c r="C156" s="418">
        <v>0.74</v>
      </c>
      <c r="D156" s="419">
        <v>0.74</v>
      </c>
      <c r="E156" s="428" t="s">
        <v>257</v>
      </c>
      <c r="F156" s="418">
        <v>0</v>
      </c>
      <c r="G156" s="419">
        <v>0</v>
      </c>
      <c r="H156" s="421">
        <v>0</v>
      </c>
      <c r="I156" s="418">
        <v>0.37</v>
      </c>
      <c r="J156" s="419">
        <v>0.37</v>
      </c>
      <c r="K156" s="429" t="s">
        <v>257</v>
      </c>
    </row>
    <row r="157" spans="1:11" ht="14.4" customHeight="1" thickBot="1" x14ac:dyDescent="0.35">
      <c r="A157" s="440" t="s">
        <v>399</v>
      </c>
      <c r="B157" s="418">
        <v>5.3044056967920001</v>
      </c>
      <c r="C157" s="418">
        <v>3.6691199999999999</v>
      </c>
      <c r="D157" s="419">
        <v>-1.635285696792</v>
      </c>
      <c r="E157" s="420">
        <v>0.69171179765099999</v>
      </c>
      <c r="F157" s="418">
        <v>0</v>
      </c>
      <c r="G157" s="419">
        <v>0</v>
      </c>
      <c r="H157" s="421">
        <v>0.14699999999999999</v>
      </c>
      <c r="I157" s="418">
        <v>0.46451999999999999</v>
      </c>
      <c r="J157" s="419">
        <v>0.46451999999999999</v>
      </c>
      <c r="K157" s="429" t="s">
        <v>257</v>
      </c>
    </row>
    <row r="158" spans="1:11" ht="14.4" customHeight="1" thickBot="1" x14ac:dyDescent="0.35">
      <c r="A158" s="439" t="s">
        <v>400</v>
      </c>
      <c r="B158" s="423">
        <v>29.185110920176001</v>
      </c>
      <c r="C158" s="423">
        <v>27.207439999999998</v>
      </c>
      <c r="D158" s="424">
        <v>-1.9776709201760001</v>
      </c>
      <c r="E158" s="430">
        <v>0.93223699147100003</v>
      </c>
      <c r="F158" s="423">
        <v>0</v>
      </c>
      <c r="G158" s="424">
        <v>0</v>
      </c>
      <c r="H158" s="426">
        <v>2.8243499999999999</v>
      </c>
      <c r="I158" s="423">
        <v>4.8171900000000001</v>
      </c>
      <c r="J158" s="424">
        <v>4.8171900000000001</v>
      </c>
      <c r="K158" s="427" t="s">
        <v>257</v>
      </c>
    </row>
    <row r="159" spans="1:11" ht="14.4" customHeight="1" thickBot="1" x14ac:dyDescent="0.35">
      <c r="A159" s="440" t="s">
        <v>401</v>
      </c>
      <c r="B159" s="418">
        <v>29.185110920176001</v>
      </c>
      <c r="C159" s="418">
        <v>27.207439999999998</v>
      </c>
      <c r="D159" s="419">
        <v>-1.9776709201760001</v>
      </c>
      <c r="E159" s="420">
        <v>0.93223699147100003</v>
      </c>
      <c r="F159" s="418">
        <v>0</v>
      </c>
      <c r="G159" s="419">
        <v>0</v>
      </c>
      <c r="H159" s="421">
        <v>2.8243499999999999</v>
      </c>
      <c r="I159" s="418">
        <v>4.8171900000000001</v>
      </c>
      <c r="J159" s="419">
        <v>4.8171900000000001</v>
      </c>
      <c r="K159" s="429" t="s">
        <v>257</v>
      </c>
    </row>
    <row r="160" spans="1:11" ht="14.4" customHeight="1" thickBot="1" x14ac:dyDescent="0.35">
      <c r="A160" s="439" t="s">
        <v>402</v>
      </c>
      <c r="B160" s="423">
        <v>0</v>
      </c>
      <c r="C160" s="423">
        <v>0.97</v>
      </c>
      <c r="D160" s="424">
        <v>0.97</v>
      </c>
      <c r="E160" s="425" t="s">
        <v>251</v>
      </c>
      <c r="F160" s="423">
        <v>0</v>
      </c>
      <c r="G160" s="424">
        <v>0</v>
      </c>
      <c r="H160" s="426">
        <v>0</v>
      </c>
      <c r="I160" s="423">
        <v>0.32400000000000001</v>
      </c>
      <c r="J160" s="424">
        <v>0.32400000000000001</v>
      </c>
      <c r="K160" s="427" t="s">
        <v>257</v>
      </c>
    </row>
    <row r="161" spans="1:11" ht="14.4" customHeight="1" thickBot="1" x14ac:dyDescent="0.35">
      <c r="A161" s="440" t="s">
        <v>403</v>
      </c>
      <c r="B161" s="418">
        <v>0</v>
      </c>
      <c r="C161" s="418">
        <v>0.97</v>
      </c>
      <c r="D161" s="419">
        <v>0.97</v>
      </c>
      <c r="E161" s="428" t="s">
        <v>251</v>
      </c>
      <c r="F161" s="418">
        <v>0</v>
      </c>
      <c r="G161" s="419">
        <v>0</v>
      </c>
      <c r="H161" s="421">
        <v>0</v>
      </c>
      <c r="I161" s="418">
        <v>0.32400000000000001</v>
      </c>
      <c r="J161" s="419">
        <v>0.32400000000000001</v>
      </c>
      <c r="K161" s="429" t="s">
        <v>257</v>
      </c>
    </row>
    <row r="162" spans="1:11" ht="14.4" customHeight="1" thickBot="1" x14ac:dyDescent="0.35">
      <c r="A162" s="439" t="s">
        <v>404</v>
      </c>
      <c r="B162" s="423">
        <v>500</v>
      </c>
      <c r="C162" s="423">
        <v>457.19170000000003</v>
      </c>
      <c r="D162" s="424">
        <v>-42.808299999999001</v>
      </c>
      <c r="E162" s="430">
        <v>0.91438339999999996</v>
      </c>
      <c r="F162" s="423">
        <v>0</v>
      </c>
      <c r="G162" s="424">
        <v>0</v>
      </c>
      <c r="H162" s="426">
        <v>43.82197</v>
      </c>
      <c r="I162" s="423">
        <v>76.465900000000005</v>
      </c>
      <c r="J162" s="424">
        <v>76.465900000000005</v>
      </c>
      <c r="K162" s="427" t="s">
        <v>257</v>
      </c>
    </row>
    <row r="163" spans="1:11" ht="14.4" customHeight="1" thickBot="1" x14ac:dyDescent="0.35">
      <c r="A163" s="440" t="s">
        <v>405</v>
      </c>
      <c r="B163" s="418">
        <v>500</v>
      </c>
      <c r="C163" s="418">
        <v>457.19170000000003</v>
      </c>
      <c r="D163" s="419">
        <v>-42.808299999999001</v>
      </c>
      <c r="E163" s="420">
        <v>0.91438339999999996</v>
      </c>
      <c r="F163" s="418">
        <v>0</v>
      </c>
      <c r="G163" s="419">
        <v>0</v>
      </c>
      <c r="H163" s="421">
        <v>43.82197</v>
      </c>
      <c r="I163" s="418">
        <v>76.465900000000005</v>
      </c>
      <c r="J163" s="419">
        <v>76.465900000000005</v>
      </c>
      <c r="K163" s="429" t="s">
        <v>257</v>
      </c>
    </row>
    <row r="164" spans="1:11" ht="14.4" customHeight="1" thickBot="1" x14ac:dyDescent="0.35">
      <c r="A164" s="439" t="s">
        <v>406</v>
      </c>
      <c r="B164" s="423">
        <v>556.89717445765598</v>
      </c>
      <c r="C164" s="423">
        <v>573.51640999999995</v>
      </c>
      <c r="D164" s="424">
        <v>16.619235542344001</v>
      </c>
      <c r="E164" s="430">
        <v>1.029842556767</v>
      </c>
      <c r="F164" s="423">
        <v>0</v>
      </c>
      <c r="G164" s="424">
        <v>0</v>
      </c>
      <c r="H164" s="426">
        <v>38.067079999999997</v>
      </c>
      <c r="I164" s="423">
        <v>89.506399999999999</v>
      </c>
      <c r="J164" s="424">
        <v>89.506399999999999</v>
      </c>
      <c r="K164" s="427" t="s">
        <v>257</v>
      </c>
    </row>
    <row r="165" spans="1:11" ht="14.4" customHeight="1" thickBot="1" x14ac:dyDescent="0.35">
      <c r="A165" s="440" t="s">
        <v>407</v>
      </c>
      <c r="B165" s="418">
        <v>556.89717445765598</v>
      </c>
      <c r="C165" s="418">
        <v>573.51640999999995</v>
      </c>
      <c r="D165" s="419">
        <v>16.619235542344001</v>
      </c>
      <c r="E165" s="420">
        <v>1.029842556767</v>
      </c>
      <c r="F165" s="418">
        <v>0</v>
      </c>
      <c r="G165" s="419">
        <v>0</v>
      </c>
      <c r="H165" s="421">
        <v>38.067079999999997</v>
      </c>
      <c r="I165" s="418">
        <v>89.506399999999999</v>
      </c>
      <c r="J165" s="419">
        <v>89.506399999999999</v>
      </c>
      <c r="K165" s="429" t="s">
        <v>257</v>
      </c>
    </row>
    <row r="166" spans="1:11" ht="14.4" customHeight="1" thickBot="1" x14ac:dyDescent="0.35">
      <c r="A166" s="444" t="s">
        <v>408</v>
      </c>
      <c r="B166" s="423">
        <v>0</v>
      </c>
      <c r="C166" s="423">
        <v>15.140180000000001</v>
      </c>
      <c r="D166" s="424">
        <v>15.140180000000001</v>
      </c>
      <c r="E166" s="425" t="s">
        <v>251</v>
      </c>
      <c r="F166" s="423">
        <v>0</v>
      </c>
      <c r="G166" s="424">
        <v>0</v>
      </c>
      <c r="H166" s="426">
        <v>1.05627</v>
      </c>
      <c r="I166" s="423">
        <v>1.2669900000000001</v>
      </c>
      <c r="J166" s="424">
        <v>1.2669900000000001</v>
      </c>
      <c r="K166" s="427" t="s">
        <v>257</v>
      </c>
    </row>
    <row r="167" spans="1:11" ht="14.4" customHeight="1" thickBot="1" x14ac:dyDescent="0.35">
      <c r="A167" s="441" t="s">
        <v>409</v>
      </c>
      <c r="B167" s="423">
        <v>0</v>
      </c>
      <c r="C167" s="423">
        <v>15.140180000000001</v>
      </c>
      <c r="D167" s="424">
        <v>15.140180000000001</v>
      </c>
      <c r="E167" s="425" t="s">
        <v>251</v>
      </c>
      <c r="F167" s="423">
        <v>0</v>
      </c>
      <c r="G167" s="424">
        <v>0</v>
      </c>
      <c r="H167" s="426">
        <v>1.05627</v>
      </c>
      <c r="I167" s="423">
        <v>1.2669900000000001</v>
      </c>
      <c r="J167" s="424">
        <v>1.2669900000000001</v>
      </c>
      <c r="K167" s="427" t="s">
        <v>257</v>
      </c>
    </row>
    <row r="168" spans="1:11" ht="14.4" customHeight="1" thickBot="1" x14ac:dyDescent="0.35">
      <c r="A168" s="443" t="s">
        <v>410</v>
      </c>
      <c r="B168" s="423">
        <v>0</v>
      </c>
      <c r="C168" s="423">
        <v>15.140180000000001</v>
      </c>
      <c r="D168" s="424">
        <v>15.140180000000001</v>
      </c>
      <c r="E168" s="425" t="s">
        <v>251</v>
      </c>
      <c r="F168" s="423">
        <v>0</v>
      </c>
      <c r="G168" s="424">
        <v>0</v>
      </c>
      <c r="H168" s="426">
        <v>1.05627</v>
      </c>
      <c r="I168" s="423">
        <v>1.2669900000000001</v>
      </c>
      <c r="J168" s="424">
        <v>1.2669900000000001</v>
      </c>
      <c r="K168" s="427" t="s">
        <v>257</v>
      </c>
    </row>
    <row r="169" spans="1:11" ht="14.4" customHeight="1" thickBot="1" x14ac:dyDescent="0.35">
      <c r="A169" s="439" t="s">
        <v>411</v>
      </c>
      <c r="B169" s="423">
        <v>0</v>
      </c>
      <c r="C169" s="423">
        <v>15.140180000000001</v>
      </c>
      <c r="D169" s="424">
        <v>15.140180000000001</v>
      </c>
      <c r="E169" s="425" t="s">
        <v>251</v>
      </c>
      <c r="F169" s="423">
        <v>0</v>
      </c>
      <c r="G169" s="424">
        <v>0</v>
      </c>
      <c r="H169" s="426">
        <v>1.05627</v>
      </c>
      <c r="I169" s="423">
        <v>1.2669900000000001</v>
      </c>
      <c r="J169" s="424">
        <v>1.2669900000000001</v>
      </c>
      <c r="K169" s="427" t="s">
        <v>257</v>
      </c>
    </row>
    <row r="170" spans="1:11" ht="14.4" customHeight="1" thickBot="1" x14ac:dyDescent="0.35">
      <c r="A170" s="440" t="s">
        <v>412</v>
      </c>
      <c r="B170" s="418">
        <v>0</v>
      </c>
      <c r="C170" s="418">
        <v>15.140180000000001</v>
      </c>
      <c r="D170" s="419">
        <v>15.140180000000001</v>
      </c>
      <c r="E170" s="428" t="s">
        <v>251</v>
      </c>
      <c r="F170" s="418">
        <v>0</v>
      </c>
      <c r="G170" s="419">
        <v>0</v>
      </c>
      <c r="H170" s="421">
        <v>1.05627</v>
      </c>
      <c r="I170" s="418">
        <v>1.2669900000000001</v>
      </c>
      <c r="J170" s="419">
        <v>1.2669900000000001</v>
      </c>
      <c r="K170" s="429" t="s">
        <v>257</v>
      </c>
    </row>
    <row r="171" spans="1:11" ht="14.4" customHeight="1" thickBot="1" x14ac:dyDescent="0.35">
      <c r="A171" s="445"/>
      <c r="B171" s="418">
        <v>-3421.4397276570699</v>
      </c>
      <c r="C171" s="418">
        <v>-2469.82969</v>
      </c>
      <c r="D171" s="419">
        <v>951.61003765707198</v>
      </c>
      <c r="E171" s="420">
        <v>0.72186853681300001</v>
      </c>
      <c r="F171" s="418">
        <v>-694.18949722519994</v>
      </c>
      <c r="G171" s="419">
        <v>-115.698249537533</v>
      </c>
      <c r="H171" s="421">
        <v>-60.032020000000003</v>
      </c>
      <c r="I171" s="418">
        <v>-223.18734000000001</v>
      </c>
      <c r="J171" s="419">
        <v>-107.489090462467</v>
      </c>
      <c r="K171" s="422">
        <v>0.32150780282899999</v>
      </c>
    </row>
    <row r="172" spans="1:11" ht="14.4" customHeight="1" thickBot="1" x14ac:dyDescent="0.35">
      <c r="A172" s="446" t="s">
        <v>66</v>
      </c>
      <c r="B172" s="432">
        <v>-3421.4397276570699</v>
      </c>
      <c r="C172" s="432">
        <v>-2469.82969</v>
      </c>
      <c r="D172" s="433">
        <v>951.61003765707198</v>
      </c>
      <c r="E172" s="434" t="s">
        <v>251</v>
      </c>
      <c r="F172" s="432">
        <v>-694.18949722519994</v>
      </c>
      <c r="G172" s="433">
        <v>-115.698249537533</v>
      </c>
      <c r="H172" s="432">
        <v>-60.032020000000003</v>
      </c>
      <c r="I172" s="432">
        <v>-223.18734000000001</v>
      </c>
      <c r="J172" s="433">
        <v>-107.489090462467</v>
      </c>
      <c r="K172" s="435">
        <v>0.32150780282899999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137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250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2014</v>
      </c>
      <c r="D3" s="293">
        <v>2015</v>
      </c>
      <c r="E3" s="7"/>
      <c r="F3" s="349">
        <v>2016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204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413</v>
      </c>
      <c r="B5" s="448" t="s">
        <v>414</v>
      </c>
      <c r="C5" s="449" t="s">
        <v>415</v>
      </c>
      <c r="D5" s="449" t="s">
        <v>415</v>
      </c>
      <c r="E5" s="449"/>
      <c r="F5" s="449" t="s">
        <v>415</v>
      </c>
      <c r="G5" s="449" t="s">
        <v>415</v>
      </c>
      <c r="H5" s="449" t="s">
        <v>415</v>
      </c>
      <c r="I5" s="450" t="s">
        <v>415</v>
      </c>
      <c r="J5" s="451" t="s">
        <v>69</v>
      </c>
    </row>
    <row r="6" spans="1:10" ht="14.4" customHeight="1" x14ac:dyDescent="0.3">
      <c r="A6" s="447" t="s">
        <v>413</v>
      </c>
      <c r="B6" s="448" t="s">
        <v>260</v>
      </c>
      <c r="C6" s="449">
        <v>0.22811000000000001</v>
      </c>
      <c r="D6" s="449">
        <v>0</v>
      </c>
      <c r="E6" s="449"/>
      <c r="F6" s="449">
        <v>0.26619999999999999</v>
      </c>
      <c r="G6" s="449">
        <v>2.4081399072443332</v>
      </c>
      <c r="H6" s="449">
        <v>-2.1419399072443333</v>
      </c>
      <c r="I6" s="450">
        <v>0.11054175016958057</v>
      </c>
      <c r="J6" s="451" t="s">
        <v>1</v>
      </c>
    </row>
    <row r="7" spans="1:10" ht="14.4" customHeight="1" x14ac:dyDescent="0.3">
      <c r="A7" s="447" t="s">
        <v>413</v>
      </c>
      <c r="B7" s="448" t="s">
        <v>261</v>
      </c>
      <c r="C7" s="449">
        <v>0</v>
      </c>
      <c r="D7" s="449">
        <v>0</v>
      </c>
      <c r="E7" s="449"/>
      <c r="F7" s="449">
        <v>0</v>
      </c>
      <c r="G7" s="449">
        <v>1.1666669882648333</v>
      </c>
      <c r="H7" s="449">
        <v>-1.1666669882648333</v>
      </c>
      <c r="I7" s="450">
        <v>0</v>
      </c>
      <c r="J7" s="451" t="s">
        <v>1</v>
      </c>
    </row>
    <row r="8" spans="1:10" ht="14.4" customHeight="1" x14ac:dyDescent="0.3">
      <c r="A8" s="447" t="s">
        <v>413</v>
      </c>
      <c r="B8" s="448" t="s">
        <v>416</v>
      </c>
      <c r="C8" s="449">
        <v>0.22811000000000001</v>
      </c>
      <c r="D8" s="449">
        <v>0</v>
      </c>
      <c r="E8" s="449"/>
      <c r="F8" s="449">
        <v>0.26619999999999999</v>
      </c>
      <c r="G8" s="449">
        <v>3.5748068955091665</v>
      </c>
      <c r="H8" s="449">
        <v>-3.3086068955091665</v>
      </c>
      <c r="I8" s="450">
        <v>7.4465560736836564E-2</v>
      </c>
      <c r="J8" s="451" t="s">
        <v>417</v>
      </c>
    </row>
    <row r="10" spans="1:10" ht="14.4" customHeight="1" x14ac:dyDescent="0.3">
      <c r="A10" s="447" t="s">
        <v>413</v>
      </c>
      <c r="B10" s="448" t="s">
        <v>414</v>
      </c>
      <c r="C10" s="449" t="s">
        <v>415</v>
      </c>
      <c r="D10" s="449" t="s">
        <v>415</v>
      </c>
      <c r="E10" s="449"/>
      <c r="F10" s="449" t="s">
        <v>415</v>
      </c>
      <c r="G10" s="449" t="s">
        <v>415</v>
      </c>
      <c r="H10" s="449" t="s">
        <v>415</v>
      </c>
      <c r="I10" s="450" t="s">
        <v>415</v>
      </c>
      <c r="J10" s="451" t="s">
        <v>69</v>
      </c>
    </row>
    <row r="11" spans="1:10" ht="14.4" customHeight="1" x14ac:dyDescent="0.3">
      <c r="A11" s="447" t="s">
        <v>418</v>
      </c>
      <c r="B11" s="448" t="s">
        <v>419</v>
      </c>
      <c r="C11" s="449" t="s">
        <v>415</v>
      </c>
      <c r="D11" s="449" t="s">
        <v>415</v>
      </c>
      <c r="E11" s="449"/>
      <c r="F11" s="449" t="s">
        <v>415</v>
      </c>
      <c r="G11" s="449" t="s">
        <v>415</v>
      </c>
      <c r="H11" s="449" t="s">
        <v>415</v>
      </c>
      <c r="I11" s="450" t="s">
        <v>415</v>
      </c>
      <c r="J11" s="451" t="s">
        <v>0</v>
      </c>
    </row>
    <row r="12" spans="1:10" ht="14.4" customHeight="1" x14ac:dyDescent="0.3">
      <c r="A12" s="447" t="s">
        <v>418</v>
      </c>
      <c r="B12" s="448" t="s">
        <v>260</v>
      </c>
      <c r="C12" s="449">
        <v>0.22811000000000001</v>
      </c>
      <c r="D12" s="449">
        <v>0</v>
      </c>
      <c r="E12" s="449"/>
      <c r="F12" s="449">
        <v>0.26619999999999999</v>
      </c>
      <c r="G12" s="449">
        <v>2.4081399072443332</v>
      </c>
      <c r="H12" s="449">
        <v>-2.1419399072443333</v>
      </c>
      <c r="I12" s="450">
        <v>0.11054175016958057</v>
      </c>
      <c r="J12" s="451" t="s">
        <v>1</v>
      </c>
    </row>
    <row r="13" spans="1:10" ht="14.4" customHeight="1" x14ac:dyDescent="0.3">
      <c r="A13" s="447" t="s">
        <v>418</v>
      </c>
      <c r="B13" s="448" t="s">
        <v>261</v>
      </c>
      <c r="C13" s="449">
        <v>0</v>
      </c>
      <c r="D13" s="449">
        <v>0</v>
      </c>
      <c r="E13" s="449"/>
      <c r="F13" s="449">
        <v>0</v>
      </c>
      <c r="G13" s="449">
        <v>1.1666669882648333</v>
      </c>
      <c r="H13" s="449">
        <v>-1.1666669882648333</v>
      </c>
      <c r="I13" s="450">
        <v>0</v>
      </c>
      <c r="J13" s="451" t="s">
        <v>1</v>
      </c>
    </row>
    <row r="14" spans="1:10" ht="14.4" customHeight="1" x14ac:dyDescent="0.3">
      <c r="A14" s="447" t="s">
        <v>418</v>
      </c>
      <c r="B14" s="448" t="s">
        <v>420</v>
      </c>
      <c r="C14" s="449">
        <v>0.22811000000000001</v>
      </c>
      <c r="D14" s="449">
        <v>0</v>
      </c>
      <c r="E14" s="449"/>
      <c r="F14" s="449">
        <v>0.26619999999999999</v>
      </c>
      <c r="G14" s="449">
        <v>3.5748068955091665</v>
      </c>
      <c r="H14" s="449">
        <v>-3.3086068955091665</v>
      </c>
      <c r="I14" s="450">
        <v>7.4465560736836564E-2</v>
      </c>
      <c r="J14" s="451" t="s">
        <v>421</v>
      </c>
    </row>
    <row r="15" spans="1:10" ht="14.4" customHeight="1" x14ac:dyDescent="0.3">
      <c r="A15" s="447" t="s">
        <v>415</v>
      </c>
      <c r="B15" s="448" t="s">
        <v>415</v>
      </c>
      <c r="C15" s="449" t="s">
        <v>415</v>
      </c>
      <c r="D15" s="449" t="s">
        <v>415</v>
      </c>
      <c r="E15" s="449"/>
      <c r="F15" s="449" t="s">
        <v>415</v>
      </c>
      <c r="G15" s="449" t="s">
        <v>415</v>
      </c>
      <c r="H15" s="449" t="s">
        <v>415</v>
      </c>
      <c r="I15" s="450" t="s">
        <v>415</v>
      </c>
      <c r="J15" s="451" t="s">
        <v>422</v>
      </c>
    </row>
    <row r="16" spans="1:10" ht="14.4" customHeight="1" x14ac:dyDescent="0.3">
      <c r="A16" s="447" t="s">
        <v>413</v>
      </c>
      <c r="B16" s="448" t="s">
        <v>416</v>
      </c>
      <c r="C16" s="449">
        <v>0.22811000000000001</v>
      </c>
      <c r="D16" s="449">
        <v>0</v>
      </c>
      <c r="E16" s="449"/>
      <c r="F16" s="449">
        <v>0.26619999999999999</v>
      </c>
      <c r="G16" s="449">
        <v>3.5748068955091665</v>
      </c>
      <c r="H16" s="449">
        <v>-3.3086068955091665</v>
      </c>
      <c r="I16" s="450">
        <v>7.4465560736836564E-2</v>
      </c>
      <c r="J16" s="451" t="s">
        <v>417</v>
      </c>
    </row>
  </sheetData>
  <mergeCells count="3">
    <mergeCell ref="F3:I3"/>
    <mergeCell ref="C4:D4"/>
    <mergeCell ref="A1:I1"/>
  </mergeCells>
  <conditionalFormatting sqref="F9 F17:F65537">
    <cfRule type="cellIs" dxfId="56" priority="18" stopIfTrue="1" operator="greaterThan">
      <formula>1</formula>
    </cfRule>
  </conditionalFormatting>
  <conditionalFormatting sqref="H5:H8">
    <cfRule type="expression" dxfId="55" priority="14">
      <formula>$H5&gt;0</formula>
    </cfRule>
  </conditionalFormatting>
  <conditionalFormatting sqref="I5:I8">
    <cfRule type="expression" dxfId="54" priority="15">
      <formula>$I5&gt;1</formula>
    </cfRule>
  </conditionalFormatting>
  <conditionalFormatting sqref="B5:B8">
    <cfRule type="expression" dxfId="53" priority="11">
      <formula>OR($J5="NS",$J5="SumaNS",$J5="Účet")</formula>
    </cfRule>
  </conditionalFormatting>
  <conditionalFormatting sqref="B5:D8 F5:I8">
    <cfRule type="expression" dxfId="52" priority="17">
      <formula>AND($J5&lt;&gt;"",$J5&lt;&gt;"mezeraKL")</formula>
    </cfRule>
  </conditionalFormatting>
  <conditionalFormatting sqref="B5:D8 F5:I8">
    <cfRule type="expression" dxfId="51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50" priority="13">
      <formula>OR($J5="SumaNS",$J5="NS")</formula>
    </cfRule>
  </conditionalFormatting>
  <conditionalFormatting sqref="A5:A8">
    <cfRule type="expression" dxfId="49" priority="9">
      <formula>AND($J5&lt;&gt;"mezeraKL",$J5&lt;&gt;"")</formula>
    </cfRule>
  </conditionalFormatting>
  <conditionalFormatting sqref="A5:A8">
    <cfRule type="expression" dxfId="48" priority="10">
      <formula>AND($J5&lt;&gt;"",$J5&lt;&gt;"mezeraKL")</formula>
    </cfRule>
  </conditionalFormatting>
  <conditionalFormatting sqref="H10:H16">
    <cfRule type="expression" dxfId="47" priority="5">
      <formula>$H10&gt;0</formula>
    </cfRule>
  </conditionalFormatting>
  <conditionalFormatting sqref="A10:A16">
    <cfRule type="expression" dxfId="46" priority="2">
      <formula>AND($J10&lt;&gt;"mezeraKL",$J10&lt;&gt;"")</formula>
    </cfRule>
  </conditionalFormatting>
  <conditionalFormatting sqref="I10:I16">
    <cfRule type="expression" dxfId="45" priority="6">
      <formula>$I10&gt;1</formula>
    </cfRule>
  </conditionalFormatting>
  <conditionalFormatting sqref="B10:B16">
    <cfRule type="expression" dxfId="44" priority="1">
      <formula>OR($J10="NS",$J10="SumaNS",$J10="Účet")</formula>
    </cfRule>
  </conditionalFormatting>
  <conditionalFormatting sqref="A10:D16 F10:I16">
    <cfRule type="expression" dxfId="43" priority="8">
      <formula>AND($J10&lt;&gt;"",$J10&lt;&gt;"mezeraKL")</formula>
    </cfRule>
  </conditionalFormatting>
  <conditionalFormatting sqref="B10:D16 F10:I16">
    <cfRule type="expression" dxfId="42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41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1.109375" style="207" customWidth="1"/>
    <col min="15" max="16384" width="8.88671875" style="130"/>
  </cols>
  <sheetData>
    <row r="1" spans="1:14" ht="18.600000000000001" customHeight="1" thickBot="1" x14ac:dyDescent="0.4">
      <c r="A1" s="361" t="s">
        <v>160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4" t="s">
        <v>250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133.73709109321976</v>
      </c>
      <c r="M3" s="98">
        <f>SUBTOTAL(9,M5:M1048576)</f>
        <v>13.2</v>
      </c>
      <c r="N3" s="99">
        <f>SUBTOTAL(9,N5:N1048576)</f>
        <v>1765.3296024305009</v>
      </c>
    </row>
    <row r="4" spans="1:14" s="208" customFormat="1" ht="14.4" customHeight="1" thickBot="1" x14ac:dyDescent="0.35">
      <c r="A4" s="452" t="s">
        <v>4</v>
      </c>
      <c r="B4" s="453" t="s">
        <v>5</v>
      </c>
      <c r="C4" s="453" t="s">
        <v>0</v>
      </c>
      <c r="D4" s="453" t="s">
        <v>6</v>
      </c>
      <c r="E4" s="453" t="s">
        <v>7</v>
      </c>
      <c r="F4" s="453" t="s">
        <v>1</v>
      </c>
      <c r="G4" s="453" t="s">
        <v>8</v>
      </c>
      <c r="H4" s="453" t="s">
        <v>9</v>
      </c>
      <c r="I4" s="453" t="s">
        <v>10</v>
      </c>
      <c r="J4" s="454" t="s">
        <v>11</v>
      </c>
      <c r="K4" s="454" t="s">
        <v>12</v>
      </c>
      <c r="L4" s="455" t="s">
        <v>142</v>
      </c>
      <c r="M4" s="455" t="s">
        <v>13</v>
      </c>
      <c r="N4" s="456" t="s">
        <v>156</v>
      </c>
    </row>
    <row r="5" spans="1:14" ht="14.4" customHeight="1" x14ac:dyDescent="0.3">
      <c r="A5" s="457" t="s">
        <v>413</v>
      </c>
      <c r="B5" s="458" t="s">
        <v>451</v>
      </c>
      <c r="C5" s="459" t="s">
        <v>418</v>
      </c>
      <c r="D5" s="460" t="s">
        <v>452</v>
      </c>
      <c r="E5" s="459" t="s">
        <v>423</v>
      </c>
      <c r="F5" s="460" t="s">
        <v>453</v>
      </c>
      <c r="G5" s="459" t="s">
        <v>424</v>
      </c>
      <c r="H5" s="459" t="s">
        <v>425</v>
      </c>
      <c r="I5" s="459" t="s">
        <v>425</v>
      </c>
      <c r="J5" s="459" t="s">
        <v>426</v>
      </c>
      <c r="K5" s="459" t="s">
        <v>427</v>
      </c>
      <c r="L5" s="461">
        <v>93.499999999999957</v>
      </c>
      <c r="M5" s="461">
        <v>0.19999999999999996</v>
      </c>
      <c r="N5" s="462">
        <v>18.699999999999989</v>
      </c>
    </row>
    <row r="6" spans="1:14" ht="14.4" customHeight="1" x14ac:dyDescent="0.3">
      <c r="A6" s="463" t="s">
        <v>413</v>
      </c>
      <c r="B6" s="464" t="s">
        <v>451</v>
      </c>
      <c r="C6" s="465" t="s">
        <v>418</v>
      </c>
      <c r="D6" s="466" t="s">
        <v>452</v>
      </c>
      <c r="E6" s="465" t="s">
        <v>423</v>
      </c>
      <c r="F6" s="466" t="s">
        <v>453</v>
      </c>
      <c r="G6" s="465" t="s">
        <v>424</v>
      </c>
      <c r="H6" s="465" t="s">
        <v>428</v>
      </c>
      <c r="I6" s="465" t="s">
        <v>429</v>
      </c>
      <c r="J6" s="465" t="s">
        <v>430</v>
      </c>
      <c r="K6" s="465"/>
      <c r="L6" s="467">
        <v>94.742999999999995</v>
      </c>
      <c r="M6" s="467">
        <v>1</v>
      </c>
      <c r="N6" s="468">
        <v>94.742999999999995</v>
      </c>
    </row>
    <row r="7" spans="1:14" ht="14.4" customHeight="1" x14ac:dyDescent="0.3">
      <c r="A7" s="463" t="s">
        <v>413</v>
      </c>
      <c r="B7" s="464" t="s">
        <v>451</v>
      </c>
      <c r="C7" s="465" t="s">
        <v>418</v>
      </c>
      <c r="D7" s="466" t="s">
        <v>452</v>
      </c>
      <c r="E7" s="465" t="s">
        <v>423</v>
      </c>
      <c r="F7" s="466" t="s">
        <v>453</v>
      </c>
      <c r="G7" s="465" t="s">
        <v>424</v>
      </c>
      <c r="H7" s="465" t="s">
        <v>431</v>
      </c>
      <c r="I7" s="465" t="s">
        <v>429</v>
      </c>
      <c r="J7" s="465" t="s">
        <v>432</v>
      </c>
      <c r="K7" s="465"/>
      <c r="L7" s="467">
        <v>42.329999999999991</v>
      </c>
      <c r="M7" s="467">
        <v>1</v>
      </c>
      <c r="N7" s="468">
        <v>42.329999999999991</v>
      </c>
    </row>
    <row r="8" spans="1:14" ht="14.4" customHeight="1" x14ac:dyDescent="0.3">
      <c r="A8" s="463" t="s">
        <v>413</v>
      </c>
      <c r="B8" s="464" t="s">
        <v>451</v>
      </c>
      <c r="C8" s="465" t="s">
        <v>418</v>
      </c>
      <c r="D8" s="466" t="s">
        <v>452</v>
      </c>
      <c r="E8" s="465" t="s">
        <v>423</v>
      </c>
      <c r="F8" s="466" t="s">
        <v>453</v>
      </c>
      <c r="G8" s="465" t="s">
        <v>424</v>
      </c>
      <c r="H8" s="465" t="s">
        <v>433</v>
      </c>
      <c r="I8" s="465" t="s">
        <v>434</v>
      </c>
      <c r="J8" s="465" t="s">
        <v>435</v>
      </c>
      <c r="K8" s="465" t="s">
        <v>436</v>
      </c>
      <c r="L8" s="467">
        <v>52.171003156237894</v>
      </c>
      <c r="M8" s="467">
        <v>1</v>
      </c>
      <c r="N8" s="468">
        <v>52.171003156237894</v>
      </c>
    </row>
    <row r="9" spans="1:14" ht="14.4" customHeight="1" x14ac:dyDescent="0.3">
      <c r="A9" s="463" t="s">
        <v>413</v>
      </c>
      <c r="B9" s="464" t="s">
        <v>451</v>
      </c>
      <c r="C9" s="465" t="s">
        <v>418</v>
      </c>
      <c r="D9" s="466" t="s">
        <v>452</v>
      </c>
      <c r="E9" s="465" t="s">
        <v>423</v>
      </c>
      <c r="F9" s="466" t="s">
        <v>453</v>
      </c>
      <c r="G9" s="465" t="s">
        <v>424</v>
      </c>
      <c r="H9" s="465" t="s">
        <v>437</v>
      </c>
      <c r="I9" s="465" t="s">
        <v>429</v>
      </c>
      <c r="J9" s="465" t="s">
        <v>438</v>
      </c>
      <c r="K9" s="465"/>
      <c r="L9" s="467">
        <v>133.09999811716068</v>
      </c>
      <c r="M9" s="467">
        <v>5</v>
      </c>
      <c r="N9" s="468">
        <v>665.4999905858034</v>
      </c>
    </row>
    <row r="10" spans="1:14" ht="14.4" customHeight="1" x14ac:dyDescent="0.3">
      <c r="A10" s="463" t="s">
        <v>413</v>
      </c>
      <c r="B10" s="464" t="s">
        <v>451</v>
      </c>
      <c r="C10" s="465" t="s">
        <v>418</v>
      </c>
      <c r="D10" s="466" t="s">
        <v>452</v>
      </c>
      <c r="E10" s="465" t="s">
        <v>423</v>
      </c>
      <c r="F10" s="466" t="s">
        <v>453</v>
      </c>
      <c r="G10" s="465" t="s">
        <v>424</v>
      </c>
      <c r="H10" s="465" t="s">
        <v>439</v>
      </c>
      <c r="I10" s="465" t="s">
        <v>429</v>
      </c>
      <c r="J10" s="465" t="s">
        <v>440</v>
      </c>
      <c r="K10" s="465"/>
      <c r="L10" s="467">
        <v>617.10011275374393</v>
      </c>
      <c r="M10" s="467">
        <v>1</v>
      </c>
      <c r="N10" s="468">
        <v>617.10011275374393</v>
      </c>
    </row>
    <row r="11" spans="1:14" ht="14.4" customHeight="1" x14ac:dyDescent="0.3">
      <c r="A11" s="463" t="s">
        <v>413</v>
      </c>
      <c r="B11" s="464" t="s">
        <v>451</v>
      </c>
      <c r="C11" s="465" t="s">
        <v>418</v>
      </c>
      <c r="D11" s="466" t="s">
        <v>452</v>
      </c>
      <c r="E11" s="465" t="s">
        <v>423</v>
      </c>
      <c r="F11" s="466" t="s">
        <v>453</v>
      </c>
      <c r="G11" s="465" t="s">
        <v>424</v>
      </c>
      <c r="H11" s="465" t="s">
        <v>441</v>
      </c>
      <c r="I11" s="465" t="s">
        <v>429</v>
      </c>
      <c r="J11" s="465" t="s">
        <v>442</v>
      </c>
      <c r="K11" s="465" t="s">
        <v>443</v>
      </c>
      <c r="L11" s="467">
        <v>90.362747967357947</v>
      </c>
      <c r="M11" s="467">
        <v>2</v>
      </c>
      <c r="N11" s="468">
        <v>180.72549593471589</v>
      </c>
    </row>
    <row r="12" spans="1:14" ht="14.4" customHeight="1" x14ac:dyDescent="0.3">
      <c r="A12" s="463" t="s">
        <v>413</v>
      </c>
      <c r="B12" s="464" t="s">
        <v>451</v>
      </c>
      <c r="C12" s="465" t="s">
        <v>418</v>
      </c>
      <c r="D12" s="466" t="s">
        <v>452</v>
      </c>
      <c r="E12" s="465" t="s">
        <v>423</v>
      </c>
      <c r="F12" s="466" t="s">
        <v>453</v>
      </c>
      <c r="G12" s="465" t="s">
        <v>424</v>
      </c>
      <c r="H12" s="465" t="s">
        <v>444</v>
      </c>
      <c r="I12" s="465" t="s">
        <v>429</v>
      </c>
      <c r="J12" s="465" t="s">
        <v>445</v>
      </c>
      <c r="K12" s="465"/>
      <c r="L12" s="467">
        <v>46.54999999999999</v>
      </c>
      <c r="M12" s="467">
        <v>1</v>
      </c>
      <c r="N12" s="468">
        <v>46.54999999999999</v>
      </c>
    </row>
    <row r="13" spans="1:14" ht="14.4" customHeight="1" thickBot="1" x14ac:dyDescent="0.35">
      <c r="A13" s="469" t="s">
        <v>413</v>
      </c>
      <c r="B13" s="470" t="s">
        <v>451</v>
      </c>
      <c r="C13" s="471" t="s">
        <v>418</v>
      </c>
      <c r="D13" s="472" t="s">
        <v>452</v>
      </c>
      <c r="E13" s="471" t="s">
        <v>423</v>
      </c>
      <c r="F13" s="472" t="s">
        <v>453</v>
      </c>
      <c r="G13" s="471" t="s">
        <v>446</v>
      </c>
      <c r="H13" s="471" t="s">
        <v>447</v>
      </c>
      <c r="I13" s="471" t="s">
        <v>448</v>
      </c>
      <c r="J13" s="471" t="s">
        <v>449</v>
      </c>
      <c r="K13" s="471" t="s">
        <v>450</v>
      </c>
      <c r="L13" s="473">
        <v>47.51</v>
      </c>
      <c r="M13" s="473">
        <v>1</v>
      </c>
      <c r="N13" s="474">
        <v>47.51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2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63" t="s">
        <v>205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4" t="s">
        <v>250</v>
      </c>
      <c r="B2" s="214"/>
      <c r="C2" s="214"/>
      <c r="D2" s="214"/>
      <c r="E2" s="214"/>
    </row>
    <row r="3" spans="1:17" ht="14.4" customHeight="1" thickBot="1" x14ac:dyDescent="0.35">
      <c r="A3" s="301" t="s">
        <v>3</v>
      </c>
      <c r="B3" s="305">
        <f>SUM(B6:B1048576)</f>
        <v>14</v>
      </c>
      <c r="C3" s="306">
        <f>SUM(C6:C1048576)</f>
        <v>0</v>
      </c>
      <c r="D3" s="306">
        <f>SUM(D6:D1048576)</f>
        <v>0</v>
      </c>
      <c r="E3" s="307">
        <f>SUM(E6:E1048576)</f>
        <v>0</v>
      </c>
      <c r="F3" s="304">
        <f>IF(SUM($B3:$E3)=0,"",B3/SUM($B3:$E3))</f>
        <v>1</v>
      </c>
      <c r="G3" s="302">
        <f t="shared" ref="G3:I3" si="0">IF(SUM($B3:$E3)=0,"",C3/SUM($B3:$E3))</f>
        <v>0</v>
      </c>
      <c r="H3" s="302">
        <f t="shared" si="0"/>
        <v>0</v>
      </c>
      <c r="I3" s="303">
        <f t="shared" si="0"/>
        <v>0</v>
      </c>
      <c r="J3" s="306">
        <f>SUM(J6:J1048576)</f>
        <v>9</v>
      </c>
      <c r="K3" s="306">
        <f>SUM(K6:K1048576)</f>
        <v>0</v>
      </c>
      <c r="L3" s="306">
        <f>SUM(L6:L1048576)</f>
        <v>0</v>
      </c>
      <c r="M3" s="307">
        <f>SUM(M6:M1048576)</f>
        <v>0</v>
      </c>
      <c r="N3" s="304">
        <f>IF(SUM($J3:$M3)=0,"",J3/SUM($J3:$M3))</f>
        <v>1</v>
      </c>
      <c r="O3" s="302">
        <f t="shared" ref="O3:Q3" si="1">IF(SUM($J3:$M3)=0,"",K3/SUM($J3:$M3))</f>
        <v>0</v>
      </c>
      <c r="P3" s="302">
        <f t="shared" si="1"/>
        <v>0</v>
      </c>
      <c r="Q3" s="303">
        <f t="shared" si="1"/>
        <v>0</v>
      </c>
    </row>
    <row r="4" spans="1:17" ht="14.4" customHeight="1" thickBot="1" x14ac:dyDescent="0.35">
      <c r="A4" s="300"/>
      <c r="B4" s="376" t="s">
        <v>207</v>
      </c>
      <c r="C4" s="377"/>
      <c r="D4" s="377"/>
      <c r="E4" s="378"/>
      <c r="F4" s="373" t="s">
        <v>212</v>
      </c>
      <c r="G4" s="374"/>
      <c r="H4" s="374"/>
      <c r="I4" s="375"/>
      <c r="J4" s="376" t="s">
        <v>213</v>
      </c>
      <c r="K4" s="377"/>
      <c r="L4" s="377"/>
      <c r="M4" s="378"/>
      <c r="N4" s="373" t="s">
        <v>214</v>
      </c>
      <c r="O4" s="374"/>
      <c r="P4" s="374"/>
      <c r="Q4" s="375"/>
    </row>
    <row r="5" spans="1:17" ht="14.4" customHeight="1" thickBot="1" x14ac:dyDescent="0.35">
      <c r="A5" s="475" t="s">
        <v>206</v>
      </c>
      <c r="B5" s="476" t="s">
        <v>208</v>
      </c>
      <c r="C5" s="476" t="s">
        <v>209</v>
      </c>
      <c r="D5" s="476" t="s">
        <v>210</v>
      </c>
      <c r="E5" s="477" t="s">
        <v>211</v>
      </c>
      <c r="F5" s="478" t="s">
        <v>208</v>
      </c>
      <c r="G5" s="479" t="s">
        <v>209</v>
      </c>
      <c r="H5" s="479" t="s">
        <v>210</v>
      </c>
      <c r="I5" s="480" t="s">
        <v>211</v>
      </c>
      <c r="J5" s="476" t="s">
        <v>208</v>
      </c>
      <c r="K5" s="476" t="s">
        <v>209</v>
      </c>
      <c r="L5" s="476" t="s">
        <v>210</v>
      </c>
      <c r="M5" s="477" t="s">
        <v>211</v>
      </c>
      <c r="N5" s="478" t="s">
        <v>208</v>
      </c>
      <c r="O5" s="479" t="s">
        <v>209</v>
      </c>
      <c r="P5" s="479" t="s">
        <v>210</v>
      </c>
      <c r="Q5" s="480" t="s">
        <v>211</v>
      </c>
    </row>
    <row r="6" spans="1:17" ht="14.4" customHeight="1" x14ac:dyDescent="0.3">
      <c r="A6" s="485" t="s">
        <v>454</v>
      </c>
      <c r="B6" s="489"/>
      <c r="C6" s="461"/>
      <c r="D6" s="461"/>
      <c r="E6" s="462"/>
      <c r="F6" s="487"/>
      <c r="G6" s="481"/>
      <c r="H6" s="481"/>
      <c r="I6" s="491"/>
      <c r="J6" s="489"/>
      <c r="K6" s="461"/>
      <c r="L6" s="461"/>
      <c r="M6" s="462"/>
      <c r="N6" s="487"/>
      <c r="O6" s="481"/>
      <c r="P6" s="481"/>
      <c r="Q6" s="482"/>
    </row>
    <row r="7" spans="1:17" ht="14.4" customHeight="1" thickBot="1" x14ac:dyDescent="0.35">
      <c r="A7" s="486" t="s">
        <v>455</v>
      </c>
      <c r="B7" s="490">
        <v>14</v>
      </c>
      <c r="C7" s="473"/>
      <c r="D7" s="473"/>
      <c r="E7" s="474"/>
      <c r="F7" s="488">
        <v>1</v>
      </c>
      <c r="G7" s="483">
        <v>0</v>
      </c>
      <c r="H7" s="483">
        <v>0</v>
      </c>
      <c r="I7" s="492">
        <v>0</v>
      </c>
      <c r="J7" s="490">
        <v>9</v>
      </c>
      <c r="K7" s="473"/>
      <c r="L7" s="473"/>
      <c r="M7" s="474"/>
      <c r="N7" s="488">
        <v>1</v>
      </c>
      <c r="O7" s="483">
        <v>0</v>
      </c>
      <c r="P7" s="483">
        <v>0</v>
      </c>
      <c r="Q7" s="48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2016-03-30T20:37:47Z</dcterms:modified>
</cp:coreProperties>
</file>